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5"/>
  </bookViews>
  <sheets>
    <sheet name="goodreads_library_export (7)" sheetId="1" r:id="rId3"/>
    <sheet name="Evaluation Warning" sheetId="2" r:id="rId4"/>
    <sheet name="Evaluation Warning (1)" sheetId="3" r:id="rId5"/>
    <sheet name="Evaluation Warning (2)" sheetId="4" r:id="rId6"/>
    <sheet name="Evaluation Warning (3)" sheetId="5" r:id="rId7"/>
    <sheet name="Evaluation Warning (4)" sheetId="6" r:id="rId8"/>
  </sheets>
  <definedNames>
    <definedName name="_xlnm._FilterDatabase" localSheetId="0" hidden="1">'goodreads_library_export (7)'!$T$1:$AY$2249</definedName>
  </definedNames>
  <calcPr calcId="0"/>
</workbook>
</file>

<file path=xl/calcChain.xml><?xml version="1.0" encoding="utf-8"?>
<calcChain xmlns="http://schemas.openxmlformats.org/spreadsheetml/2006/main">
  <c r="AH2249" i="1" l="1"/>
</calcChain>
</file>

<file path=xl/sharedStrings.xml><?xml version="1.0" encoding="utf-8"?>
<sst xmlns="http://schemas.openxmlformats.org/spreadsheetml/2006/main" count="18686" uniqueCount="9672">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</sst>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10" Type="http://schemas.openxmlformats.org/officeDocument/2006/relationships/calcChain" Target="calcChain.xml" /><Relationship Id="rId9" Type="http://schemas.openxmlformats.org/officeDocument/2006/relationships/sharedStrings" Target="sharedStrings.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dbe709f-fd8e-44b2-b2ed-8acea0d5455d}">
  <sheetPr>
    <outlinePr summaryBelow="0" summaryRight="0"/>
  </sheetPr>
  <dimension ref="D1:AY2249"/>
  <sheetViews>
    <sheetView workbookViewId="0" topLeftCell="A1"/>
  </sheetViews>
  <sheetFormatPr defaultColWidth="12.634285714285713" defaultRowHeight="15.75" customHeight="1"/>
  <cols>
    <col min="44" max="44" width="50" customWidth="1"/>
  </cols>
  <sheetData>
    <row r="1" spans="4:51" ht="15.75">
      <c r="T1" s="1" t="s">
        <v>0</v>
      </c>
      <c r="U1" s="1"/>
      <c r="V1" s="1"/>
      <c r="W1" s="1"/>
      <c r="X1" s="1"/>
      <c r="Y1" s="1" t="s">
        <v>1</v>
      </c>
      <c r="Z1" s="1" t="s">
        <v>2</v>
      </c>
      <c r="AA1" s="1" t="s">
        <v>3</v>
      </c>
      <c r="AB1" s="1"/>
      <c r="AC1" s="1"/>
      <c r="AD1" s="1"/>
      <c r="AE1" s="1"/>
      <c r="AF1" s="1" t="s">
        <v>4</v>
      </c>
      <c r="AG1" s="1" t="s">
        <v>5</v>
      </c>
      <c r="AH1" s="1" t="s">
        <v>6</v>
      </c>
      <c r="AI1" s="1" t="s">
        <v>7</v>
      </c>
      <c r="AJ1" s="1" t="s">
        <v>8</v>
      </c>
      <c r="AK1" s="1" t="s">
        <v>9</v>
      </c>
      <c r="AL1" s="1" t="s">
        <v>10</v>
      </c>
      <c r="AM1" s="1" t="s">
        <v>11</v>
      </c>
      <c r="AN1" s="1" t="s">
        <v>12</v>
      </c>
      <c r="AO1" s="1" t="s">
        <v>13</v>
      </c>
      <c r="AP1" s="1" t="s">
        <v>14</v>
      </c>
      <c r="AQ1" s="1" t="s">
        <v>15</v>
      </c>
      <c r="AR1" s="1" t="s">
        <v>16</v>
      </c>
      <c r="AS1" s="1" t="s">
        <v>17</v>
      </c>
      <c r="AT1" s="1" t="s">
        <v>18</v>
      </c>
      <c r="AU1" s="1" t="s">
        <v>19</v>
      </c>
      <c r="AV1" s="1" t="s">
        <v>20</v>
      </c>
      <c r="AW1" s="1" t="s">
        <v>21</v>
      </c>
      <c r="AX1" s="1" t="s">
        <v>22</v>
      </c>
      <c r="AY1" s="1" t="s">
        <v>23</v>
      </c>
    </row>
    <row r="2" spans="20:51" ht="15.75">
      <c r="T2" s="1">
        <v>888888.0</v>
      </c>
      <c r="U2" s="1"/>
      <c r="V2" s="1"/>
      <c r="W2" s="1"/>
      <c r="X2" s="1"/>
      <c r="Y2" s="1" t="s">
        <v>24</v>
      </c>
      <c r="Z2" s="1" t="s">
        <v>25</v>
      </c>
      <c r="AA2" s="1" t="s">
        <v>26</v>
      </c>
      <c r="AB2" s="1"/>
      <c r="AC2" s="1"/>
      <c r="AD2" s="1"/>
      <c r="AE2" s="1"/>
      <c r="AG2" s="2" t="str">
        <f>"1564780236"</f>
        <v>1564780236</v>
      </c>
      <c r="AH2" s="2" t="str">
        <f>"9781564780232"</f>
        <v>9781564780232</v>
      </c>
      <c r="AI2" s="1">
        <v>0.0</v>
      </c>
      <c r="AJ2" s="1">
        <v>4.09</v>
      </c>
      <c r="AK2" s="1" t="s">
        <v>27</v>
      </c>
      <c r="AL2" s="1" t="s">
        <v>28</v>
      </c>
      <c r="AM2" s="1">
        <v>1192.0</v>
      </c>
      <c r="AN2" s="1">
        <v>1993.0</v>
      </c>
      <c r="AO2" s="1">
        <v>1987.0</v>
      </c>
      <c r="AQ2" s="3">
        <v>45003.0</v>
      </c>
      <c r="AR2" s="1" t="s">
        <v>29</v>
      </c>
      <c r="AS2" s="1" t="s">
        <v>30</v>
      </c>
      <c r="AT2" s="1" t="s">
        <v>31</v>
      </c>
      <c r="AX2" s="1">
        <v>0.0</v>
      </c>
      <c r="AY2" s="1">
        <v>0.0</v>
      </c>
    </row>
    <row r="3" spans="20:51" ht="15.75">
      <c r="T3" s="1">
        <v>156198.0</v>
      </c>
      <c r="U3" s="1"/>
      <c r="V3" s="1"/>
      <c r="W3" s="1"/>
      <c r="X3" s="1"/>
      <c r="Y3" s="1" t="s">
        <v>32</v>
      </c>
      <c r="Z3" s="1" t="s">
        <v>33</v>
      </c>
      <c r="AA3" s="1" t="s">
        <v>34</v>
      </c>
      <c r="AB3" s="1"/>
      <c r="AC3" s="1"/>
      <c r="AD3" s="1"/>
      <c r="AE3" s="1"/>
      <c r="AG3" s="2" t="str">
        <f>"0802135277"</f>
        <v>0802135277</v>
      </c>
      <c r="AH3" s="2" t="str">
        <f>"9780802135278"</f>
        <v>9780802135278</v>
      </c>
      <c r="AI3" s="1">
        <v>0.0</v>
      </c>
      <c r="AJ3" s="1">
        <v>4.02</v>
      </c>
      <c r="AK3" s="1" t="s">
        <v>35</v>
      </c>
      <c r="AL3" s="1" t="s">
        <v>28</v>
      </c>
      <c r="AM3" s="1">
        <v>544.0</v>
      </c>
      <c r="AN3" s="1">
        <v>1998.0</v>
      </c>
      <c r="AO3" s="1">
        <v>1977.0</v>
      </c>
      <c r="AQ3" s="3">
        <v>45129.0</v>
      </c>
      <c r="AR3" s="1" t="s">
        <v>29</v>
      </c>
      <c r="AS3" s="1" t="s">
        <v>36</v>
      </c>
      <c r="AT3" s="1" t="s">
        <v>31</v>
      </c>
      <c r="AX3" s="1">
        <v>0.0</v>
      </c>
      <c r="AY3" s="1">
        <v>0.0</v>
      </c>
    </row>
    <row r="4" spans="20:51" ht="15.75">
      <c r="T4" s="1">
        <v>611084.0</v>
      </c>
      <c r="U4" s="1"/>
      <c r="V4" s="1"/>
      <c r="W4" s="1"/>
      <c r="X4" s="1"/>
      <c r="Y4" s="1" t="s">
        <v>37</v>
      </c>
      <c r="Z4" s="1" t="s">
        <v>38</v>
      </c>
      <c r="AA4" s="1" t="s">
        <v>39</v>
      </c>
      <c r="AB4" s="1"/>
      <c r="AC4" s="1"/>
      <c r="AD4" s="1"/>
      <c r="AE4" s="1"/>
      <c r="AG4" s="2" t="str">
        <f>"3434530088"</f>
        <v>3434530088</v>
      </c>
      <c r="AH4" s="2" t="str">
        <f>"9783434530084"</f>
        <v>9783434530084</v>
      </c>
      <c r="AI4" s="1">
        <v>0.0</v>
      </c>
      <c r="AJ4" s="1">
        <v>3.92</v>
      </c>
      <c r="AK4" s="1" t="s">
        <v>40</v>
      </c>
      <c r="AL4" s="1" t="s">
        <v>41</v>
      </c>
      <c r="AM4" s="1">
        <v>449.0</v>
      </c>
      <c r="AN4" s="1">
        <v>2000.0</v>
      </c>
      <c r="AO4" s="1">
        <v>1975.0</v>
      </c>
      <c r="AQ4" s="3">
        <v>45129.0</v>
      </c>
      <c r="AR4" s="1" t="s">
        <v>29</v>
      </c>
      <c r="AS4" s="1" t="s">
        <v>42</v>
      </c>
      <c r="AT4" s="1" t="s">
        <v>31</v>
      </c>
      <c r="AX4" s="1">
        <v>0.0</v>
      </c>
      <c r="AY4" s="1">
        <v>0.0</v>
      </c>
    </row>
    <row r="5" spans="20:51" ht="15.75" hidden="1">
      <c r="T5" s="1">
        <v>2.5159057E7</v>
      </c>
      <c r="U5" s="1"/>
      <c r="V5" s="1"/>
      <c r="W5" s="1"/>
      <c r="X5" s="1"/>
      <c r="Y5" s="1" t="s">
        <v>43</v>
      </c>
      <c r="Z5" s="1" t="s">
        <v>44</v>
      </c>
      <c r="AA5" s="1" t="s">
        <v>45</v>
      </c>
      <c r="AB5" s="1"/>
      <c r="AC5" s="1"/>
      <c r="AD5" s="1"/>
      <c r="AE5" s="1"/>
      <c r="AG5" s="2" t="str">
        <f>"0465059732"</f>
        <v>0465059732</v>
      </c>
      <c r="AH5" s="2" t="str">
        <f>"9780465059737"</f>
        <v>9780465059737</v>
      </c>
      <c r="AI5" s="1">
        <v>0.0</v>
      </c>
      <c r="AJ5" s="1">
        <v>4.4</v>
      </c>
      <c r="AK5" s="1" t="s">
        <v>46</v>
      </c>
      <c r="AL5" s="1" t="s">
        <v>41</v>
      </c>
      <c r="AM5" s="1">
        <v>296.0</v>
      </c>
      <c r="AN5" s="1">
        <v>2015.0</v>
      </c>
      <c r="AO5" s="1">
        <v>2015.0</v>
      </c>
      <c r="AQ5" s="3">
        <v>45129.0</v>
      </c>
      <c r="AR5" s="1" t="s">
        <v>47</v>
      </c>
      <c r="AS5" s="1" t="s">
        <v>48</v>
      </c>
      <c r="AT5" s="1" t="s">
        <v>31</v>
      </c>
      <c r="AX5" s="1">
        <v>0.0</v>
      </c>
      <c r="AY5" s="1">
        <v>0.0</v>
      </c>
    </row>
    <row r="6" spans="20:51" ht="15.75" hidden="1">
      <c r="T6" s="1">
        <v>5.9415292E7</v>
      </c>
      <c r="U6" s="1"/>
      <c r="V6" s="1"/>
      <c r="W6" s="1"/>
      <c r="X6" s="1"/>
      <c r="Y6" s="1" t="s">
        <v>49</v>
      </c>
      <c r="Z6" s="1" t="s">
        <v>50</v>
      </c>
      <c r="AA6" s="1" t="s">
        <v>51</v>
      </c>
      <c r="AB6" s="1"/>
      <c r="AC6" s="1"/>
      <c r="AD6" s="1"/>
      <c r="AE6" s="1"/>
      <c r="AF6" s="1" t="s">
        <v>52</v>
      </c>
      <c r="AG6" s="2" t="str">
        <f>"1909526827"</f>
        <v>1909526827</v>
      </c>
      <c r="AH6" s="2" t="str">
        <f>"9781909526822"</f>
        <v>9781909526822</v>
      </c>
      <c r="AI6" s="1">
        <v>0.0</v>
      </c>
      <c r="AJ6" s="1">
        <v>4.34</v>
      </c>
      <c r="AK6" s="1" t="s">
        <v>53</v>
      </c>
      <c r="AL6" s="1" t="s">
        <v>41</v>
      </c>
      <c r="AM6" s="1">
        <v>224.0</v>
      </c>
      <c r="AN6" s="1">
        <v>2021.0</v>
      </c>
      <c r="AQ6" s="3">
        <v>45129.0</v>
      </c>
      <c r="AR6" s="1" t="s">
        <v>47</v>
      </c>
      <c r="AS6" s="1" t="s">
        <v>54</v>
      </c>
      <c r="AT6" s="1" t="s">
        <v>31</v>
      </c>
      <c r="AX6" s="1">
        <v>0.0</v>
      </c>
      <c r="AY6" s="1">
        <v>0.0</v>
      </c>
    </row>
    <row r="7" spans="20:51" ht="15.75">
      <c r="T7" s="1">
        <v>3.6511814E7</v>
      </c>
      <c r="U7" s="1"/>
      <c r="V7" s="1"/>
      <c r="W7" s="1"/>
      <c r="X7" s="1"/>
      <c r="Y7" s="1" t="s">
        <v>55</v>
      </c>
      <c r="Z7" s="1" t="s">
        <v>56</v>
      </c>
      <c r="AA7" s="1" t="s">
        <v>57</v>
      </c>
      <c r="AB7" s="1"/>
      <c r="AC7" s="1"/>
      <c r="AD7" s="1"/>
      <c r="AE7" s="1"/>
      <c r="AG7" s="2" t="str">
        <f t="shared" si="0" ref="AG7:AH7">""</f>
        <v/>
      </c>
      <c r="AH7" s="2" t="str">
        <f t="shared" si="0"/>
        <v/>
      </c>
      <c r="AI7" s="1">
        <v>0.0</v>
      </c>
      <c r="AJ7" s="1">
        <v>4.17</v>
      </c>
      <c r="AK7" s="1" t="s">
        <v>58</v>
      </c>
      <c r="AL7" s="1" t="s">
        <v>59</v>
      </c>
      <c r="AM7" s="1">
        <v>885.0</v>
      </c>
      <c r="AN7" s="1">
        <v>2012.0</v>
      </c>
      <c r="AO7" s="1">
        <v>1960.0</v>
      </c>
      <c r="AQ7" s="3">
        <v>45135.0</v>
      </c>
      <c r="AR7" s="1" t="s">
        <v>29</v>
      </c>
      <c r="AS7" s="1" t="s">
        <v>60</v>
      </c>
      <c r="AT7" s="1" t="s">
        <v>31</v>
      </c>
      <c r="AX7" s="1">
        <v>0.0</v>
      </c>
      <c r="AY7" s="1">
        <v>0.0</v>
      </c>
    </row>
    <row r="8" spans="20:51" ht="15.75">
      <c r="T8" s="1">
        <v>5.9202644E7</v>
      </c>
      <c r="U8" s="1"/>
      <c r="V8" s="1"/>
      <c r="W8" s="1"/>
      <c r="X8" s="1"/>
      <c r="Y8" s="1" t="s">
        <v>61</v>
      </c>
      <c r="Z8" s="1" t="s">
        <v>62</v>
      </c>
      <c r="AA8" s="1" t="s">
        <v>63</v>
      </c>
      <c r="AB8" s="1"/>
      <c r="AC8" s="1"/>
      <c r="AD8" s="1"/>
      <c r="AE8" s="1"/>
      <c r="AF8" s="1" t="s">
        <v>64</v>
      </c>
      <c r="AG8" s="2" t="str">
        <f>"1628974125"</f>
        <v>1628974125</v>
      </c>
      <c r="AH8" s="2" t="str">
        <f>"9781628974126"</f>
        <v>9781628974126</v>
      </c>
      <c r="AI8" s="1">
        <v>0.0</v>
      </c>
      <c r="AJ8" s="1">
        <v>3.32</v>
      </c>
      <c r="AK8" s="1" t="s">
        <v>27</v>
      </c>
      <c r="AL8" s="1" t="s">
        <v>65</v>
      </c>
      <c r="AM8" s="1">
        <v>204.0</v>
      </c>
      <c r="AN8" s="1">
        <v>2022.0</v>
      </c>
      <c r="AO8" s="1">
        <v>1997.0</v>
      </c>
      <c r="AQ8" s="3">
        <v>45174.0</v>
      </c>
      <c r="AR8" s="1" t="s">
        <v>29</v>
      </c>
      <c r="AS8" s="1" t="s">
        <v>66</v>
      </c>
      <c r="AT8" s="1" t="s">
        <v>31</v>
      </c>
      <c r="AX8" s="1">
        <v>0.0</v>
      </c>
      <c r="AY8" s="1">
        <v>0.0</v>
      </c>
    </row>
    <row r="9" spans="20:51" ht="15.75">
      <c r="T9" s="1">
        <v>2.5362962E7</v>
      </c>
      <c r="U9" s="1"/>
      <c r="V9" s="1"/>
      <c r="W9" s="1"/>
      <c r="X9" s="1"/>
      <c r="Y9" s="1" t="s">
        <v>67</v>
      </c>
      <c r="Z9" s="1" t="s">
        <v>68</v>
      </c>
      <c r="AA9" s="1" t="s">
        <v>69</v>
      </c>
      <c r="AB9" s="1"/>
      <c r="AC9" s="1"/>
      <c r="AD9" s="1"/>
      <c r="AE9" s="1"/>
      <c r="AF9" s="1" t="s">
        <v>70</v>
      </c>
      <c r="AG9" s="2" t="str">
        <f>"1925052141"</f>
        <v>1925052141</v>
      </c>
      <c r="AH9" s="2" t="str">
        <f>"9781925052145"</f>
        <v>9781925052145</v>
      </c>
      <c r="AI9" s="1">
        <v>0.0</v>
      </c>
      <c r="AJ9" s="1">
        <v>4.09</v>
      </c>
      <c r="AK9" s="1" t="s">
        <v>71</v>
      </c>
      <c r="AL9" s="1" t="s">
        <v>28</v>
      </c>
      <c r="AM9" s="1">
        <v>130.0</v>
      </c>
      <c r="AN9" s="1">
        <v>2015.0</v>
      </c>
      <c r="AO9" s="1">
        <v>2015.0</v>
      </c>
      <c r="AQ9" s="3">
        <v>45187.0</v>
      </c>
      <c r="AR9" s="1" t="s">
        <v>29</v>
      </c>
      <c r="AS9" s="1" t="s">
        <v>72</v>
      </c>
      <c r="AT9" s="1" t="s">
        <v>31</v>
      </c>
      <c r="AX9" s="1">
        <v>0.0</v>
      </c>
      <c r="AY9" s="1">
        <v>0.0</v>
      </c>
    </row>
    <row r="10" spans="20:51" ht="15.75">
      <c r="T10" s="1">
        <v>1.25537549E8</v>
      </c>
      <c r="U10" s="1"/>
      <c r="V10" s="1"/>
      <c r="W10" s="1"/>
      <c r="X10" s="1"/>
      <c r="Y10" s="1" t="s">
        <v>73</v>
      </c>
      <c r="Z10" s="1" t="s">
        <v>74</v>
      </c>
      <c r="AA10" s="1" t="s">
        <v>75</v>
      </c>
      <c r="AB10" s="1"/>
      <c r="AC10" s="1"/>
      <c r="AD10" s="1"/>
      <c r="AE10" s="1"/>
      <c r="AF10" s="1" t="s">
        <v>76</v>
      </c>
      <c r="AG10" s="2" t="str">
        <f t="shared" si="1" ref="AG10:AH10">""</f>
        <v/>
      </c>
      <c r="AH10" s="2" t="str">
        <f t="shared" si="1"/>
        <v/>
      </c>
      <c r="AI10" s="1">
        <v>0.0</v>
      </c>
      <c r="AJ10" s="1">
        <v>4.19</v>
      </c>
      <c r="AK10" s="1" t="s">
        <v>77</v>
      </c>
      <c r="AL10" s="1" t="s">
        <v>28</v>
      </c>
      <c r="AM10" s="1">
        <v>144.0</v>
      </c>
      <c r="AN10" s="1">
        <v>2023.0</v>
      </c>
      <c r="AO10" s="1">
        <v>2004.0</v>
      </c>
      <c r="AQ10" s="3">
        <v>45187.0</v>
      </c>
      <c r="AR10" s="1" t="s">
        <v>78</v>
      </c>
      <c r="AS10" s="1" t="s">
        <v>79</v>
      </c>
      <c r="AT10" s="1" t="s">
        <v>31</v>
      </c>
      <c r="AX10" s="1">
        <v>0.0</v>
      </c>
      <c r="AY10" s="1">
        <v>0.0</v>
      </c>
    </row>
    <row r="11" spans="20:51" ht="15.75" hidden="1">
      <c r="T11" s="1">
        <v>18757.0</v>
      </c>
      <c r="U11" s="1"/>
      <c r="V11" s="1"/>
      <c r="W11" s="1"/>
      <c r="X11" s="1"/>
      <c r="Y11" s="1" t="s">
        <v>80</v>
      </c>
      <c r="Z11" s="1" t="s">
        <v>81</v>
      </c>
      <c r="AA11" s="1" t="s">
        <v>82</v>
      </c>
      <c r="AB11" s="1"/>
      <c r="AC11" s="1"/>
      <c r="AD11" s="1"/>
      <c r="AE11" s="1"/>
      <c r="AG11" s="2" t="str">
        <f>"1400078415"</f>
        <v>1400078415</v>
      </c>
      <c r="AH11" s="2" t="str">
        <f>"9781400078417"</f>
        <v>9781400078417</v>
      </c>
      <c r="AI11" s="1">
        <v>0.0</v>
      </c>
      <c r="AJ11" s="1">
        <v>3.85</v>
      </c>
      <c r="AK11" s="1" t="s">
        <v>83</v>
      </c>
      <c r="AL11" s="1" t="s">
        <v>28</v>
      </c>
      <c r="AM11" s="1">
        <v>132.0</v>
      </c>
      <c r="AN11" s="1">
        <v>2006.0</v>
      </c>
      <c r="AO11" s="1">
        <v>2005.0</v>
      </c>
      <c r="AQ11" s="3">
        <v>45187.0</v>
      </c>
      <c r="AR11" s="1" t="s">
        <v>84</v>
      </c>
      <c r="AS11" s="1" t="s">
        <v>85</v>
      </c>
      <c r="AT11" s="1" t="s">
        <v>31</v>
      </c>
      <c r="AX11" s="1">
        <v>0.0</v>
      </c>
      <c r="AY11" s="1">
        <v>0.0</v>
      </c>
    </row>
    <row r="12" spans="20:51" ht="15.75" hidden="1">
      <c r="T12" s="1">
        <v>70236.0</v>
      </c>
      <c r="U12" s="1"/>
      <c r="V12" s="1"/>
      <c r="W12" s="1"/>
      <c r="X12" s="1"/>
      <c r="Y12" s="1" t="s">
        <v>86</v>
      </c>
      <c r="Z12" s="1" t="s">
        <v>87</v>
      </c>
      <c r="AA12" s="1" t="s">
        <v>88</v>
      </c>
      <c r="AB12" s="1"/>
      <c r="AC12" s="1"/>
      <c r="AD12" s="1"/>
      <c r="AE12" s="1"/>
      <c r="AG12" s="2" t="str">
        <f>"0374525463"</f>
        <v>0374525463</v>
      </c>
      <c r="AH12" s="2" t="str">
        <f>"9780374525460"</f>
        <v>9780374525460</v>
      </c>
      <c r="AI12" s="1">
        <v>0.0</v>
      </c>
      <c r="AJ12" s="1">
        <v>3.58</v>
      </c>
      <c r="AK12" s="1" t="s">
        <v>89</v>
      </c>
      <c r="AL12" s="1" t="s">
        <v>28</v>
      </c>
      <c r="AM12" s="1">
        <v>112.0</v>
      </c>
      <c r="AN12" s="1">
        <v>1999.0</v>
      </c>
      <c r="AO12" s="1">
        <v>1988.0</v>
      </c>
      <c r="AQ12" s="3">
        <v>45187.0</v>
      </c>
      <c r="AR12" s="1" t="s">
        <v>31</v>
      </c>
      <c r="AS12" s="1" t="s">
        <v>90</v>
      </c>
      <c r="AT12" s="1" t="s">
        <v>31</v>
      </c>
      <c r="AX12" s="1">
        <v>0.0</v>
      </c>
      <c r="AY12" s="1">
        <v>0.0</v>
      </c>
    </row>
    <row r="13" spans="20:51" ht="15.75" hidden="1">
      <c r="T13" s="1">
        <v>16893.0</v>
      </c>
      <c r="U13" s="1"/>
      <c r="V13" s="1"/>
      <c r="W13" s="1"/>
      <c r="X13" s="1"/>
      <c r="Y13" s="1" t="s">
        <v>91</v>
      </c>
      <c r="Z13" s="1" t="s">
        <v>92</v>
      </c>
      <c r="AA13" s="1" t="s">
        <v>93</v>
      </c>
      <c r="AB13" s="1"/>
      <c r="AC13" s="1"/>
      <c r="AD13" s="1"/>
      <c r="AE13" s="1"/>
      <c r="AF13" s="1" t="s">
        <v>94</v>
      </c>
      <c r="AG13" s="2" t="str">
        <f>"0811212475"</f>
        <v>0811212475</v>
      </c>
      <c r="AH13" s="2" t="str">
        <f>"9780811212472"</f>
        <v>9780811212472</v>
      </c>
      <c r="AI13" s="1">
        <v>0.0</v>
      </c>
      <c r="AJ13" s="1">
        <v>3.9</v>
      </c>
      <c r="AK13" s="1" t="s">
        <v>95</v>
      </c>
      <c r="AL13" s="1" t="s">
        <v>28</v>
      </c>
      <c r="AM13" s="1">
        <v>347.0</v>
      </c>
      <c r="AN13" s="1">
        <v>2003.0</v>
      </c>
      <c r="AO13" s="1">
        <v>1936.0</v>
      </c>
      <c r="AQ13" s="3">
        <v>45187.0</v>
      </c>
      <c r="AR13" s="1" t="s">
        <v>96</v>
      </c>
      <c r="AS13" s="1" t="s">
        <v>97</v>
      </c>
      <c r="AT13" s="1" t="s">
        <v>31</v>
      </c>
      <c r="AX13" s="1">
        <v>0.0</v>
      </c>
      <c r="AY13" s="1">
        <v>0.0</v>
      </c>
    </row>
    <row r="14" spans="20:51" ht="15.75" hidden="1">
      <c r="T14" s="1">
        <v>5.9366124E7</v>
      </c>
      <c r="U14" s="1"/>
      <c r="V14" s="1"/>
      <c r="W14" s="1"/>
      <c r="X14" s="1"/>
      <c r="Y14" s="1" t="s">
        <v>98</v>
      </c>
      <c r="Z14" s="1" t="s">
        <v>99</v>
      </c>
      <c r="AA14" s="1" t="s">
        <v>100</v>
      </c>
      <c r="AB14" s="1"/>
      <c r="AC14" s="1"/>
      <c r="AD14" s="1"/>
      <c r="AE14" s="1"/>
      <c r="AG14" s="2" t="str">
        <f>"1982136421"</f>
        <v>1982136421</v>
      </c>
      <c r="AH14" s="2" t="str">
        <f>"9781982136420"</f>
        <v>9781982136420</v>
      </c>
      <c r="AI14" s="1">
        <v>0.0</v>
      </c>
      <c r="AJ14" s="1">
        <v>4.29</v>
      </c>
      <c r="AK14" s="1" t="s">
        <v>101</v>
      </c>
      <c r="AL14" s="1" t="s">
        <v>41</v>
      </c>
      <c r="AM14" s="1">
        <v>528.0</v>
      </c>
      <c r="AN14" s="1">
        <v>2023.0</v>
      </c>
      <c r="AQ14" s="3">
        <v>45185.0</v>
      </c>
      <c r="AR14" s="1" t="s">
        <v>102</v>
      </c>
      <c r="AS14" s="1" t="s">
        <v>103</v>
      </c>
      <c r="AT14" s="1" t="s">
        <v>31</v>
      </c>
      <c r="AX14" s="1">
        <v>0.0</v>
      </c>
      <c r="AY14" s="1">
        <v>0.0</v>
      </c>
    </row>
    <row r="15" spans="20:51" ht="15.75" hidden="1">
      <c r="T15" s="1">
        <v>1148851.0</v>
      </c>
      <c r="U15" s="1"/>
      <c r="V15" s="1"/>
      <c r="W15" s="1"/>
      <c r="X15" s="1"/>
      <c r="Y15" s="1" t="s">
        <v>104</v>
      </c>
      <c r="Z15" s="1" t="s">
        <v>105</v>
      </c>
      <c r="AA15" s="1" t="s">
        <v>106</v>
      </c>
      <c r="AB15" s="1"/>
      <c r="AC15" s="1"/>
      <c r="AD15" s="1"/>
      <c r="AE15" s="1"/>
      <c r="AG15" s="2" t="str">
        <f>"0674541375"</f>
        <v>0674541375</v>
      </c>
      <c r="AH15" s="2" t="str">
        <f>"9780674541375"</f>
        <v>9780674541375</v>
      </c>
      <c r="AI15" s="1">
        <v>0.0</v>
      </c>
      <c r="AJ15" s="1">
        <v>4.42</v>
      </c>
      <c r="AK15" s="1" t="s">
        <v>107</v>
      </c>
      <c r="AL15" s="1" t="s">
        <v>28</v>
      </c>
      <c r="AM15" s="1">
        <v>595.0</v>
      </c>
      <c r="AN15" s="1">
        <v>1994.0</v>
      </c>
      <c r="AO15" s="1">
        <v>1992.0</v>
      </c>
      <c r="AQ15" s="3">
        <v>45185.0</v>
      </c>
      <c r="AR15" s="1" t="s">
        <v>102</v>
      </c>
      <c r="AS15" s="1" t="s">
        <v>108</v>
      </c>
      <c r="AT15" s="1" t="s">
        <v>31</v>
      </c>
      <c r="AX15" s="1">
        <v>0.0</v>
      </c>
      <c r="AY15" s="1">
        <v>0.0</v>
      </c>
    </row>
    <row r="16" spans="20:51" ht="15.75" hidden="1">
      <c r="T16" s="1">
        <v>6.1089529E7</v>
      </c>
      <c r="U16" s="1"/>
      <c r="V16" s="1"/>
      <c r="W16" s="1"/>
      <c r="X16" s="1"/>
      <c r="Y16" s="1" t="s">
        <v>109</v>
      </c>
      <c r="Z16" s="1" t="s">
        <v>110</v>
      </c>
      <c r="AA16" s="1" t="s">
        <v>111</v>
      </c>
      <c r="AB16" s="1"/>
      <c r="AC16" s="1"/>
      <c r="AD16" s="1"/>
      <c r="AE16" s="1"/>
      <c r="AF16" s="1" t="s">
        <v>112</v>
      </c>
      <c r="AG16" s="2" t="str">
        <f>"1324050616"</f>
        <v>1324050616</v>
      </c>
      <c r="AH16" s="2" t="str">
        <f>"9781324050612"</f>
        <v>9781324050612</v>
      </c>
      <c r="AI16" s="1">
        <v>0.0</v>
      </c>
      <c r="AJ16" s="1">
        <v>4.23</v>
      </c>
      <c r="AK16" s="1" t="s">
        <v>113</v>
      </c>
      <c r="AL16" s="1" t="s">
        <v>28</v>
      </c>
      <c r="AM16" s="1">
        <v>304.0</v>
      </c>
      <c r="AN16" s="1">
        <v>2023.0</v>
      </c>
      <c r="AO16" s="1">
        <v>1998.0</v>
      </c>
      <c r="AQ16" s="3">
        <v>45185.0</v>
      </c>
      <c r="AR16" s="1" t="s">
        <v>114</v>
      </c>
      <c r="AS16" s="1" t="s">
        <v>115</v>
      </c>
      <c r="AT16" s="1" t="s">
        <v>31</v>
      </c>
      <c r="AX16" s="1">
        <v>0.0</v>
      </c>
      <c r="AY16" s="1">
        <v>0.0</v>
      </c>
    </row>
    <row r="17" spans="20:51" ht="15.75" hidden="1">
      <c r="T17" s="1">
        <v>103867.0</v>
      </c>
      <c r="U17" s="1"/>
      <c r="V17" s="1"/>
      <c r="W17" s="1"/>
      <c r="X17" s="1"/>
      <c r="Y17" s="1" t="s">
        <v>116</v>
      </c>
      <c r="Z17" s="1" t="s">
        <v>117</v>
      </c>
      <c r="AA17" s="1" t="s">
        <v>118</v>
      </c>
      <c r="AB17" s="1"/>
      <c r="AC17" s="1"/>
      <c r="AD17" s="1"/>
      <c r="AE17" s="1"/>
      <c r="AG17" s="2" t="str">
        <f>"014303622X"</f>
        <v>014303622X</v>
      </c>
      <c r="AH17" s="2" t="str">
        <f>"9780143036227"</f>
        <v>9780143036227</v>
      </c>
      <c r="AI17" s="1">
        <v>0.0</v>
      </c>
      <c r="AJ17" s="1">
        <v>3.96</v>
      </c>
      <c r="AK17" s="1" t="s">
        <v>119</v>
      </c>
      <c r="AL17" s="1" t="s">
        <v>28</v>
      </c>
      <c r="AM17" s="1">
        <v>336.0</v>
      </c>
      <c r="AN17" s="1">
        <v>2005.0</v>
      </c>
      <c r="AO17" s="1">
        <v>1994.0</v>
      </c>
      <c r="AQ17" s="3">
        <v>45185.0</v>
      </c>
      <c r="AR17" s="1" t="s">
        <v>102</v>
      </c>
      <c r="AS17" s="1" t="s">
        <v>120</v>
      </c>
      <c r="AT17" s="1" t="s">
        <v>31</v>
      </c>
      <c r="AX17" s="1">
        <v>0.0</v>
      </c>
      <c r="AY17" s="1">
        <v>0.0</v>
      </c>
    </row>
    <row r="18" spans="20:51" ht="15.75" hidden="1">
      <c r="T18" s="1">
        <v>3128872.0</v>
      </c>
      <c r="U18" s="1"/>
      <c r="V18" s="1"/>
      <c r="W18" s="1"/>
      <c r="X18" s="1"/>
      <c r="Y18" s="1" t="s">
        <v>121</v>
      </c>
      <c r="Z18" s="1" t="s">
        <v>122</v>
      </c>
      <c r="AA18" s="1" t="s">
        <v>123</v>
      </c>
      <c r="AB18" s="1"/>
      <c r="AC18" s="1"/>
      <c r="AD18" s="1"/>
      <c r="AE18" s="1"/>
      <c r="AG18" s="2" t="str">
        <f>"0704300338"</f>
        <v>0704300338</v>
      </c>
      <c r="AH18" s="2" t="str">
        <f>"9780704300330"</f>
        <v>9780704300330</v>
      </c>
      <c r="AI18" s="1">
        <v>0.0</v>
      </c>
      <c r="AJ18" s="1">
        <v>3.94</v>
      </c>
      <c r="AK18" s="1" t="s">
        <v>124</v>
      </c>
      <c r="AL18" s="1" t="s">
        <v>28</v>
      </c>
      <c r="AM18" s="1">
        <v>116.0</v>
      </c>
      <c r="AN18" s="1">
        <v>1987.0</v>
      </c>
      <c r="AO18" s="1">
        <v>1938.0</v>
      </c>
      <c r="AQ18" s="3">
        <v>45185.0</v>
      </c>
      <c r="AR18" s="1" t="s">
        <v>125</v>
      </c>
      <c r="AS18" s="1" t="s">
        <v>126</v>
      </c>
      <c r="AT18" s="1" t="s">
        <v>127</v>
      </c>
      <c r="AX18" s="1">
        <v>0.0</v>
      </c>
      <c r="AY18" s="1">
        <v>0.0</v>
      </c>
    </row>
    <row r="19" spans="20:51" ht="15.75" hidden="1">
      <c r="T19" s="1">
        <v>495614.0</v>
      </c>
      <c r="U19" s="1"/>
      <c r="V19" s="1"/>
      <c r="W19" s="1"/>
      <c r="X19" s="1"/>
      <c r="Y19" s="1" t="s">
        <v>128</v>
      </c>
      <c r="Z19" s="1" t="s">
        <v>129</v>
      </c>
      <c r="AA19" s="1" t="s">
        <v>130</v>
      </c>
      <c r="AB19" s="1"/>
      <c r="AC19" s="1"/>
      <c r="AD19" s="1"/>
      <c r="AE19" s="1"/>
      <c r="AF19" s="1" t="s">
        <v>131</v>
      </c>
      <c r="AG19" s="2" t="str">
        <f>"0415304415"</f>
        <v>0415304415</v>
      </c>
      <c r="AH19" s="2" t="str">
        <f>"9780415304412"</f>
        <v>9780415304412</v>
      </c>
      <c r="AI19" s="1">
        <v>0.0</v>
      </c>
      <c r="AJ19" s="1">
        <v>4.01</v>
      </c>
      <c r="AK19" s="1" t="s">
        <v>132</v>
      </c>
      <c r="AL19" s="1" t="s">
        <v>28</v>
      </c>
      <c r="AM19" s="1">
        <v>201.0</v>
      </c>
      <c r="AN19" s="1">
        <v>2004.0</v>
      </c>
      <c r="AO19" s="1">
        <v>1970.0</v>
      </c>
      <c r="AQ19" s="3">
        <v>45185.0</v>
      </c>
      <c r="AR19" s="1" t="s">
        <v>102</v>
      </c>
      <c r="AS19" s="1" t="s">
        <v>133</v>
      </c>
      <c r="AT19" s="1" t="s">
        <v>31</v>
      </c>
      <c r="AX19" s="1">
        <v>0.0</v>
      </c>
      <c r="AY19" s="1">
        <v>0.0</v>
      </c>
    </row>
    <row r="20" spans="20:51" ht="15.75" hidden="1">
      <c r="T20" s="1">
        <v>5.7030264E7</v>
      </c>
      <c r="U20" s="1"/>
      <c r="V20" s="1"/>
      <c r="W20" s="1"/>
      <c r="X20" s="1"/>
      <c r="Y20" s="1" t="s">
        <v>134</v>
      </c>
      <c r="Z20" s="1" t="s">
        <v>135</v>
      </c>
      <c r="AA20" s="1" t="s">
        <v>136</v>
      </c>
      <c r="AB20" s="1"/>
      <c r="AC20" s="1"/>
      <c r="AD20" s="1"/>
      <c r="AE20" s="1"/>
      <c r="AF20" s="1" t="s">
        <v>137</v>
      </c>
      <c r="AG20" s="2" t="str">
        <f>"1913097587"</f>
        <v>1913097587</v>
      </c>
      <c r="AH20" s="2" t="str">
        <f>"9781913097585"</f>
        <v>9781913097585</v>
      </c>
      <c r="AI20" s="1">
        <v>0.0</v>
      </c>
      <c r="AJ20" s="1">
        <v>4.27</v>
      </c>
      <c r="AK20" s="1" t="s">
        <v>138</v>
      </c>
      <c r="AL20" s="1" t="s">
        <v>28</v>
      </c>
      <c r="AM20" s="1">
        <v>88.0</v>
      </c>
      <c r="AN20" s="1">
        <v>2021.0</v>
      </c>
      <c r="AO20" s="1">
        <v>2020.0</v>
      </c>
      <c r="AQ20" s="3">
        <v>45185.0</v>
      </c>
      <c r="AR20" s="1" t="s">
        <v>102</v>
      </c>
      <c r="AS20" s="1" t="s">
        <v>139</v>
      </c>
      <c r="AT20" s="1" t="s">
        <v>31</v>
      </c>
      <c r="AX20" s="1">
        <v>0.0</v>
      </c>
      <c r="AY20" s="1">
        <v>0.0</v>
      </c>
    </row>
    <row r="21" spans="20:51" ht="15.75" hidden="1">
      <c r="T21" s="1">
        <v>836937.0</v>
      </c>
      <c r="U21" s="1"/>
      <c r="V21" s="1"/>
      <c r="W21" s="1"/>
      <c r="X21" s="1"/>
      <c r="Y21" s="1" t="s">
        <v>140</v>
      </c>
      <c r="Z21" s="1" t="s">
        <v>129</v>
      </c>
      <c r="AA21" s="1" t="s">
        <v>130</v>
      </c>
      <c r="AB21" s="1"/>
      <c r="AC21" s="1"/>
      <c r="AD21" s="1"/>
      <c r="AE21" s="1"/>
      <c r="AF21" s="1" t="s">
        <v>131</v>
      </c>
      <c r="AG21" s="2" t="str">
        <f>"0691017948"</f>
        <v>0691017948</v>
      </c>
      <c r="AH21" s="2" t="str">
        <f>"9780691017945"</f>
        <v>9780691017945</v>
      </c>
      <c r="AI21" s="1">
        <v>0.0</v>
      </c>
      <c r="AJ21" s="1">
        <v>4.06</v>
      </c>
      <c r="AK21" s="1" t="s">
        <v>141</v>
      </c>
      <c r="AL21" s="1" t="s">
        <v>28</v>
      </c>
      <c r="AM21" s="1">
        <v>115.0</v>
      </c>
      <c r="AN21" s="1">
        <v>1973.0</v>
      </c>
      <c r="AO21" s="1">
        <v>1952.0</v>
      </c>
      <c r="AQ21" s="3">
        <v>45185.0</v>
      </c>
      <c r="AR21" s="1" t="s">
        <v>102</v>
      </c>
      <c r="AS21" s="1" t="s">
        <v>142</v>
      </c>
      <c r="AT21" s="1" t="s">
        <v>31</v>
      </c>
      <c r="AX21" s="1">
        <v>0.0</v>
      </c>
      <c r="AY21" s="1">
        <v>0.0</v>
      </c>
    </row>
    <row r="22" spans="20:51" ht="15.75" hidden="1">
      <c r="T22" s="1">
        <v>1.2825844E7</v>
      </c>
      <c r="U22" s="1"/>
      <c r="V22" s="1"/>
      <c r="W22" s="1"/>
      <c r="X22" s="1"/>
      <c r="Y22" s="1" t="s">
        <v>143</v>
      </c>
      <c r="Z22" s="1" t="s">
        <v>144</v>
      </c>
      <c r="AA22" s="1" t="s">
        <v>145</v>
      </c>
      <c r="AB22" s="1"/>
      <c r="AC22" s="1"/>
      <c r="AD22" s="1"/>
      <c r="AE22" s="1"/>
      <c r="AG22" s="2" t="str">
        <f>"0241144884"</f>
        <v>0241144884</v>
      </c>
      <c r="AH22" s="2" t="str">
        <f>"9780241144886"</f>
        <v>9780241144886</v>
      </c>
      <c r="AI22" s="1">
        <v>0.0</v>
      </c>
      <c r="AJ22" s="1">
        <v>4.09</v>
      </c>
      <c r="AK22" s="1" t="s">
        <v>146</v>
      </c>
      <c r="AL22" s="1" t="s">
        <v>41</v>
      </c>
      <c r="AM22" s="1">
        <v>368.0</v>
      </c>
      <c r="AN22" s="1">
        <v>2011.0</v>
      </c>
      <c r="AO22" s="1">
        <v>2011.0</v>
      </c>
      <c r="AQ22" s="3">
        <v>45185.0</v>
      </c>
      <c r="AR22" s="1" t="s">
        <v>102</v>
      </c>
      <c r="AS22" s="1" t="s">
        <v>147</v>
      </c>
      <c r="AT22" s="1" t="s">
        <v>31</v>
      </c>
      <c r="AX22" s="1">
        <v>0.0</v>
      </c>
      <c r="AY22" s="1">
        <v>0.0</v>
      </c>
    </row>
    <row r="23" spans="20:51" ht="15.75" hidden="1">
      <c r="T23" s="1">
        <v>496585.0</v>
      </c>
      <c r="U23" s="1"/>
      <c r="V23" s="1"/>
      <c r="W23" s="1"/>
      <c r="X23" s="1"/>
      <c r="Y23" s="1" t="s">
        <v>148</v>
      </c>
      <c r="Z23" s="1" t="s">
        <v>149</v>
      </c>
      <c r="AA23" s="1" t="s">
        <v>150</v>
      </c>
      <c r="AB23" s="1"/>
      <c r="AC23" s="1"/>
      <c r="AD23" s="1"/>
      <c r="AE23" s="1"/>
      <c r="AG23" s="2" t="str">
        <f>"0140135375"</f>
        <v>0140135375</v>
      </c>
      <c r="AH23" s="2" t="str">
        <f>"9780140135374"</f>
        <v>9780140135374</v>
      </c>
      <c r="AI23" s="1">
        <v>0.0</v>
      </c>
      <c r="AJ23" s="1">
        <v>4.1</v>
      </c>
      <c r="AK23" s="1" t="s">
        <v>151</v>
      </c>
      <c r="AL23" s="1" t="s">
        <v>28</v>
      </c>
      <c r="AM23" s="1">
        <v>224.0</v>
      </c>
      <c r="AN23" s="1">
        <v>1965.0</v>
      </c>
      <c r="AO23" s="1">
        <v>1960.0</v>
      </c>
      <c r="AQ23" s="3">
        <v>43950.0</v>
      </c>
      <c r="AR23" s="1" t="s">
        <v>102</v>
      </c>
      <c r="AS23" s="1" t="s">
        <v>152</v>
      </c>
      <c r="AT23" s="1" t="s">
        <v>31</v>
      </c>
      <c r="AX23" s="1">
        <v>0.0</v>
      </c>
      <c r="AY23" s="1">
        <v>0.0</v>
      </c>
    </row>
    <row r="24" spans="20:51" ht="15.75" hidden="1">
      <c r="T24" s="1">
        <v>67890.0</v>
      </c>
      <c r="U24" s="1"/>
      <c r="V24" s="1"/>
      <c r="W24" s="1"/>
      <c r="X24" s="1"/>
      <c r="Y24" s="1" t="s">
        <v>153</v>
      </c>
      <c r="Z24" s="1" t="s">
        <v>129</v>
      </c>
      <c r="AA24" s="1" t="s">
        <v>130</v>
      </c>
      <c r="AB24" s="1"/>
      <c r="AC24" s="1"/>
      <c r="AD24" s="1"/>
      <c r="AE24" s="1"/>
      <c r="AF24" s="1" t="s">
        <v>154</v>
      </c>
      <c r="AG24" s="2" t="str">
        <f>"0691097615"</f>
        <v>0691097615</v>
      </c>
      <c r="AH24" s="2" t="str">
        <f>"9780691097619"</f>
        <v>9780691097619</v>
      </c>
      <c r="AI24" s="1">
        <v>0.0</v>
      </c>
      <c r="AJ24" s="1">
        <v>4.3</v>
      </c>
      <c r="AK24" s="1" t="s">
        <v>155</v>
      </c>
      <c r="AL24" s="1" t="s">
        <v>41</v>
      </c>
      <c r="AM24" s="1">
        <v>550.0</v>
      </c>
      <c r="AN24" s="1">
        <v>1969.0</v>
      </c>
      <c r="AO24" s="1">
        <v>1959.0</v>
      </c>
      <c r="AQ24" s="3">
        <v>45185.0</v>
      </c>
      <c r="AR24" s="1" t="s">
        <v>102</v>
      </c>
      <c r="AS24" s="1" t="s">
        <v>156</v>
      </c>
      <c r="AT24" s="1" t="s">
        <v>31</v>
      </c>
      <c r="AX24" s="1">
        <v>0.0</v>
      </c>
      <c r="AY24" s="1">
        <v>0.0</v>
      </c>
    </row>
    <row r="25" spans="20:51" ht="15.75" hidden="1">
      <c r="T25" s="1">
        <v>5.534882E7</v>
      </c>
      <c r="U25" s="1"/>
      <c r="V25" s="1"/>
      <c r="W25" s="1"/>
      <c r="X25" s="1"/>
      <c r="Y25" s="1" t="s">
        <v>157</v>
      </c>
      <c r="Z25" s="1" t="s">
        <v>158</v>
      </c>
      <c r="AA25" s="1" t="s">
        <v>159</v>
      </c>
      <c r="AB25" s="1"/>
      <c r="AC25" s="1"/>
      <c r="AD25" s="1"/>
      <c r="AE25" s="1"/>
      <c r="AG25" s="2" t="str">
        <f>"1734976608"</f>
        <v>1734976608</v>
      </c>
      <c r="AH25" s="2" t="str">
        <f>"9781734976601"</f>
        <v>9781734976601</v>
      </c>
      <c r="AI25" s="1">
        <v>0.0</v>
      </c>
      <c r="AJ25" s="1">
        <v>4.52</v>
      </c>
      <c r="AK25" s="1" t="s">
        <v>160</v>
      </c>
      <c r="AL25" s="1" t="s">
        <v>28</v>
      </c>
      <c r="AM25" s="1">
        <v>142.0</v>
      </c>
      <c r="AN25" s="1">
        <v>2020.0</v>
      </c>
      <c r="AQ25" s="3">
        <v>45075.0</v>
      </c>
      <c r="AR25" s="1" t="s">
        <v>161</v>
      </c>
      <c r="AS25" s="1" t="s">
        <v>162</v>
      </c>
      <c r="AT25" s="1" t="s">
        <v>31</v>
      </c>
      <c r="AX25" s="1">
        <v>0.0</v>
      </c>
      <c r="AY25" s="1">
        <v>0.0</v>
      </c>
    </row>
    <row r="26" spans="20:51" ht="15.75" hidden="1">
      <c r="T26" s="1">
        <v>17686.0</v>
      </c>
      <c r="U26" s="1"/>
      <c r="V26" s="1"/>
      <c r="W26" s="1"/>
      <c r="X26" s="1"/>
      <c r="Y26" s="1" t="s">
        <v>163</v>
      </c>
      <c r="Z26" s="1" t="s">
        <v>164</v>
      </c>
      <c r="AA26" s="1" t="s">
        <v>165</v>
      </c>
      <c r="AB26" s="1"/>
      <c r="AC26" s="1"/>
      <c r="AD26" s="1"/>
      <c r="AE26" s="1"/>
      <c r="AG26" s="2" t="str">
        <f>"0805209069"</f>
        <v>0805209069</v>
      </c>
      <c r="AH26" s="2" t="str">
        <f>"9780805209068"</f>
        <v>9780805209068</v>
      </c>
      <c r="AI26" s="1">
        <v>0.0</v>
      </c>
      <c r="AJ26" s="1">
        <v>4.22</v>
      </c>
      <c r="AK26" s="1" t="s">
        <v>166</v>
      </c>
      <c r="AL26" s="1" t="s">
        <v>28</v>
      </c>
      <c r="AM26" s="1">
        <v>521.0</v>
      </c>
      <c r="AN26" s="1">
        <v>1988.0</v>
      </c>
      <c r="AO26" s="1">
        <v>1949.0</v>
      </c>
      <c r="AQ26" s="3">
        <v>45154.0</v>
      </c>
      <c r="AR26" s="1" t="s">
        <v>161</v>
      </c>
      <c r="AS26" s="1" t="s">
        <v>167</v>
      </c>
      <c r="AT26" s="1" t="s">
        <v>31</v>
      </c>
      <c r="AX26" s="1">
        <v>0.0</v>
      </c>
      <c r="AY26" s="1">
        <v>0.0</v>
      </c>
    </row>
    <row r="27" spans="20:51" ht="15.75" hidden="1">
      <c r="T27" s="1">
        <v>3.0231789E7</v>
      </c>
      <c r="U27" s="1"/>
      <c r="V27" s="1"/>
      <c r="W27" s="1"/>
      <c r="X27" s="1"/>
      <c r="Y27" s="1" t="s">
        <v>168</v>
      </c>
      <c r="Z27" s="1" t="s">
        <v>169</v>
      </c>
      <c r="AA27" s="1" t="s">
        <v>170</v>
      </c>
      <c r="AB27" s="1"/>
      <c r="AC27" s="1"/>
      <c r="AD27" s="1"/>
      <c r="AE27" s="1"/>
      <c r="AG27" s="2" t="str">
        <f>"0393353745"</f>
        <v>0393353745</v>
      </c>
      <c r="AH27" s="2" t="str">
        <f>"9780393353747"</f>
        <v>9780393353747</v>
      </c>
      <c r="AI27" s="1">
        <v>0.0</v>
      </c>
      <c r="AJ27" s="1">
        <v>4.16</v>
      </c>
      <c r="AK27" s="1" t="s">
        <v>113</v>
      </c>
      <c r="AL27" s="1" t="s">
        <v>28</v>
      </c>
      <c r="AM27" s="1">
        <v>512.0</v>
      </c>
      <c r="AN27" s="1">
        <v>2017.0</v>
      </c>
      <c r="AO27" s="1">
        <v>1977.0</v>
      </c>
      <c r="AQ27" s="3">
        <v>45183.0</v>
      </c>
      <c r="AR27" s="1" t="s">
        <v>31</v>
      </c>
      <c r="AS27" s="1" t="s">
        <v>171</v>
      </c>
      <c r="AT27" s="1" t="s">
        <v>31</v>
      </c>
      <c r="AX27" s="1">
        <v>0.0</v>
      </c>
      <c r="AY27" s="1">
        <v>0.0</v>
      </c>
    </row>
    <row r="28" spans="20:51" ht="15.75" hidden="1">
      <c r="T28" s="1">
        <v>948234.0</v>
      </c>
      <c r="U28" s="1"/>
      <c r="V28" s="1"/>
      <c r="W28" s="1"/>
      <c r="X28" s="1"/>
      <c r="Y28" s="1" t="s">
        <v>172</v>
      </c>
      <c r="Z28" s="1" t="s">
        <v>173</v>
      </c>
      <c r="AA28" s="1" t="s">
        <v>174</v>
      </c>
      <c r="AB28" s="1"/>
      <c r="AC28" s="1"/>
      <c r="AD28" s="1"/>
      <c r="AE28" s="1"/>
      <c r="AG28" s="2" t="str">
        <f>"0879727306"</f>
        <v>0879727306</v>
      </c>
      <c r="AH28" s="2" t="str">
        <f>"9780879727307"</f>
        <v>9780879727307</v>
      </c>
      <c r="AI28" s="1">
        <v>0.0</v>
      </c>
      <c r="AJ28" s="1">
        <v>3.2</v>
      </c>
      <c r="AK28" s="1" t="s">
        <v>175</v>
      </c>
      <c r="AL28" s="1" t="s">
        <v>28</v>
      </c>
      <c r="AM28" s="1">
        <v>228.0</v>
      </c>
      <c r="AN28" s="1">
        <v>1997.0</v>
      </c>
      <c r="AO28" s="1">
        <v>1997.0</v>
      </c>
      <c r="AQ28" s="3">
        <v>45183.0</v>
      </c>
      <c r="AR28" s="1" t="s">
        <v>161</v>
      </c>
      <c r="AS28" s="1" t="s">
        <v>176</v>
      </c>
      <c r="AT28" s="1" t="s">
        <v>31</v>
      </c>
      <c r="AX28" s="1">
        <v>0.0</v>
      </c>
      <c r="AY28" s="1">
        <v>0.0</v>
      </c>
    </row>
    <row r="29" spans="20:51" ht="15.75" hidden="1">
      <c r="T29" s="1">
        <v>434213.0</v>
      </c>
      <c r="U29" s="1"/>
      <c r="V29" s="1"/>
      <c r="W29" s="1"/>
      <c r="X29" s="1"/>
      <c r="Y29" s="1" t="s">
        <v>177</v>
      </c>
      <c r="Z29" s="1" t="s">
        <v>178</v>
      </c>
      <c r="AA29" s="1" t="s">
        <v>179</v>
      </c>
      <c r="AB29" s="1"/>
      <c r="AC29" s="1"/>
      <c r="AD29" s="1"/>
      <c r="AE29" s="1"/>
      <c r="AF29" s="1" t="s">
        <v>180</v>
      </c>
      <c r="AG29" s="2" t="str">
        <f>"188736871X"</f>
        <v>188736871X</v>
      </c>
      <c r="AH29" s="2" t="str">
        <f>"9781887368711"</f>
        <v>9781887368711</v>
      </c>
      <c r="AI29" s="1">
        <v>0.0</v>
      </c>
      <c r="AJ29" s="1">
        <v>4.57</v>
      </c>
      <c r="AK29" s="1" t="s">
        <v>181</v>
      </c>
      <c r="AL29" s="1" t="s">
        <v>41</v>
      </c>
      <c r="AM29" s="1">
        <v>487.0</v>
      </c>
      <c r="AN29" s="1">
        <v>2004.0</v>
      </c>
      <c r="AO29" s="1">
        <v>2004.0</v>
      </c>
      <c r="AQ29" s="3">
        <v>45183.0</v>
      </c>
      <c r="AR29" s="1" t="s">
        <v>31</v>
      </c>
      <c r="AS29" s="1" t="s">
        <v>182</v>
      </c>
      <c r="AT29" s="1" t="s">
        <v>31</v>
      </c>
      <c r="AX29" s="1">
        <v>0.0</v>
      </c>
      <c r="AY29" s="1">
        <v>0.0</v>
      </c>
    </row>
    <row r="30" spans="20:51" ht="15.75" hidden="1">
      <c r="T30" s="1">
        <v>12046.0</v>
      </c>
      <c r="U30" s="1"/>
      <c r="V30" s="1"/>
      <c r="W30" s="1"/>
      <c r="X30" s="1"/>
      <c r="Y30" s="1" t="s">
        <v>183</v>
      </c>
      <c r="Z30" s="1" t="s">
        <v>184</v>
      </c>
      <c r="AA30" s="1" t="s">
        <v>185</v>
      </c>
      <c r="AB30" s="1"/>
      <c r="AC30" s="1"/>
      <c r="AD30" s="1"/>
      <c r="AE30" s="1"/>
      <c r="AF30" s="1" t="s">
        <v>186</v>
      </c>
      <c r="AG30" s="2" t="str">
        <f>"0061137049"</f>
        <v>0061137049</v>
      </c>
      <c r="AH30" s="2" t="str">
        <f>"9780061137044"</f>
        <v>9780061137044</v>
      </c>
      <c r="AI30" s="1">
        <v>0.0</v>
      </c>
      <c r="AJ30" s="1">
        <v>4.29</v>
      </c>
      <c r="AK30" s="1" t="s">
        <v>187</v>
      </c>
      <c r="AL30" s="1" t="s">
        <v>28</v>
      </c>
      <c r="AM30" s="1">
        <v>688.0</v>
      </c>
      <c r="AN30" s="1">
        <v>2006.0</v>
      </c>
      <c r="AO30" s="1">
        <v>2001.0</v>
      </c>
      <c r="AQ30" s="3">
        <v>41515.0</v>
      </c>
      <c r="AR30" s="1" t="s">
        <v>188</v>
      </c>
      <c r="AS30" s="1" t="s">
        <v>189</v>
      </c>
      <c r="AT30" s="1" t="s">
        <v>31</v>
      </c>
      <c r="AX30" s="1">
        <v>0.0</v>
      </c>
      <c r="AY30" s="1">
        <v>1.0</v>
      </c>
    </row>
    <row r="31" spans="20:51" ht="15.75" hidden="1">
      <c r="T31" s="1">
        <v>979668.0</v>
      </c>
      <c r="U31" s="1"/>
      <c r="V31" s="1"/>
      <c r="W31" s="1"/>
      <c r="X31" s="1"/>
      <c r="Y31" s="1" t="s">
        <v>190</v>
      </c>
      <c r="Z31" s="1" t="s">
        <v>191</v>
      </c>
      <c r="AA31" s="1" t="s">
        <v>192</v>
      </c>
      <c r="AB31" s="1"/>
      <c r="AC31" s="1"/>
      <c r="AD31" s="1"/>
      <c r="AE31" s="1"/>
      <c r="AF31" s="1" t="s">
        <v>193</v>
      </c>
      <c r="AG31" s="2" t="str">
        <f>"0060197757"</f>
        <v>0060197757</v>
      </c>
      <c r="AH31" s="2" t="str">
        <f>"9780060197759"</f>
        <v>9780060197759</v>
      </c>
      <c r="AI31" s="1">
        <v>0.0</v>
      </c>
      <c r="AJ31" s="1">
        <v>3.88</v>
      </c>
      <c r="AK31" s="1" t="s">
        <v>194</v>
      </c>
      <c r="AL31" s="1" t="s">
        <v>41</v>
      </c>
      <c r="AM31" s="1">
        <v>224.0</v>
      </c>
      <c r="AN31" s="1">
        <v>2001.0</v>
      </c>
      <c r="AO31" s="1">
        <v>1999.0</v>
      </c>
      <c r="AQ31" s="3">
        <v>45117.0</v>
      </c>
      <c r="AR31" s="1" t="s">
        <v>195</v>
      </c>
      <c r="AS31" s="1" t="s">
        <v>196</v>
      </c>
      <c r="AT31" s="1" t="s">
        <v>31</v>
      </c>
      <c r="AX31" s="1">
        <v>0.0</v>
      </c>
      <c r="AY31" s="1">
        <v>0.0</v>
      </c>
    </row>
    <row r="32" spans="20:51" ht="15.75" hidden="1">
      <c r="T32" s="1">
        <v>5.7925153E7</v>
      </c>
      <c r="U32" s="1"/>
      <c r="V32" s="1"/>
      <c r="W32" s="1"/>
      <c r="X32" s="1"/>
      <c r="Y32" s="1" t="s">
        <v>197</v>
      </c>
      <c r="Z32" s="1" t="s">
        <v>198</v>
      </c>
      <c r="AA32" s="1" t="s">
        <v>199</v>
      </c>
      <c r="AB32" s="1"/>
      <c r="AC32" s="1"/>
      <c r="AD32" s="1"/>
      <c r="AE32" s="1"/>
      <c r="AG32" s="2" t="str">
        <f>"073523700X"</f>
        <v>073523700X</v>
      </c>
      <c r="AH32" s="2" t="str">
        <f>"9780735237001"</f>
        <v>9780735237001</v>
      </c>
      <c r="AI32" s="1">
        <v>0.0</v>
      </c>
      <c r="AJ32" s="1">
        <v>4.03</v>
      </c>
      <c r="AK32" s="1" t="s">
        <v>200</v>
      </c>
      <c r="AL32" s="1" t="s">
        <v>41</v>
      </c>
      <c r="AM32" s="1">
        <v>400.0</v>
      </c>
      <c r="AN32" s="1">
        <v>2022.0</v>
      </c>
      <c r="AO32" s="1">
        <v>2022.0</v>
      </c>
      <c r="AQ32" s="3">
        <v>45169.0</v>
      </c>
      <c r="AR32" s="1" t="s">
        <v>201</v>
      </c>
      <c r="AS32" s="1" t="s">
        <v>202</v>
      </c>
      <c r="AT32" s="1" t="s">
        <v>31</v>
      </c>
      <c r="AX32" s="1">
        <v>0.0</v>
      </c>
      <c r="AY32" s="1">
        <v>0.0</v>
      </c>
    </row>
    <row r="33" spans="20:51" ht="15.75">
      <c r="T33" s="1">
        <v>10000.0</v>
      </c>
      <c r="U33" s="1"/>
      <c r="V33" s="1"/>
      <c r="W33" s="1"/>
      <c r="X33" s="1"/>
      <c r="Y33" s="1" t="s">
        <v>203</v>
      </c>
      <c r="Z33" s="1" t="s">
        <v>204</v>
      </c>
      <c r="AA33" s="1" t="s">
        <v>205</v>
      </c>
      <c r="AB33" s="1"/>
      <c r="AC33" s="1"/>
      <c r="AD33" s="1"/>
      <c r="AE33" s="1"/>
      <c r="AG33" s="2" t="str">
        <f>"0375726535"</f>
        <v>0375726535</v>
      </c>
      <c r="AH33" s="2" t="str">
        <f>"9780375726538"</f>
        <v>9780375726538</v>
      </c>
      <c r="AI33" s="1">
        <v>0.0</v>
      </c>
      <c r="AJ33" s="1">
        <v>3.75</v>
      </c>
      <c r="AK33" s="1" t="s">
        <v>83</v>
      </c>
      <c r="AL33" s="1" t="s">
        <v>28</v>
      </c>
      <c r="AM33" s="1">
        <v>238.0</v>
      </c>
      <c r="AN33" s="1">
        <v>2003.0</v>
      </c>
      <c r="AO33" s="1">
        <v>1964.0</v>
      </c>
      <c r="AQ33" s="3">
        <v>44245.0</v>
      </c>
      <c r="AR33" s="1" t="s">
        <v>206</v>
      </c>
      <c r="AS33" s="1" t="s">
        <v>207</v>
      </c>
      <c r="AT33" s="1" t="s">
        <v>31</v>
      </c>
      <c r="AX33" s="1">
        <v>0.0</v>
      </c>
      <c r="AY33" s="1">
        <v>0.0</v>
      </c>
    </row>
    <row r="34" spans="20:51" ht="15.75" hidden="1">
      <c r="T34" s="1">
        <v>1729108.0</v>
      </c>
      <c r="U34" s="1"/>
      <c r="V34" s="1"/>
      <c r="W34" s="1"/>
      <c r="X34" s="1"/>
      <c r="Y34" s="1" t="s">
        <v>208</v>
      </c>
      <c r="Z34" s="1" t="s">
        <v>178</v>
      </c>
      <c r="AA34" s="1" t="s">
        <v>179</v>
      </c>
      <c r="AB34" s="1"/>
      <c r="AC34" s="1"/>
      <c r="AD34" s="1"/>
      <c r="AE34" s="1"/>
      <c r="AG34" s="2" t="str">
        <f>"157500111X"</f>
        <v>157500111X</v>
      </c>
      <c r="AH34" s="2" t="str">
        <f>"9781575001111"</f>
        <v>9781575001111</v>
      </c>
      <c r="AI34" s="1">
        <v>0.0</v>
      </c>
      <c r="AJ34" s="1">
        <v>4.34</v>
      </c>
      <c r="AK34" s="1" t="s">
        <v>209</v>
      </c>
      <c r="AL34" s="1" t="s">
        <v>41</v>
      </c>
      <c r="AM34" s="1">
        <v>415.0</v>
      </c>
      <c r="AN34" s="1">
        <v>1990.0</v>
      </c>
      <c r="AO34" s="1">
        <v>1963.0</v>
      </c>
      <c r="AQ34" s="3">
        <v>45182.0</v>
      </c>
      <c r="AR34" s="1" t="s">
        <v>31</v>
      </c>
      <c r="AS34" s="1" t="s">
        <v>210</v>
      </c>
      <c r="AT34" s="1" t="s">
        <v>31</v>
      </c>
      <c r="AX34" s="1">
        <v>0.0</v>
      </c>
      <c r="AY34" s="1">
        <v>0.0</v>
      </c>
    </row>
    <row r="35" spans="20:51" ht="15.75" hidden="1">
      <c r="T35" s="1">
        <v>567542.0</v>
      </c>
      <c r="U35" s="1"/>
      <c r="V35" s="1"/>
      <c r="W35" s="1"/>
      <c r="X35" s="1"/>
      <c r="Y35" s="1" t="s">
        <v>211</v>
      </c>
      <c r="Z35" s="1" t="s">
        <v>212</v>
      </c>
      <c r="AA35" s="1" t="s">
        <v>213</v>
      </c>
      <c r="AB35" s="1"/>
      <c r="AC35" s="1"/>
      <c r="AD35" s="1"/>
      <c r="AE35" s="1"/>
      <c r="AG35" s="2" t="str">
        <f>"0195083520"</f>
        <v>0195083520</v>
      </c>
      <c r="AH35" s="2" t="str">
        <f>"9780195083521"</f>
        <v>9780195083521</v>
      </c>
      <c r="AI35" s="1">
        <v>0.0</v>
      </c>
      <c r="AJ35" s="1">
        <v>3.61</v>
      </c>
      <c r="AK35" s="1" t="s">
        <v>214</v>
      </c>
      <c r="AL35" s="1" t="s">
        <v>28</v>
      </c>
      <c r="AM35" s="1">
        <v>384.0</v>
      </c>
      <c r="AN35" s="1">
        <v>1993.0</v>
      </c>
      <c r="AO35" s="1">
        <v>1991.0</v>
      </c>
      <c r="AQ35" s="3">
        <v>45182.0</v>
      </c>
      <c r="AR35" s="1" t="s">
        <v>96</v>
      </c>
      <c r="AS35" s="1" t="s">
        <v>215</v>
      </c>
      <c r="AT35" s="1" t="s">
        <v>31</v>
      </c>
      <c r="AX35" s="1">
        <v>0.0</v>
      </c>
      <c r="AY35" s="1">
        <v>0.0</v>
      </c>
    </row>
    <row r="36" spans="20:51" ht="15.75" hidden="1">
      <c r="T36" s="1">
        <v>125455.0</v>
      </c>
      <c r="U36" s="1"/>
      <c r="V36" s="1"/>
      <c r="W36" s="1"/>
      <c r="X36" s="1"/>
      <c r="Y36" s="1" t="s">
        <v>216</v>
      </c>
      <c r="Z36" s="1" t="s">
        <v>217</v>
      </c>
      <c r="AA36" s="1" t="s">
        <v>218</v>
      </c>
      <c r="AB36" s="1"/>
      <c r="AC36" s="1"/>
      <c r="AD36" s="1"/>
      <c r="AE36" s="1"/>
      <c r="AG36" s="2" t="str">
        <f>"0743264479"</f>
        <v>0743264479</v>
      </c>
      <c r="AH36" s="2" t="str">
        <f>"9780743264471"</f>
        <v>9780743264471</v>
      </c>
      <c r="AI36" s="1">
        <v>0.0</v>
      </c>
      <c r="AJ36" s="1">
        <v>4.07</v>
      </c>
      <c r="AK36" s="1" t="s">
        <v>101</v>
      </c>
      <c r="AL36" s="1" t="s">
        <v>28</v>
      </c>
      <c r="AM36" s="1">
        <v>640.0</v>
      </c>
      <c r="AN36" s="1">
        <v>2006.0</v>
      </c>
      <c r="AO36" s="1">
        <v>1991.0</v>
      </c>
      <c r="AQ36" s="3">
        <v>45182.0</v>
      </c>
      <c r="AR36" s="1" t="s">
        <v>96</v>
      </c>
      <c r="AS36" s="1" t="s">
        <v>219</v>
      </c>
      <c r="AT36" s="1" t="s">
        <v>31</v>
      </c>
      <c r="AX36" s="1">
        <v>0.0</v>
      </c>
      <c r="AY36" s="1">
        <v>0.0</v>
      </c>
    </row>
    <row r="37" spans="20:51" ht="15.75" hidden="1">
      <c r="T37" s="1">
        <v>300448.0</v>
      </c>
      <c r="U37" s="1"/>
      <c r="V37" s="1"/>
      <c r="W37" s="1"/>
      <c r="X37" s="1"/>
      <c r="Y37" s="1" t="s">
        <v>220</v>
      </c>
      <c r="Z37" s="1" t="s">
        <v>221</v>
      </c>
      <c r="AA37" s="1" t="s">
        <v>222</v>
      </c>
      <c r="AB37" s="1"/>
      <c r="AC37" s="1"/>
      <c r="AD37" s="1"/>
      <c r="AE37" s="1"/>
      <c r="AF37" s="1" t="s">
        <v>223</v>
      </c>
      <c r="AG37" s="2" t="str">
        <f>"0226106748"</f>
        <v>0226106748</v>
      </c>
      <c r="AH37" s="2" t="str">
        <f>"9780226106748"</f>
        <v>9780226106748</v>
      </c>
      <c r="AI37" s="1">
        <v>0.0</v>
      </c>
      <c r="AJ37" s="1">
        <v>4.13</v>
      </c>
      <c r="AK37" s="1" t="s">
        <v>224</v>
      </c>
      <c r="AL37" s="1" t="s">
        <v>28</v>
      </c>
      <c r="AM37" s="1">
        <v>154.0</v>
      </c>
      <c r="AN37" s="1">
        <v>1998.0</v>
      </c>
      <c r="AO37" s="1">
        <v>1937.0</v>
      </c>
      <c r="AQ37" s="3">
        <v>45182.0</v>
      </c>
      <c r="AR37" s="1" t="s">
        <v>96</v>
      </c>
      <c r="AS37" s="1" t="s">
        <v>225</v>
      </c>
      <c r="AT37" s="1" t="s">
        <v>31</v>
      </c>
      <c r="AX37" s="1">
        <v>0.0</v>
      </c>
      <c r="AY37" s="1">
        <v>0.0</v>
      </c>
    </row>
    <row r="38" spans="20:51" ht="15.75" hidden="1">
      <c r="T38" s="1">
        <v>7575633.0</v>
      </c>
      <c r="U38" s="1"/>
      <c r="V38" s="1"/>
      <c r="W38" s="1"/>
      <c r="X38" s="1"/>
      <c r="Y38" s="1" t="s">
        <v>226</v>
      </c>
      <c r="Z38" s="1" t="s">
        <v>221</v>
      </c>
      <c r="AA38" s="1" t="s">
        <v>222</v>
      </c>
      <c r="AB38" s="1"/>
      <c r="AC38" s="1"/>
      <c r="AD38" s="1"/>
      <c r="AE38" s="1"/>
      <c r="AG38" s="2" t="str">
        <f>"0141192720"</f>
        <v>0141192720</v>
      </c>
      <c r="AH38" s="2" t="str">
        <f>"9780141192727"</f>
        <v>9780141192727</v>
      </c>
      <c r="AI38" s="1">
        <v>0.0</v>
      </c>
      <c r="AJ38" s="1">
        <v>4.21</v>
      </c>
      <c r="AK38" s="1" t="s">
        <v>119</v>
      </c>
      <c r="AL38" s="1" t="s">
        <v>28</v>
      </c>
      <c r="AM38" s="1">
        <v>192.0</v>
      </c>
      <c r="AO38" s="1">
        <v>1949.0</v>
      </c>
      <c r="AQ38" s="3">
        <v>45169.0</v>
      </c>
      <c r="AR38" s="1" t="s">
        <v>96</v>
      </c>
      <c r="AS38" s="1" t="s">
        <v>227</v>
      </c>
      <c r="AT38" s="1" t="s">
        <v>31</v>
      </c>
      <c r="AX38" s="1">
        <v>0.0</v>
      </c>
      <c r="AY38" s="1">
        <v>0.0</v>
      </c>
    </row>
    <row r="39" spans="20:51" ht="15.75" hidden="1">
      <c r="T39" s="1">
        <v>208294.0</v>
      </c>
      <c r="U39" s="1"/>
      <c r="V39" s="1"/>
      <c r="W39" s="1"/>
      <c r="X39" s="1"/>
      <c r="Y39" s="1" t="s">
        <v>228</v>
      </c>
      <c r="Z39" s="1" t="s">
        <v>229</v>
      </c>
      <c r="AA39" s="1" t="s">
        <v>230</v>
      </c>
      <c r="AB39" s="1"/>
      <c r="AC39" s="1"/>
      <c r="AD39" s="1"/>
      <c r="AE39" s="1"/>
      <c r="AF39" s="1" t="s">
        <v>231</v>
      </c>
      <c r="AG39" s="2" t="str">
        <f>"0140441433"</f>
        <v>0140441433</v>
      </c>
      <c r="AH39" s="2" t="str">
        <f>"9780140441437"</f>
        <v>9780140441437</v>
      </c>
      <c r="AI39" s="1">
        <v>0.0</v>
      </c>
      <c r="AJ39" s="1">
        <v>4.17</v>
      </c>
      <c r="AK39" s="1" t="s">
        <v>232</v>
      </c>
      <c r="AL39" s="1" t="s">
        <v>28</v>
      </c>
      <c r="AM39" s="1">
        <v>288.0</v>
      </c>
      <c r="AN39" s="1">
        <v>1987.0</v>
      </c>
      <c r="AO39" s="1">
        <v>1987.0</v>
      </c>
      <c r="AQ39" s="3">
        <v>45182.0</v>
      </c>
      <c r="AR39" s="1" t="s">
        <v>96</v>
      </c>
      <c r="AS39" s="1" t="s">
        <v>233</v>
      </c>
      <c r="AT39" s="1" t="s">
        <v>31</v>
      </c>
      <c r="AX39" s="1">
        <v>0.0</v>
      </c>
      <c r="AY39" s="1">
        <v>0.0</v>
      </c>
    </row>
    <row r="40" spans="20:51" ht="15.75" hidden="1">
      <c r="T40" s="1">
        <v>1105221.0</v>
      </c>
      <c r="U40" s="1"/>
      <c r="V40" s="1"/>
      <c r="W40" s="1"/>
      <c r="X40" s="1"/>
      <c r="Y40" s="1" t="s">
        <v>234</v>
      </c>
      <c r="Z40" s="1" t="s">
        <v>235</v>
      </c>
      <c r="AA40" s="1" t="s">
        <v>236</v>
      </c>
      <c r="AB40" s="1"/>
      <c r="AC40" s="1"/>
      <c r="AD40" s="1"/>
      <c r="AE40" s="1"/>
      <c r="AG40" s="2" t="str">
        <f>"0156996820"</f>
        <v>0156996820</v>
      </c>
      <c r="AH40" s="2" t="str">
        <f>"9780156996822"</f>
        <v>9780156996822</v>
      </c>
      <c r="AI40" s="1">
        <v>0.0</v>
      </c>
      <c r="AJ40" s="1">
        <v>3.6</v>
      </c>
      <c r="AK40" s="1" t="s">
        <v>237</v>
      </c>
      <c r="AL40" s="1" t="s">
        <v>28</v>
      </c>
      <c r="AM40" s="1">
        <v>336.0</v>
      </c>
      <c r="AN40" s="1">
        <v>1992.0</v>
      </c>
      <c r="AO40" s="1">
        <v>1966.0</v>
      </c>
      <c r="AQ40" s="3">
        <v>45182.0</v>
      </c>
      <c r="AR40" s="1" t="s">
        <v>96</v>
      </c>
      <c r="AS40" s="1" t="s">
        <v>238</v>
      </c>
      <c r="AT40" s="1" t="s">
        <v>31</v>
      </c>
      <c r="AX40" s="1">
        <v>0.0</v>
      </c>
      <c r="AY40" s="1">
        <v>0.0</v>
      </c>
    </row>
    <row r="41" spans="20:51" ht="15.75" hidden="1">
      <c r="T41" s="1">
        <v>52998.0</v>
      </c>
      <c r="U41" s="1"/>
      <c r="V41" s="1"/>
      <c r="W41" s="1"/>
      <c r="X41" s="1"/>
      <c r="Y41" s="1" t="s">
        <v>239</v>
      </c>
      <c r="Z41" s="1" t="s">
        <v>240</v>
      </c>
      <c r="AA41" s="1" t="s">
        <v>241</v>
      </c>
      <c r="AB41" s="1"/>
      <c r="AC41" s="1"/>
      <c r="AD41" s="1"/>
      <c r="AE41" s="1"/>
      <c r="AF41" s="1" t="s">
        <v>242</v>
      </c>
      <c r="AG41" s="2" t="str">
        <f>"0192836730"</f>
        <v>0192836730</v>
      </c>
      <c r="AH41" s="2" t="str">
        <f>"9780192836731"</f>
        <v>9780192836731</v>
      </c>
      <c r="AI41" s="1">
        <v>0.0</v>
      </c>
      <c r="AJ41" s="1">
        <v>3.61</v>
      </c>
      <c r="AK41" s="1" t="s">
        <v>214</v>
      </c>
      <c r="AL41" s="1" t="s">
        <v>28</v>
      </c>
      <c r="AM41" s="1">
        <v>320.0</v>
      </c>
      <c r="AN41" s="1">
        <v>2000.0</v>
      </c>
      <c r="AO41" s="1">
        <v>1834.0</v>
      </c>
      <c r="AQ41" s="3">
        <v>45182.0</v>
      </c>
      <c r="AR41" s="1" t="s">
        <v>96</v>
      </c>
      <c r="AS41" s="1" t="s">
        <v>243</v>
      </c>
      <c r="AT41" s="1" t="s">
        <v>31</v>
      </c>
      <c r="AX41" s="1">
        <v>0.0</v>
      </c>
      <c r="AY41" s="1">
        <v>0.0</v>
      </c>
    </row>
    <row r="42" spans="20:51" ht="15.75" hidden="1">
      <c r="T42" s="1">
        <v>220432.0</v>
      </c>
      <c r="U42" s="1"/>
      <c r="V42" s="1"/>
      <c r="W42" s="1"/>
      <c r="X42" s="1"/>
      <c r="Y42" s="1" t="s">
        <v>244</v>
      </c>
      <c r="Z42" s="1" t="s">
        <v>245</v>
      </c>
      <c r="AA42" s="1" t="s">
        <v>246</v>
      </c>
      <c r="AB42" s="1"/>
      <c r="AC42" s="1"/>
      <c r="AD42" s="1"/>
      <c r="AE42" s="1"/>
      <c r="AG42" s="2" t="str">
        <f>"0201488329"</f>
        <v>0201488329</v>
      </c>
      <c r="AH42" s="2" t="str">
        <f>"9780201488326"</f>
        <v>9780201488326</v>
      </c>
      <c r="AI42" s="1">
        <v>0.0</v>
      </c>
      <c r="AJ42" s="1">
        <v>3.78</v>
      </c>
      <c r="AK42" s="1" t="s">
        <v>247</v>
      </c>
      <c r="AL42" s="1" t="s">
        <v>28</v>
      </c>
      <c r="AM42" s="1">
        <v>382.0</v>
      </c>
      <c r="AN42" s="1">
        <v>1996.0</v>
      </c>
      <c r="AO42" s="1">
        <v>1995.0</v>
      </c>
      <c r="AQ42" s="3">
        <v>45182.0</v>
      </c>
      <c r="AR42" s="1" t="s">
        <v>96</v>
      </c>
      <c r="AS42" s="1" t="s">
        <v>248</v>
      </c>
      <c r="AT42" s="1" t="s">
        <v>31</v>
      </c>
      <c r="AX42" s="1">
        <v>0.0</v>
      </c>
      <c r="AY42" s="1">
        <v>0.0</v>
      </c>
    </row>
    <row r="43" spans="20:51" ht="15.75" hidden="1">
      <c r="T43" s="1">
        <v>11987.0</v>
      </c>
      <c r="U43" s="1"/>
      <c r="V43" s="1"/>
      <c r="W43" s="1"/>
      <c r="X43" s="1"/>
      <c r="Y43" s="1" t="s">
        <v>249</v>
      </c>
      <c r="Z43" s="1" t="s">
        <v>250</v>
      </c>
      <c r="AA43" s="1" t="s">
        <v>251</v>
      </c>
      <c r="AB43" s="1"/>
      <c r="AC43" s="1"/>
      <c r="AD43" s="1"/>
      <c r="AE43" s="1"/>
      <c r="AF43" s="1" t="s">
        <v>252</v>
      </c>
      <c r="AG43" s="2" t="str">
        <f t="shared" si="2" ref="AG43:AH43">""</f>
        <v/>
      </c>
      <c r="AH43" s="2" t="str">
        <f t="shared" si="2"/>
        <v/>
      </c>
      <c r="AI43" s="1">
        <v>0.0</v>
      </c>
      <c r="AJ43" s="1">
        <v>4.22</v>
      </c>
      <c r="AK43" s="1" t="s">
        <v>253</v>
      </c>
      <c r="AL43" s="1" t="s">
        <v>28</v>
      </c>
      <c r="AM43" s="1">
        <v>212.0</v>
      </c>
      <c r="AN43" s="1">
        <v>1991.0</v>
      </c>
      <c r="AO43" s="1">
        <v>1942.0</v>
      </c>
      <c r="AQ43" s="3">
        <v>45182.0</v>
      </c>
      <c r="AR43" s="1" t="s">
        <v>96</v>
      </c>
      <c r="AS43" s="1" t="s">
        <v>254</v>
      </c>
      <c r="AT43" s="1" t="s">
        <v>31</v>
      </c>
      <c r="AX43" s="1">
        <v>0.0</v>
      </c>
      <c r="AY43" s="1">
        <v>0.0</v>
      </c>
    </row>
    <row r="44" spans="20:51" ht="15.75" hidden="1">
      <c r="T44" s="1">
        <v>3.3125738E7</v>
      </c>
      <c r="U44" s="1"/>
      <c r="V44" s="1"/>
      <c r="W44" s="1"/>
      <c r="X44" s="1"/>
      <c r="Y44" s="1" t="s">
        <v>255</v>
      </c>
      <c r="Z44" s="1" t="s">
        <v>256</v>
      </c>
      <c r="AA44" s="1" t="s">
        <v>257</v>
      </c>
      <c r="AB44" s="1"/>
      <c r="AC44" s="1"/>
      <c r="AD44" s="1"/>
      <c r="AE44" s="1"/>
      <c r="AF44" s="1" t="s">
        <v>258</v>
      </c>
      <c r="AG44" s="2" t="str">
        <f>"0141192283"</f>
        <v>0141192283</v>
      </c>
      <c r="AH44" s="2" t="str">
        <f>"9780141192284"</f>
        <v>9780141192284</v>
      </c>
      <c r="AI44" s="1">
        <v>0.0</v>
      </c>
      <c r="AJ44" s="1">
        <v>4.12</v>
      </c>
      <c r="AK44" s="1" t="s">
        <v>232</v>
      </c>
      <c r="AL44" s="1" t="s">
        <v>28</v>
      </c>
      <c r="AM44" s="1">
        <v>1424.0</v>
      </c>
      <c r="AN44" s="1">
        <v>2022.0</v>
      </c>
      <c r="AO44" s="1">
        <v>1621.0</v>
      </c>
      <c r="AQ44" s="4">
        <v>44484.0</v>
      </c>
      <c r="AR44" s="1" t="s">
        <v>96</v>
      </c>
      <c r="AS44" s="1" t="s">
        <v>259</v>
      </c>
      <c r="AT44" s="1" t="s">
        <v>31</v>
      </c>
      <c r="AX44" s="1">
        <v>0.0</v>
      </c>
      <c r="AY44" s="1">
        <v>0.0</v>
      </c>
    </row>
    <row r="45" spans="20:51" ht="15.75" hidden="1">
      <c r="T45" s="1">
        <v>229733.0</v>
      </c>
      <c r="U45" s="1"/>
      <c r="V45" s="1"/>
      <c r="W45" s="1"/>
      <c r="X45" s="1"/>
      <c r="Y45" s="1" t="s">
        <v>260</v>
      </c>
      <c r="Z45" s="1" t="s">
        <v>261</v>
      </c>
      <c r="AA45" s="1" t="s">
        <v>262</v>
      </c>
      <c r="AB45" s="1"/>
      <c r="AC45" s="1"/>
      <c r="AD45" s="1"/>
      <c r="AE45" s="1"/>
      <c r="AG45" s="2" t="str">
        <f>"0099490668"</f>
        <v>0099490668</v>
      </c>
      <c r="AH45" s="2" t="str">
        <f>"9780099490661"</f>
        <v>9780099490661</v>
      </c>
      <c r="AI45" s="1">
        <v>0.0</v>
      </c>
      <c r="AJ45" s="1">
        <v>4.02</v>
      </c>
      <c r="AK45" s="1" t="s">
        <v>263</v>
      </c>
      <c r="AL45" s="1" t="s">
        <v>28</v>
      </c>
      <c r="AM45" s="1">
        <v>304.0</v>
      </c>
      <c r="AN45" s="1">
        <v>2006.0</v>
      </c>
      <c r="AO45" s="1">
        <v>1925.0</v>
      </c>
      <c r="AQ45" s="3">
        <v>45182.0</v>
      </c>
      <c r="AR45" s="1" t="s">
        <v>96</v>
      </c>
      <c r="AS45" s="1" t="s">
        <v>264</v>
      </c>
      <c r="AT45" s="1" t="s">
        <v>31</v>
      </c>
      <c r="AX45" s="1">
        <v>0.0</v>
      </c>
      <c r="AY45" s="1">
        <v>0.0</v>
      </c>
    </row>
    <row r="46" spans="20:51" ht="15.75" hidden="1">
      <c r="T46" s="1">
        <v>317338.0</v>
      </c>
      <c r="U46" s="1"/>
      <c r="V46" s="1"/>
      <c r="W46" s="1"/>
      <c r="X46" s="1"/>
      <c r="Y46" s="1" t="s">
        <v>265</v>
      </c>
      <c r="Z46" s="1" t="s">
        <v>266</v>
      </c>
      <c r="AA46" s="1" t="s">
        <v>267</v>
      </c>
      <c r="AB46" s="1"/>
      <c r="AC46" s="1"/>
      <c r="AD46" s="1"/>
      <c r="AE46" s="1"/>
      <c r="AG46" s="2" t="str">
        <f>"0415103479"</f>
        <v>0415103479</v>
      </c>
      <c r="AH46" s="2" t="str">
        <f>"9780415103473"</f>
        <v>9780415103473</v>
      </c>
      <c r="AI46" s="1">
        <v>0.0</v>
      </c>
      <c r="AJ46" s="1">
        <v>3.96</v>
      </c>
      <c r="AK46" s="1" t="s">
        <v>132</v>
      </c>
      <c r="AL46" s="1" t="s">
        <v>28</v>
      </c>
      <c r="AM46" s="1">
        <v>222.0</v>
      </c>
      <c r="AN46" s="1">
        <v>1993.0</v>
      </c>
      <c r="AO46" s="1">
        <v>1993.0</v>
      </c>
      <c r="AQ46" s="3">
        <v>45182.0</v>
      </c>
      <c r="AR46" s="1" t="s">
        <v>96</v>
      </c>
      <c r="AS46" s="1" t="s">
        <v>268</v>
      </c>
      <c r="AT46" s="1" t="s">
        <v>31</v>
      </c>
      <c r="AX46" s="1">
        <v>0.0</v>
      </c>
      <c r="AY46" s="1">
        <v>0.0</v>
      </c>
    </row>
    <row r="47" spans="20:51" ht="15.75" hidden="1">
      <c r="T47" s="1">
        <v>2351302.0</v>
      </c>
      <c r="U47" s="1"/>
      <c r="V47" s="1"/>
      <c r="W47" s="1"/>
      <c r="X47" s="1"/>
      <c r="Y47" s="1" t="s">
        <v>269</v>
      </c>
      <c r="Z47" s="1" t="s">
        <v>270</v>
      </c>
      <c r="AA47" s="1" t="s">
        <v>271</v>
      </c>
      <c r="AB47" s="1"/>
      <c r="AC47" s="1"/>
      <c r="AD47" s="1"/>
      <c r="AE47" s="1"/>
      <c r="AG47" s="2" t="str">
        <f>"0195131061"</f>
        <v>0195131061</v>
      </c>
      <c r="AH47" s="2" t="str">
        <f>"9780195131062"</f>
        <v>9780195131062</v>
      </c>
      <c r="AI47" s="1">
        <v>0.0</v>
      </c>
      <c r="AJ47" s="1">
        <v>3.36</v>
      </c>
      <c r="AK47" s="1" t="s">
        <v>214</v>
      </c>
      <c r="AL47" s="1" t="s">
        <v>28</v>
      </c>
      <c r="AM47" s="1">
        <v>256.0</v>
      </c>
      <c r="AN47" s="1">
        <v>1999.0</v>
      </c>
      <c r="AO47" s="1">
        <v>1998.0</v>
      </c>
      <c r="AQ47" s="3">
        <v>45181.0</v>
      </c>
      <c r="AR47" s="1" t="s">
        <v>96</v>
      </c>
      <c r="AS47" s="1" t="s">
        <v>272</v>
      </c>
      <c r="AT47" s="1" t="s">
        <v>31</v>
      </c>
      <c r="AX47" s="1">
        <v>0.0</v>
      </c>
      <c r="AY47" s="1">
        <v>0.0</v>
      </c>
    </row>
    <row r="48" spans="20:51" ht="15.75" hidden="1">
      <c r="T48" s="1">
        <v>152435.0</v>
      </c>
      <c r="U48" s="1"/>
      <c r="V48" s="1"/>
      <c r="W48" s="1"/>
      <c r="X48" s="1"/>
      <c r="Y48" s="1" t="s">
        <v>273</v>
      </c>
      <c r="Z48" s="1" t="s">
        <v>274</v>
      </c>
      <c r="AA48" s="1" t="s">
        <v>275</v>
      </c>
      <c r="AB48" s="1"/>
      <c r="AC48" s="1"/>
      <c r="AD48" s="1"/>
      <c r="AE48" s="1"/>
      <c r="AG48" s="2" t="str">
        <f>"0226039056"</f>
        <v>0226039056</v>
      </c>
      <c r="AH48" s="2" t="str">
        <f>"9780226039053"</f>
        <v>9780226039053</v>
      </c>
      <c r="AI48" s="1">
        <v>0.0</v>
      </c>
      <c r="AJ48" s="1">
        <v>4.25</v>
      </c>
      <c r="AK48" s="1" t="s">
        <v>224</v>
      </c>
      <c r="AL48" s="1" t="s">
        <v>28</v>
      </c>
      <c r="AM48" s="1">
        <v>533.0</v>
      </c>
      <c r="AN48" s="1">
        <v>2000.0</v>
      </c>
      <c r="AO48" s="1">
        <v>1972.0</v>
      </c>
      <c r="AQ48" s="3">
        <v>45181.0</v>
      </c>
      <c r="AR48" s="1" t="s">
        <v>96</v>
      </c>
      <c r="AS48" s="1" t="s">
        <v>276</v>
      </c>
      <c r="AT48" s="1" t="s">
        <v>31</v>
      </c>
      <c r="AX48" s="1">
        <v>0.0</v>
      </c>
      <c r="AY48" s="1">
        <v>0.0</v>
      </c>
    </row>
    <row r="49" spans="20:51" ht="15.75" hidden="1">
      <c r="T49" s="1">
        <v>2761.0</v>
      </c>
      <c r="U49" s="1"/>
      <c r="V49" s="1"/>
      <c r="W49" s="1"/>
      <c r="X49" s="1"/>
      <c r="Y49" s="1" t="s">
        <v>277</v>
      </c>
      <c r="Z49" s="1" t="s">
        <v>278</v>
      </c>
      <c r="AA49" s="1" t="s">
        <v>279</v>
      </c>
      <c r="AB49" s="1"/>
      <c r="AC49" s="1"/>
      <c r="AD49" s="1"/>
      <c r="AE49" s="1"/>
      <c r="AG49" s="2" t="str">
        <f>"0684832402"</f>
        <v>0684832402</v>
      </c>
      <c r="AH49" s="2" t="str">
        <f>"9780684832401"</f>
        <v>9780684832401</v>
      </c>
      <c r="AI49" s="1">
        <v>0.0</v>
      </c>
      <c r="AJ49" s="1">
        <v>4.1</v>
      </c>
      <c r="AK49" s="1" t="s">
        <v>280</v>
      </c>
      <c r="AL49" s="1" t="s">
        <v>28</v>
      </c>
      <c r="AM49" s="1">
        <v>336.0</v>
      </c>
      <c r="AN49" s="1">
        <v>1997.0</v>
      </c>
      <c r="AO49" s="1">
        <v>1973.0</v>
      </c>
      <c r="AQ49" s="3">
        <v>45181.0</v>
      </c>
      <c r="AR49" s="1" t="s">
        <v>96</v>
      </c>
      <c r="AS49" s="1" t="s">
        <v>281</v>
      </c>
      <c r="AT49" s="1" t="s">
        <v>31</v>
      </c>
      <c r="AX49" s="1">
        <v>0.0</v>
      </c>
      <c r="AY49" s="1">
        <v>0.0</v>
      </c>
    </row>
    <row r="50" spans="20:51" ht="15.75" hidden="1">
      <c r="T50" s="1">
        <v>1.894776E7</v>
      </c>
      <c r="U50" s="1"/>
      <c r="V50" s="1"/>
      <c r="W50" s="1"/>
      <c r="X50" s="1"/>
      <c r="Y50" s="1" t="s">
        <v>282</v>
      </c>
      <c r="Z50" s="1" t="s">
        <v>283</v>
      </c>
      <c r="AA50" s="1" t="s">
        <v>284</v>
      </c>
      <c r="AB50" s="1"/>
      <c r="AC50" s="1"/>
      <c r="AD50" s="1"/>
      <c r="AE50" s="1"/>
      <c r="AG50" s="2" t="str">
        <f t="shared" si="3" ref="AG50:AH50">""</f>
        <v/>
      </c>
      <c r="AH50" s="2" t="str">
        <f t="shared" si="3"/>
        <v/>
      </c>
      <c r="AI50" s="1">
        <v>0.0</v>
      </c>
      <c r="AJ50" s="1">
        <v>4.38</v>
      </c>
      <c r="AK50" s="1" t="s">
        <v>285</v>
      </c>
      <c r="AL50" s="1" t="s">
        <v>59</v>
      </c>
      <c r="AM50" s="1">
        <v>484.0</v>
      </c>
      <c r="AN50" s="1">
        <v>2012.0</v>
      </c>
      <c r="AO50" s="1">
        <v>1961.0</v>
      </c>
      <c r="AQ50" s="3">
        <v>45181.0</v>
      </c>
      <c r="AR50" s="1" t="s">
        <v>96</v>
      </c>
      <c r="AS50" s="1" t="s">
        <v>286</v>
      </c>
      <c r="AT50" s="1" t="s">
        <v>31</v>
      </c>
      <c r="AX50" s="1">
        <v>0.0</v>
      </c>
      <c r="AY50" s="1">
        <v>0.0</v>
      </c>
    </row>
    <row r="51" spans="20:51" ht="15.75" hidden="1">
      <c r="T51" s="1">
        <v>12279.0</v>
      </c>
      <c r="U51" s="1"/>
      <c r="V51" s="1"/>
      <c r="W51" s="1"/>
      <c r="X51" s="1"/>
      <c r="Y51" s="1" t="s">
        <v>287</v>
      </c>
      <c r="Z51" s="1" t="s">
        <v>283</v>
      </c>
      <c r="AA51" s="1" t="s">
        <v>284</v>
      </c>
      <c r="AB51" s="1"/>
      <c r="AC51" s="1"/>
      <c r="AD51" s="1"/>
      <c r="AE51" s="1"/>
      <c r="AF51" s="1" t="s">
        <v>288</v>
      </c>
      <c r="AG51" s="2" t="str">
        <f>"0375400702"</f>
        <v>0375400702</v>
      </c>
      <c r="AH51" s="2" t="str">
        <f>"9780375400704"</f>
        <v>9780375400704</v>
      </c>
      <c r="AI51" s="1">
        <v>0.0</v>
      </c>
      <c r="AJ51" s="1">
        <v>4.28</v>
      </c>
      <c r="AK51" s="1" t="s">
        <v>289</v>
      </c>
      <c r="AL51" s="1" t="s">
        <v>41</v>
      </c>
      <c r="AM51" s="1">
        <v>512.0</v>
      </c>
      <c r="AN51" s="1">
        <v>1997.0</v>
      </c>
      <c r="AO51" s="1">
        <v>1958.0</v>
      </c>
      <c r="AQ51" s="3">
        <v>45181.0</v>
      </c>
      <c r="AR51" s="1" t="s">
        <v>96</v>
      </c>
      <c r="AS51" s="1" t="s">
        <v>290</v>
      </c>
      <c r="AT51" s="1" t="s">
        <v>31</v>
      </c>
      <c r="AX51" s="1">
        <v>0.0</v>
      </c>
      <c r="AY51" s="1">
        <v>0.0</v>
      </c>
    </row>
    <row r="52" spans="20:51" ht="15.75" hidden="1">
      <c r="T52" s="1">
        <v>4976798.0</v>
      </c>
      <c r="U52" s="1"/>
      <c r="V52" s="1"/>
      <c r="W52" s="1"/>
      <c r="X52" s="1"/>
      <c r="Y52" s="1" t="s">
        <v>291</v>
      </c>
      <c r="Z52" s="1" t="s">
        <v>292</v>
      </c>
      <c r="AA52" s="1" t="s">
        <v>293</v>
      </c>
      <c r="AB52" s="1"/>
      <c r="AC52" s="1"/>
      <c r="AD52" s="1"/>
      <c r="AE52" s="1"/>
      <c r="AG52" s="2" t="str">
        <f>"0275944050"</f>
        <v>0275944050</v>
      </c>
      <c r="AH52" s="2" t="str">
        <f>"9780275944056"</f>
        <v>9780275944056</v>
      </c>
      <c r="AI52" s="1">
        <v>0.0</v>
      </c>
      <c r="AJ52" s="1">
        <v>0.0</v>
      </c>
      <c r="AK52" s="1" t="s">
        <v>294</v>
      </c>
      <c r="AL52" s="1" t="s">
        <v>41</v>
      </c>
      <c r="AM52" s="1">
        <v>320.0</v>
      </c>
      <c r="AN52" s="1">
        <v>1993.0</v>
      </c>
      <c r="AO52" s="1">
        <v>1993.0</v>
      </c>
      <c r="AQ52" s="3">
        <v>45181.0</v>
      </c>
      <c r="AR52" s="1" t="s">
        <v>96</v>
      </c>
      <c r="AS52" s="1" t="s">
        <v>295</v>
      </c>
      <c r="AT52" s="1" t="s">
        <v>31</v>
      </c>
      <c r="AX52" s="1">
        <v>0.0</v>
      </c>
      <c r="AY52" s="1">
        <v>0.0</v>
      </c>
    </row>
    <row r="53" spans="20:51" ht="15.75" hidden="1">
      <c r="T53" s="1">
        <v>20942.0</v>
      </c>
      <c r="U53" s="1"/>
      <c r="V53" s="1"/>
      <c r="W53" s="1"/>
      <c r="X53" s="1"/>
      <c r="Y53" s="1" t="s">
        <v>296</v>
      </c>
      <c r="Z53" s="1" t="s">
        <v>297</v>
      </c>
      <c r="AA53" s="1" t="s">
        <v>298</v>
      </c>
      <c r="AB53" s="1"/>
      <c r="AC53" s="1"/>
      <c r="AD53" s="1"/>
      <c r="AE53" s="1"/>
      <c r="AG53" s="2" t="str">
        <f>"157322751X"</f>
        <v>157322751X</v>
      </c>
      <c r="AH53" s="2" t="str">
        <f>"9781573227513"</f>
        <v>9781573227513</v>
      </c>
      <c r="AI53" s="1">
        <v>0.0</v>
      </c>
      <c r="AJ53" s="1">
        <v>4.03</v>
      </c>
      <c r="AK53" s="1" t="s">
        <v>299</v>
      </c>
      <c r="AL53" s="1" t="s">
        <v>28</v>
      </c>
      <c r="AM53" s="1">
        <v>745.0</v>
      </c>
      <c r="AN53" s="1">
        <v>1999.0</v>
      </c>
      <c r="AO53" s="1">
        <v>1998.0</v>
      </c>
      <c r="AQ53" s="3">
        <v>45181.0</v>
      </c>
      <c r="AR53" s="1" t="s">
        <v>96</v>
      </c>
      <c r="AS53" s="1" t="s">
        <v>300</v>
      </c>
      <c r="AT53" s="1" t="s">
        <v>31</v>
      </c>
      <c r="AX53" s="1">
        <v>0.0</v>
      </c>
      <c r="AY53" s="1">
        <v>0.0</v>
      </c>
    </row>
    <row r="54" spans="20:51" ht="15.75" hidden="1">
      <c r="T54" s="1">
        <v>311466.0</v>
      </c>
      <c r="U54" s="1"/>
      <c r="V54" s="1"/>
      <c r="W54" s="1"/>
      <c r="X54" s="1"/>
      <c r="Y54" s="1" t="s">
        <v>301</v>
      </c>
      <c r="Z54" s="1" t="s">
        <v>302</v>
      </c>
      <c r="AA54" s="1" t="s">
        <v>303</v>
      </c>
      <c r="AB54" s="1"/>
      <c r="AC54" s="1"/>
      <c r="AD54" s="1"/>
      <c r="AE54" s="1"/>
      <c r="AG54" s="2" t="str">
        <f>"0786716568"</f>
        <v>0786716568</v>
      </c>
      <c r="AH54" s="2" t="str">
        <f>"9780786716562"</f>
        <v>9780786716562</v>
      </c>
      <c r="AI54" s="1">
        <v>0.0</v>
      </c>
      <c r="AJ54" s="1">
        <v>3.98</v>
      </c>
      <c r="AK54" s="1" t="s">
        <v>304</v>
      </c>
      <c r="AL54" s="1" t="s">
        <v>28</v>
      </c>
      <c r="AM54" s="1">
        <v>496.0</v>
      </c>
      <c r="AN54" s="1">
        <v>2005.0</v>
      </c>
      <c r="AO54" s="1">
        <v>2003.0</v>
      </c>
      <c r="AQ54" s="3">
        <v>45181.0</v>
      </c>
      <c r="AR54" s="1" t="s">
        <v>161</v>
      </c>
      <c r="AS54" s="1" t="s">
        <v>305</v>
      </c>
      <c r="AT54" s="1" t="s">
        <v>31</v>
      </c>
      <c r="AX54" s="1">
        <v>0.0</v>
      </c>
      <c r="AY54" s="1">
        <v>0.0</v>
      </c>
    </row>
    <row r="55" spans="20:51" ht="15.75" hidden="1">
      <c r="T55" s="1">
        <v>536387.0</v>
      </c>
      <c r="U55" s="1"/>
      <c r="V55" s="1"/>
      <c r="W55" s="1"/>
      <c r="X55" s="1"/>
      <c r="Y55" s="1" t="s">
        <v>306</v>
      </c>
      <c r="Z55" s="1" t="s">
        <v>307</v>
      </c>
      <c r="AA55" s="1" t="s">
        <v>308</v>
      </c>
      <c r="AB55" s="1"/>
      <c r="AC55" s="1"/>
      <c r="AD55" s="1"/>
      <c r="AE55" s="1"/>
      <c r="AF55" s="1" t="s">
        <v>309</v>
      </c>
      <c r="AG55" s="2" t="str">
        <f>"0192835459"</f>
        <v>0192835459</v>
      </c>
      <c r="AH55" s="2" t="str">
        <f>"9780192835451"</f>
        <v>9780192835451</v>
      </c>
      <c r="AI55" s="1">
        <v>0.0</v>
      </c>
      <c r="AJ55" s="1">
        <v>4.21</v>
      </c>
      <c r="AK55" s="1" t="s">
        <v>214</v>
      </c>
      <c r="AL55" s="1" t="s">
        <v>28</v>
      </c>
      <c r="AM55" s="1">
        <v>464.0</v>
      </c>
      <c r="AN55" s="1">
        <v>1998.0</v>
      </c>
      <c r="AO55" s="1">
        <v>1857.0</v>
      </c>
      <c r="AQ55" s="3">
        <v>41545.0</v>
      </c>
      <c r="AR55" s="1" t="s">
        <v>96</v>
      </c>
      <c r="AS55" s="1" t="s">
        <v>310</v>
      </c>
      <c r="AT55" s="1" t="s">
        <v>31</v>
      </c>
      <c r="AX55" s="1">
        <v>0.0</v>
      </c>
      <c r="AY55" s="1">
        <v>0.0</v>
      </c>
    </row>
    <row r="56" spans="20:51" ht="15.75" hidden="1">
      <c r="T56" s="1">
        <v>808322.0</v>
      </c>
      <c r="U56" s="1"/>
      <c r="V56" s="1"/>
      <c r="W56" s="1"/>
      <c r="X56" s="1"/>
      <c r="Y56" s="1" t="s">
        <v>311</v>
      </c>
      <c r="Z56" s="1" t="s">
        <v>312</v>
      </c>
      <c r="AA56" s="1" t="s">
        <v>313</v>
      </c>
      <c r="AB56" s="1"/>
      <c r="AC56" s="1"/>
      <c r="AD56" s="1"/>
      <c r="AE56" s="1"/>
      <c r="AG56" s="2" t="str">
        <f>"0671832042"</f>
        <v>0671832042</v>
      </c>
      <c r="AH56" s="2" t="str">
        <f>"9780671832049"</f>
        <v>9780671832049</v>
      </c>
      <c r="AI56" s="1">
        <v>0.0</v>
      </c>
      <c r="AJ56" s="1">
        <v>4.07</v>
      </c>
      <c r="AK56" s="1" t="s">
        <v>314</v>
      </c>
      <c r="AL56" s="1" t="s">
        <v>315</v>
      </c>
      <c r="AM56" s="1">
        <v>159.0</v>
      </c>
      <c r="AN56" s="1">
        <v>1980.0</v>
      </c>
      <c r="AO56" s="1">
        <v>1972.0</v>
      </c>
      <c r="AQ56" s="3">
        <v>44416.0</v>
      </c>
      <c r="AR56" s="1" t="s">
        <v>316</v>
      </c>
      <c r="AS56" s="1" t="s">
        <v>317</v>
      </c>
      <c r="AT56" s="1" t="s">
        <v>31</v>
      </c>
      <c r="AX56" s="1">
        <v>0.0</v>
      </c>
      <c r="AY56" s="1">
        <v>0.0</v>
      </c>
    </row>
    <row r="57" spans="20:51" ht="15.75" hidden="1">
      <c r="T57" s="1">
        <v>73860.0</v>
      </c>
      <c r="U57" s="1"/>
      <c r="V57" s="1"/>
      <c r="W57" s="1"/>
      <c r="X57" s="1"/>
      <c r="Y57" s="1" t="s">
        <v>318</v>
      </c>
      <c r="Z57" s="1" t="s">
        <v>319</v>
      </c>
      <c r="AA57" s="1" t="s">
        <v>320</v>
      </c>
      <c r="AB57" s="1"/>
      <c r="AC57" s="1"/>
      <c r="AD57" s="1"/>
      <c r="AE57" s="1"/>
      <c r="AG57" s="2" t="str">
        <f>"0345339258"</f>
        <v>0345339258</v>
      </c>
      <c r="AH57" s="2" t="str">
        <f>"9780345339256"</f>
        <v>9780345339256</v>
      </c>
      <c r="AI57" s="1">
        <v>0.0</v>
      </c>
      <c r="AJ57" s="1">
        <v>4.21</v>
      </c>
      <c r="AK57" s="1" t="s">
        <v>321</v>
      </c>
      <c r="AL57" s="1" t="s">
        <v>315</v>
      </c>
      <c r="AM57" s="1">
        <v>224.0</v>
      </c>
      <c r="AN57" s="1">
        <v>1986.0</v>
      </c>
      <c r="AO57" s="1">
        <v>1964.0</v>
      </c>
      <c r="AQ57" s="3">
        <v>45181.0</v>
      </c>
      <c r="AR57" s="1" t="s">
        <v>96</v>
      </c>
      <c r="AS57" s="1" t="s">
        <v>322</v>
      </c>
      <c r="AT57" s="1" t="s">
        <v>31</v>
      </c>
      <c r="AX57" s="1">
        <v>0.0</v>
      </c>
      <c r="AY57" s="1">
        <v>0.0</v>
      </c>
    </row>
    <row r="58" spans="20:51" ht="15.75" hidden="1">
      <c r="T58" s="1">
        <v>361991.0</v>
      </c>
      <c r="U58" s="1"/>
      <c r="V58" s="1"/>
      <c r="W58" s="1"/>
      <c r="X58" s="1"/>
      <c r="Y58" s="1" t="s">
        <v>323</v>
      </c>
      <c r="Z58" s="1" t="s">
        <v>324</v>
      </c>
      <c r="AA58" s="1" t="s">
        <v>325</v>
      </c>
      <c r="AB58" s="1"/>
      <c r="AC58" s="1"/>
      <c r="AD58" s="1"/>
      <c r="AE58" s="1"/>
      <c r="AG58" s="2" t="str">
        <f>"0195537688"</f>
        <v>0195537688</v>
      </c>
      <c r="AH58" s="2" t="str">
        <f>"9780195537680"</f>
        <v>9780195537680</v>
      </c>
      <c r="AI58" s="1">
        <v>0.0</v>
      </c>
      <c r="AJ58" s="1">
        <v>3.5</v>
      </c>
      <c r="AK58" s="1" t="s">
        <v>214</v>
      </c>
      <c r="AL58" s="1" t="s">
        <v>28</v>
      </c>
      <c r="AM58" s="1">
        <v>240.0</v>
      </c>
      <c r="AN58" s="1">
        <v>1996.0</v>
      </c>
      <c r="AO58" s="1">
        <v>1996.0</v>
      </c>
      <c r="AQ58" s="3">
        <v>45181.0</v>
      </c>
      <c r="AR58" s="1" t="s">
        <v>96</v>
      </c>
      <c r="AS58" s="1" t="s">
        <v>326</v>
      </c>
      <c r="AT58" s="1" t="s">
        <v>31</v>
      </c>
      <c r="AX58" s="1">
        <v>0.0</v>
      </c>
      <c r="AY58" s="1">
        <v>0.0</v>
      </c>
    </row>
    <row r="59" spans="20:51" ht="15.75" hidden="1">
      <c r="T59" s="1">
        <v>1768631.0</v>
      </c>
      <c r="U59" s="1"/>
      <c r="V59" s="1"/>
      <c r="W59" s="1"/>
      <c r="X59" s="1"/>
      <c r="Y59" s="1" t="s">
        <v>327</v>
      </c>
      <c r="Z59" s="1" t="s">
        <v>328</v>
      </c>
      <c r="AA59" s="1" t="s">
        <v>329</v>
      </c>
      <c r="AB59" s="1"/>
      <c r="AC59" s="1"/>
      <c r="AD59" s="1"/>
      <c r="AE59" s="1"/>
      <c r="AF59" s="1" t="s">
        <v>330</v>
      </c>
      <c r="AG59" s="2" t="str">
        <f>"0810961687"</f>
        <v>0810961687</v>
      </c>
      <c r="AH59" s="2" t="str">
        <f>"9780810961685"</f>
        <v>9780810961685</v>
      </c>
      <c r="AI59" s="1">
        <v>0.0</v>
      </c>
      <c r="AJ59" s="1">
        <v>4.46</v>
      </c>
      <c r="AK59" s="1" t="s">
        <v>331</v>
      </c>
      <c r="AL59" s="1" t="s">
        <v>41</v>
      </c>
      <c r="AM59" s="1">
        <v>167.0</v>
      </c>
      <c r="AN59" s="1">
        <v>1715.0</v>
      </c>
      <c r="AO59" s="1">
        <v>1996.0</v>
      </c>
      <c r="AQ59" s="3">
        <v>45181.0</v>
      </c>
      <c r="AR59" s="1" t="s">
        <v>96</v>
      </c>
      <c r="AS59" s="1" t="s">
        <v>332</v>
      </c>
      <c r="AT59" s="1" t="s">
        <v>31</v>
      </c>
      <c r="AX59" s="1">
        <v>0.0</v>
      </c>
      <c r="AY59" s="1">
        <v>0.0</v>
      </c>
    </row>
    <row r="60" spans="20:51" ht="15.75" hidden="1">
      <c r="T60" s="1">
        <v>1652685.0</v>
      </c>
      <c r="U60" s="1"/>
      <c r="V60" s="1"/>
      <c r="W60" s="1"/>
      <c r="X60" s="1"/>
      <c r="Y60" s="1" t="s">
        <v>333</v>
      </c>
      <c r="Z60" s="1" t="s">
        <v>334</v>
      </c>
      <c r="AA60" s="1" t="s">
        <v>335</v>
      </c>
      <c r="AB60" s="1"/>
      <c r="AC60" s="1"/>
      <c r="AD60" s="1"/>
      <c r="AE60" s="1"/>
      <c r="AF60" s="1" t="s">
        <v>336</v>
      </c>
      <c r="AG60" s="2" t="str">
        <f>"0140585095"</f>
        <v>0140585095</v>
      </c>
      <c r="AH60" s="2" t="str">
        <f>"9780140585094"</f>
        <v>9780140585094</v>
      </c>
      <c r="AI60" s="1">
        <v>0.0</v>
      </c>
      <c r="AJ60" s="1">
        <v>3.91</v>
      </c>
      <c r="AK60" s="1" t="s">
        <v>119</v>
      </c>
      <c r="AL60" s="1" t="s">
        <v>28</v>
      </c>
      <c r="AM60" s="1">
        <v>272.0</v>
      </c>
      <c r="AN60" s="1">
        <v>1985.0</v>
      </c>
      <c r="AO60" s="1">
        <v>1965.0</v>
      </c>
      <c r="AQ60" s="3">
        <v>45181.0</v>
      </c>
      <c r="AR60" s="1" t="s">
        <v>96</v>
      </c>
      <c r="AS60" s="1" t="s">
        <v>337</v>
      </c>
      <c r="AT60" s="1" t="s">
        <v>31</v>
      </c>
      <c r="AX60" s="1">
        <v>0.0</v>
      </c>
      <c r="AY60" s="1">
        <v>0.0</v>
      </c>
    </row>
    <row r="61" spans="20:51" ht="15.75" hidden="1">
      <c r="T61" s="1">
        <v>1116430.0</v>
      </c>
      <c r="U61" s="1"/>
      <c r="V61" s="1"/>
      <c r="W61" s="1"/>
      <c r="X61" s="1"/>
      <c r="Y61" s="1" t="s">
        <v>338</v>
      </c>
      <c r="Z61" s="1" t="s">
        <v>339</v>
      </c>
      <c r="AA61" s="1" t="s">
        <v>340</v>
      </c>
      <c r="AB61" s="1"/>
      <c r="AC61" s="1"/>
      <c r="AD61" s="1"/>
      <c r="AE61" s="1"/>
      <c r="AG61" s="2" t="str">
        <f>"0415178584"</f>
        <v>0415178584</v>
      </c>
      <c r="AH61" s="2" t="str">
        <f>"9780415178587"</f>
        <v>9780415178587</v>
      </c>
      <c r="AI61" s="1">
        <v>0.0</v>
      </c>
      <c r="AJ61" s="1">
        <v>4.0</v>
      </c>
      <c r="AK61" s="1" t="s">
        <v>132</v>
      </c>
      <c r="AL61" s="1" t="s">
        <v>28</v>
      </c>
      <c r="AN61" s="1">
        <v>1998.0</v>
      </c>
      <c r="AO61" s="1">
        <v>1998.0</v>
      </c>
      <c r="AQ61" s="3">
        <v>45181.0</v>
      </c>
      <c r="AR61" s="1" t="s">
        <v>96</v>
      </c>
      <c r="AS61" s="1" t="s">
        <v>341</v>
      </c>
      <c r="AT61" s="1" t="s">
        <v>31</v>
      </c>
      <c r="AX61" s="1">
        <v>0.0</v>
      </c>
      <c r="AY61" s="1">
        <v>0.0</v>
      </c>
    </row>
    <row r="62" spans="20:51" ht="15.75" hidden="1">
      <c r="T62" s="1">
        <v>45546.0</v>
      </c>
      <c r="U62" s="1"/>
      <c r="V62" s="1"/>
      <c r="W62" s="1"/>
      <c r="X62" s="1"/>
      <c r="Y62" s="1" t="s">
        <v>342</v>
      </c>
      <c r="Z62" s="1" t="s">
        <v>343</v>
      </c>
      <c r="AA62" s="1" t="s">
        <v>344</v>
      </c>
      <c r="AB62" s="1"/>
      <c r="AC62" s="1"/>
      <c r="AD62" s="1"/>
      <c r="AE62" s="1"/>
      <c r="AG62" s="2" t="str">
        <f>"074347788X"</f>
        <v>074347788X</v>
      </c>
      <c r="AH62" s="2" t="str">
        <f>"9780743477888"</f>
        <v>9780743477888</v>
      </c>
      <c r="AI62" s="1">
        <v>0.0</v>
      </c>
      <c r="AJ62" s="1">
        <v>4.21</v>
      </c>
      <c r="AK62" s="1" t="s">
        <v>345</v>
      </c>
      <c r="AL62" s="1" t="s">
        <v>28</v>
      </c>
      <c r="AM62" s="1">
        <v>592.0</v>
      </c>
      <c r="AN62" s="1">
        <v>2003.0</v>
      </c>
      <c r="AO62" s="1">
        <v>1996.0</v>
      </c>
      <c r="AQ62" s="3">
        <v>45181.0</v>
      </c>
      <c r="AR62" s="1" t="s">
        <v>96</v>
      </c>
      <c r="AS62" s="1" t="s">
        <v>346</v>
      </c>
      <c r="AT62" s="1" t="s">
        <v>31</v>
      </c>
      <c r="AX62" s="1">
        <v>0.0</v>
      </c>
      <c r="AY62" s="1">
        <v>0.0</v>
      </c>
    </row>
    <row r="63" spans="20:51" ht="15.75" hidden="1">
      <c r="T63" s="1">
        <v>1565225.0</v>
      </c>
      <c r="U63" s="1"/>
      <c r="V63" s="1"/>
      <c r="W63" s="1"/>
      <c r="X63" s="1"/>
      <c r="Y63" s="1" t="s">
        <v>347</v>
      </c>
      <c r="Z63" s="1" t="s">
        <v>348</v>
      </c>
      <c r="AA63" s="1" t="s">
        <v>349</v>
      </c>
      <c r="AB63" s="1"/>
      <c r="AC63" s="1"/>
      <c r="AD63" s="1"/>
      <c r="AE63" s="1"/>
      <c r="AG63" s="2" t="str">
        <f>"1853024449"</f>
        <v>1853024449</v>
      </c>
      <c r="AH63" s="2" t="str">
        <f>"9781853024443"</f>
        <v>9781853024443</v>
      </c>
      <c r="AI63" s="1">
        <v>0.0</v>
      </c>
      <c r="AJ63" s="1">
        <v>3.5</v>
      </c>
      <c r="AK63" s="1" t="s">
        <v>350</v>
      </c>
      <c r="AL63" s="1" t="s">
        <v>28</v>
      </c>
      <c r="AM63" s="1">
        <v>320.0</v>
      </c>
      <c r="AN63" s="1">
        <v>1997.0</v>
      </c>
      <c r="AO63" s="1">
        <v>1997.0</v>
      </c>
      <c r="AQ63" s="3">
        <v>45181.0</v>
      </c>
      <c r="AR63" s="1" t="s">
        <v>96</v>
      </c>
      <c r="AS63" s="1" t="s">
        <v>351</v>
      </c>
      <c r="AT63" s="1" t="s">
        <v>31</v>
      </c>
      <c r="AX63" s="1">
        <v>0.0</v>
      </c>
      <c r="AY63" s="1">
        <v>0.0</v>
      </c>
    </row>
    <row r="64" spans="20:51" ht="15.75" hidden="1">
      <c r="T64" s="1">
        <v>3641024.0</v>
      </c>
      <c r="U64" s="1"/>
      <c r="V64" s="1"/>
      <c r="W64" s="1"/>
      <c r="X64" s="1"/>
      <c r="Y64" s="1" t="s">
        <v>352</v>
      </c>
      <c r="Z64" s="1" t="s">
        <v>353</v>
      </c>
      <c r="AA64" s="1" t="s">
        <v>354</v>
      </c>
      <c r="AB64" s="1"/>
      <c r="AC64" s="1"/>
      <c r="AD64" s="1"/>
      <c r="AE64" s="1"/>
      <c r="AG64" s="2" t="str">
        <f>"0195109449"</f>
        <v>0195109449</v>
      </c>
      <c r="AH64" s="2" t="str">
        <f>"9780195109443"</f>
        <v>9780195109443</v>
      </c>
      <c r="AI64" s="1">
        <v>0.0</v>
      </c>
      <c r="AJ64" s="1">
        <v>3.5</v>
      </c>
      <c r="AK64" s="1" t="s">
        <v>214</v>
      </c>
      <c r="AL64" s="1" t="s">
        <v>41</v>
      </c>
      <c r="AM64" s="1">
        <v>382.0</v>
      </c>
      <c r="AN64" s="1">
        <v>1997.0</v>
      </c>
      <c r="AO64" s="1">
        <v>1988.0</v>
      </c>
      <c r="AQ64" s="3">
        <v>45181.0</v>
      </c>
      <c r="AR64" s="1" t="s">
        <v>96</v>
      </c>
      <c r="AS64" s="1" t="s">
        <v>355</v>
      </c>
      <c r="AT64" s="1" t="s">
        <v>31</v>
      </c>
      <c r="AX64" s="1">
        <v>0.0</v>
      </c>
      <c r="AY64" s="1">
        <v>0.0</v>
      </c>
    </row>
    <row r="65" spans="20:51" ht="15.75" hidden="1">
      <c r="T65" s="1">
        <v>9569744.0</v>
      </c>
      <c r="U65" s="1"/>
      <c r="V65" s="1"/>
      <c r="W65" s="1"/>
      <c r="X65" s="1"/>
      <c r="Y65" s="1" t="s">
        <v>356</v>
      </c>
      <c r="Z65" s="1" t="s">
        <v>357</v>
      </c>
      <c r="AA65" s="1" t="s">
        <v>358</v>
      </c>
      <c r="AB65" s="1"/>
      <c r="AC65" s="1"/>
      <c r="AD65" s="1"/>
      <c r="AE65" s="1"/>
      <c r="AG65" s="2" t="str">
        <f>"0140195300"</f>
        <v>0140195300</v>
      </c>
      <c r="AH65" s="2" t="str">
        <f>"9780140195309"</f>
        <v>9780140195309</v>
      </c>
      <c r="AI65" s="1">
        <v>0.0</v>
      </c>
      <c r="AJ65" s="1">
        <v>0.0</v>
      </c>
      <c r="AK65" s="1" t="s">
        <v>359</v>
      </c>
      <c r="AL65" s="1" t="s">
        <v>28</v>
      </c>
      <c r="AM65" s="1">
        <v>320.0</v>
      </c>
      <c r="AN65" s="1">
        <v>1999.0</v>
      </c>
      <c r="AO65" s="1">
        <v>1999.0</v>
      </c>
      <c r="AQ65" s="3">
        <v>45181.0</v>
      </c>
      <c r="AR65" s="1" t="s">
        <v>96</v>
      </c>
      <c r="AS65" s="1" t="s">
        <v>360</v>
      </c>
      <c r="AT65" s="1" t="s">
        <v>31</v>
      </c>
      <c r="AX65" s="1">
        <v>0.0</v>
      </c>
      <c r="AY65" s="1">
        <v>0.0</v>
      </c>
    </row>
    <row r="66" spans="20:51" ht="15.75" hidden="1">
      <c r="T66" s="1">
        <v>1126350.0</v>
      </c>
      <c r="U66" s="1"/>
      <c r="V66" s="1"/>
      <c r="W66" s="1"/>
      <c r="X66" s="1"/>
      <c r="Y66" s="1" t="s">
        <v>361</v>
      </c>
      <c r="Z66" s="1" t="s">
        <v>362</v>
      </c>
      <c r="AA66" s="1" t="s">
        <v>363</v>
      </c>
      <c r="AB66" s="1"/>
      <c r="AC66" s="1"/>
      <c r="AD66" s="1"/>
      <c r="AE66" s="1"/>
      <c r="AG66" s="2" t="str">
        <f>"0750912103"</f>
        <v>0750912103</v>
      </c>
      <c r="AH66" s="2" t="str">
        <f>"9780750912105"</f>
        <v>9780750912105</v>
      </c>
      <c r="AI66" s="1">
        <v>0.0</v>
      </c>
      <c r="AJ66" s="1">
        <v>3.67</v>
      </c>
      <c r="AK66" s="1" t="s">
        <v>364</v>
      </c>
      <c r="AL66" s="1" t="s">
        <v>41</v>
      </c>
      <c r="AM66" s="1">
        <v>176.0</v>
      </c>
      <c r="AN66" s="1">
        <v>1997.0</v>
      </c>
      <c r="AO66" s="1">
        <v>1997.0</v>
      </c>
      <c r="AQ66" s="3">
        <v>45181.0</v>
      </c>
      <c r="AR66" s="1" t="s">
        <v>96</v>
      </c>
      <c r="AS66" s="1" t="s">
        <v>365</v>
      </c>
      <c r="AT66" s="1" t="s">
        <v>31</v>
      </c>
      <c r="AX66" s="1">
        <v>0.0</v>
      </c>
      <c r="AY66" s="1">
        <v>0.0</v>
      </c>
    </row>
    <row r="67" spans="20:51" ht="15.75" hidden="1">
      <c r="T67" s="1">
        <v>1006306.0</v>
      </c>
      <c r="U67" s="1"/>
      <c r="V67" s="1"/>
      <c r="W67" s="1"/>
      <c r="X67" s="1"/>
      <c r="Y67" s="1" t="s">
        <v>366</v>
      </c>
      <c r="Z67" s="1" t="s">
        <v>367</v>
      </c>
      <c r="AA67" s="1" t="s">
        <v>368</v>
      </c>
      <c r="AB67" s="1"/>
      <c r="AC67" s="1"/>
      <c r="AD67" s="1"/>
      <c r="AE67" s="1"/>
      <c r="AG67" s="2" t="str">
        <f>"0393306577"</f>
        <v>0393306577</v>
      </c>
      <c r="AH67" s="2" t="str">
        <f>"9780393306576"</f>
        <v>9780393306576</v>
      </c>
      <c r="AI67" s="1">
        <v>0.0</v>
      </c>
      <c r="AJ67" s="1">
        <v>4.02</v>
      </c>
      <c r="AK67" s="1" t="s">
        <v>113</v>
      </c>
      <c r="AL67" s="1" t="s">
        <v>28</v>
      </c>
      <c r="AM67" s="1">
        <v>322.0</v>
      </c>
      <c r="AN67" s="1">
        <v>1990.0</v>
      </c>
      <c r="AO67" s="1">
        <v>1971.0</v>
      </c>
      <c r="AQ67" s="3">
        <v>45181.0</v>
      </c>
      <c r="AR67" s="1" t="s">
        <v>96</v>
      </c>
      <c r="AS67" s="1" t="s">
        <v>369</v>
      </c>
      <c r="AT67" s="1" t="s">
        <v>31</v>
      </c>
      <c r="AX67" s="1">
        <v>0.0</v>
      </c>
      <c r="AY67" s="1">
        <v>0.0</v>
      </c>
    </row>
    <row r="68" spans="20:51" ht="15.75" hidden="1">
      <c r="T68" s="1">
        <v>2.6675955E7</v>
      </c>
      <c r="U68" s="1"/>
      <c r="V68" s="1"/>
      <c r="W68" s="1"/>
      <c r="X68" s="1"/>
      <c r="Y68" s="1" t="s">
        <v>370</v>
      </c>
      <c r="Z68" s="1" t="s">
        <v>371</v>
      </c>
      <c r="AA68" s="1" t="s">
        <v>372</v>
      </c>
      <c r="AB68" s="1"/>
      <c r="AC68" s="1"/>
      <c r="AD68" s="1"/>
      <c r="AE68" s="1"/>
      <c r="AF68" s="1" t="s">
        <v>373</v>
      </c>
      <c r="AG68" s="2" t="str">
        <f>"1298510864"</f>
        <v>1298510864</v>
      </c>
      <c r="AH68" s="2" t="str">
        <f>"9781298510860"</f>
        <v>9781298510860</v>
      </c>
      <c r="AI68" s="1">
        <v>0.0</v>
      </c>
      <c r="AJ68" s="1">
        <v>4.09</v>
      </c>
      <c r="AK68" s="1" t="s">
        <v>374</v>
      </c>
      <c r="AL68" s="1" t="s">
        <v>41</v>
      </c>
      <c r="AM68" s="1">
        <v>532.0</v>
      </c>
      <c r="AN68" s="1">
        <v>2015.0</v>
      </c>
      <c r="AO68" s="1">
        <v>1988.0</v>
      </c>
      <c r="AQ68" s="3">
        <v>45181.0</v>
      </c>
      <c r="AR68" s="1" t="s">
        <v>96</v>
      </c>
      <c r="AS68" s="1" t="s">
        <v>375</v>
      </c>
      <c r="AT68" s="1" t="s">
        <v>31</v>
      </c>
      <c r="AX68" s="1">
        <v>0.0</v>
      </c>
      <c r="AY68" s="1">
        <v>0.0</v>
      </c>
    </row>
    <row r="69" spans="20:51" ht="15.75" hidden="1">
      <c r="T69" s="1">
        <v>112204.0</v>
      </c>
      <c r="U69" s="1"/>
      <c r="V69" s="1"/>
      <c r="W69" s="1"/>
      <c r="X69" s="1"/>
      <c r="Y69" s="1" t="s">
        <v>376</v>
      </c>
      <c r="Z69" s="1" t="s">
        <v>377</v>
      </c>
      <c r="AA69" s="1" t="s">
        <v>378</v>
      </c>
      <c r="AB69" s="1"/>
      <c r="AC69" s="1"/>
      <c r="AD69" s="1"/>
      <c r="AE69" s="1"/>
      <c r="AF69" s="1" t="s">
        <v>379</v>
      </c>
      <c r="AG69" s="2" t="str">
        <f t="shared" si="4" ref="AG69:AH69">""</f>
        <v/>
      </c>
      <c r="AH69" s="2" t="str">
        <f t="shared" si="4"/>
        <v/>
      </c>
      <c r="AI69" s="1">
        <v>0.0</v>
      </c>
      <c r="AJ69" s="1">
        <v>4.27</v>
      </c>
      <c r="AK69" s="1" t="s">
        <v>380</v>
      </c>
      <c r="AL69" s="1" t="s">
        <v>28</v>
      </c>
      <c r="AM69" s="1">
        <v>716.0</v>
      </c>
      <c r="AN69" s="1">
        <v>1976.0</v>
      </c>
      <c r="AO69" s="1">
        <v>1890.0</v>
      </c>
      <c r="AQ69" s="3">
        <v>45173.0</v>
      </c>
      <c r="AR69" s="1" t="s">
        <v>381</v>
      </c>
      <c r="AS69" s="1" t="s">
        <v>382</v>
      </c>
      <c r="AT69" s="1" t="s">
        <v>31</v>
      </c>
      <c r="AX69" s="1">
        <v>0.0</v>
      </c>
      <c r="AY69" s="1">
        <v>0.0</v>
      </c>
    </row>
    <row r="70" spans="20:51" ht="15.75">
      <c r="T70" s="1">
        <v>6.3185084E7</v>
      </c>
      <c r="U70" s="1"/>
      <c r="V70" s="1"/>
      <c r="W70" s="1"/>
      <c r="X70" s="1"/>
      <c r="Y70" s="1" t="s">
        <v>383</v>
      </c>
      <c r="Z70" s="1" t="s">
        <v>384</v>
      </c>
      <c r="AA70" s="1" t="s">
        <v>385</v>
      </c>
      <c r="AB70" s="1"/>
      <c r="AC70" s="1"/>
      <c r="AD70" s="1"/>
      <c r="AE70" s="1"/>
      <c r="AF70" s="1" t="s">
        <v>386</v>
      </c>
      <c r="AG70" s="2" t="str">
        <f>"0593539648"</f>
        <v>0593539648</v>
      </c>
      <c r="AH70" s="2" t="str">
        <f>"9780593539644"</f>
        <v>9780593539644</v>
      </c>
      <c r="AI70" s="1">
        <v>0.0</v>
      </c>
      <c r="AJ70" s="1">
        <v>3.71</v>
      </c>
      <c r="AK70" s="1" t="s">
        <v>387</v>
      </c>
      <c r="AL70" s="1" t="s">
        <v>41</v>
      </c>
      <c r="AM70" s="1">
        <v>272.0</v>
      </c>
      <c r="AN70" s="1">
        <v>2023.0</v>
      </c>
      <c r="AO70" s="1">
        <v>2021.0</v>
      </c>
      <c r="AQ70" s="3">
        <v>45176.0</v>
      </c>
      <c r="AR70" s="1" t="s">
        <v>388</v>
      </c>
      <c r="AS70" s="1" t="s">
        <v>389</v>
      </c>
      <c r="AT70" s="1" t="s">
        <v>31</v>
      </c>
      <c r="AX70" s="1">
        <v>0.0</v>
      </c>
      <c r="AY70" s="1">
        <v>0.0</v>
      </c>
    </row>
    <row r="71" spans="20:51" ht="15.75" hidden="1">
      <c r="T71" s="1">
        <v>5.9808605E7</v>
      </c>
      <c r="U71" s="1"/>
      <c r="V71" s="1"/>
      <c r="W71" s="1"/>
      <c r="X71" s="1"/>
      <c r="Y71" s="1" t="s">
        <v>390</v>
      </c>
      <c r="Z71" s="1" t="s">
        <v>391</v>
      </c>
      <c r="AA71" s="1" t="s">
        <v>392</v>
      </c>
      <c r="AB71" s="1"/>
      <c r="AC71" s="1"/>
      <c r="AD71" s="1"/>
      <c r="AE71" s="1"/>
      <c r="AG71" s="2" t="str">
        <f>"0374600848"</f>
        <v>0374600848</v>
      </c>
      <c r="AH71" s="2" t="str">
        <f>"9780374600846"</f>
        <v>9780374600846</v>
      </c>
      <c r="AI71" s="1">
        <v>0.0</v>
      </c>
      <c r="AJ71" s="1">
        <v>4.15</v>
      </c>
      <c r="AK71" s="1" t="s">
        <v>89</v>
      </c>
      <c r="AL71" s="1" t="s">
        <v>41</v>
      </c>
      <c r="AM71" s="1">
        <v>288.0</v>
      </c>
      <c r="AN71" s="1">
        <v>2022.0</v>
      </c>
      <c r="AO71" s="1">
        <v>2022.0</v>
      </c>
      <c r="AQ71" s="3">
        <v>45180.0</v>
      </c>
      <c r="AR71" s="1" t="s">
        <v>393</v>
      </c>
      <c r="AS71" s="1" t="s">
        <v>394</v>
      </c>
      <c r="AT71" s="1" t="s">
        <v>31</v>
      </c>
      <c r="AX71" s="1">
        <v>0.0</v>
      </c>
      <c r="AY71" s="1">
        <v>0.0</v>
      </c>
    </row>
    <row r="72" spans="20:51" ht="15.75" hidden="1">
      <c r="T72" s="1">
        <v>846170.0</v>
      </c>
      <c r="U72" s="1"/>
      <c r="V72" s="1"/>
      <c r="W72" s="1"/>
      <c r="X72" s="1"/>
      <c r="Y72" s="1" t="s">
        <v>395</v>
      </c>
      <c r="Z72" s="1" t="s">
        <v>396</v>
      </c>
      <c r="AA72" s="1" t="s">
        <v>397</v>
      </c>
      <c r="AB72" s="1"/>
      <c r="AC72" s="1"/>
      <c r="AD72" s="1"/>
      <c r="AE72" s="1"/>
      <c r="AG72" s="2" t="str">
        <f>"0684870584"</f>
        <v>0684870584</v>
      </c>
      <c r="AH72" s="2" t="str">
        <f>"9780684870588"</f>
        <v>9780684870588</v>
      </c>
      <c r="AI72" s="1">
        <v>0.0</v>
      </c>
      <c r="AJ72" s="1">
        <v>3.71</v>
      </c>
      <c r="AK72" s="1" t="s">
        <v>280</v>
      </c>
      <c r="AL72" s="1" t="s">
        <v>41</v>
      </c>
      <c r="AM72" s="1">
        <v>208.0</v>
      </c>
      <c r="AN72" s="1">
        <v>2000.0</v>
      </c>
      <c r="AO72" s="1">
        <v>1999.0</v>
      </c>
      <c r="AQ72" s="3">
        <v>45180.0</v>
      </c>
      <c r="AR72" s="1" t="s">
        <v>393</v>
      </c>
      <c r="AS72" s="1" t="s">
        <v>398</v>
      </c>
      <c r="AT72" s="1" t="s">
        <v>31</v>
      </c>
      <c r="AX72" s="1">
        <v>0.0</v>
      </c>
      <c r="AY72" s="1">
        <v>0.0</v>
      </c>
    </row>
    <row r="73" spans="20:51" ht="15.75" hidden="1">
      <c r="T73" s="1">
        <v>174879.0</v>
      </c>
      <c r="U73" s="1"/>
      <c r="V73" s="1"/>
      <c r="W73" s="1"/>
      <c r="X73" s="1"/>
      <c r="Y73" s="1" t="s">
        <v>399</v>
      </c>
      <c r="Z73" s="1" t="s">
        <v>400</v>
      </c>
      <c r="AA73" s="1" t="s">
        <v>401</v>
      </c>
      <c r="AB73" s="1"/>
      <c r="AC73" s="1"/>
      <c r="AD73" s="1"/>
      <c r="AE73" s="1"/>
      <c r="AF73" s="1" t="s">
        <v>402</v>
      </c>
      <c r="AG73" s="2" t="str">
        <f>"039575531X"</f>
        <v>039575531X</v>
      </c>
      <c r="AH73" s="2" t="str">
        <f>"9780395755310"</f>
        <v>9780395755310</v>
      </c>
      <c r="AI73" s="1">
        <v>0.0</v>
      </c>
      <c r="AJ73" s="1">
        <v>4.16</v>
      </c>
      <c r="AK73" s="1" t="s">
        <v>403</v>
      </c>
      <c r="AL73" s="1" t="s">
        <v>28</v>
      </c>
      <c r="AM73" s="1">
        <v>420.0</v>
      </c>
      <c r="AN73" s="1">
        <v>1995.0</v>
      </c>
      <c r="AO73" s="1">
        <v>1961.0</v>
      </c>
      <c r="AQ73" s="3">
        <v>45180.0</v>
      </c>
      <c r="AR73" s="1" t="s">
        <v>393</v>
      </c>
      <c r="AS73" s="1" t="s">
        <v>404</v>
      </c>
      <c r="AT73" s="1" t="s">
        <v>31</v>
      </c>
      <c r="AX73" s="1">
        <v>0.0</v>
      </c>
      <c r="AY73" s="1">
        <v>0.0</v>
      </c>
    </row>
    <row r="74" spans="20:51" ht="15.75" hidden="1">
      <c r="T74" s="1">
        <v>510537.0</v>
      </c>
      <c r="U74" s="1"/>
      <c r="V74" s="1"/>
      <c r="W74" s="1"/>
      <c r="X74" s="1"/>
      <c r="Y74" s="1" t="s">
        <v>405</v>
      </c>
      <c r="Z74" s="1" t="s">
        <v>406</v>
      </c>
      <c r="AA74" s="1" t="s">
        <v>407</v>
      </c>
      <c r="AB74" s="1"/>
      <c r="AC74" s="1"/>
      <c r="AD74" s="1"/>
      <c r="AE74" s="1"/>
      <c r="AG74" s="2" t="str">
        <f>"0201441926"</f>
        <v>0201441926</v>
      </c>
      <c r="AH74" s="2" t="str">
        <f>"9780201441925"</f>
        <v>9780201441925</v>
      </c>
      <c r="AI74" s="1">
        <v>0.0</v>
      </c>
      <c r="AJ74" s="1">
        <v>4.25</v>
      </c>
      <c r="AK74" s="1" t="s">
        <v>304</v>
      </c>
      <c r="AL74" s="1" t="s">
        <v>28</v>
      </c>
      <c r="AM74" s="1">
        <v>449.0</v>
      </c>
      <c r="AN74" s="1">
        <v>1996.0</v>
      </c>
      <c r="AO74" s="1">
        <v>1995.0</v>
      </c>
      <c r="AQ74" s="3">
        <v>45180.0</v>
      </c>
      <c r="AR74" s="1" t="s">
        <v>393</v>
      </c>
      <c r="AS74" s="1" t="s">
        <v>408</v>
      </c>
      <c r="AT74" s="1" t="s">
        <v>31</v>
      </c>
      <c r="AX74" s="1">
        <v>0.0</v>
      </c>
      <c r="AY74" s="1">
        <v>0.0</v>
      </c>
    </row>
    <row r="75" spans="20:51" ht="15.75" hidden="1">
      <c r="T75" s="1">
        <v>49187.0</v>
      </c>
      <c r="U75" s="1"/>
      <c r="V75" s="1"/>
      <c r="W75" s="1"/>
      <c r="X75" s="1"/>
      <c r="Y75" s="1" t="s">
        <v>409</v>
      </c>
      <c r="Z75" s="1" t="s">
        <v>410</v>
      </c>
      <c r="AA75" s="1" t="s">
        <v>411</v>
      </c>
      <c r="AB75" s="1"/>
      <c r="AC75" s="1"/>
      <c r="AD75" s="1"/>
      <c r="AE75" s="1"/>
      <c r="AF75" s="1" t="s">
        <v>412</v>
      </c>
      <c r="AG75" s="2" t="str">
        <f>"089106074X"</f>
        <v>089106074X</v>
      </c>
      <c r="AH75" s="2" t="str">
        <f>"9780891060741"</f>
        <v>9780891060741</v>
      </c>
      <c r="AI75" s="1">
        <v>0.0</v>
      </c>
      <c r="AJ75" s="1">
        <v>4.09</v>
      </c>
      <c r="AK75" s="1" t="s">
        <v>413</v>
      </c>
      <c r="AL75" s="1" t="s">
        <v>28</v>
      </c>
      <c r="AM75" s="1">
        <v>228.0</v>
      </c>
      <c r="AN75" s="1">
        <v>1995.0</v>
      </c>
      <c r="AO75" s="1">
        <v>1980.0</v>
      </c>
      <c r="AQ75" s="3">
        <v>45180.0</v>
      </c>
      <c r="AR75" s="1" t="s">
        <v>393</v>
      </c>
      <c r="AS75" s="1" t="s">
        <v>414</v>
      </c>
      <c r="AT75" s="1" t="s">
        <v>31</v>
      </c>
      <c r="AX75" s="1">
        <v>0.0</v>
      </c>
      <c r="AY75" s="1">
        <v>0.0</v>
      </c>
    </row>
    <row r="76" spans="20:51" ht="15.75" hidden="1">
      <c r="T76" s="1">
        <v>1.8797133E7</v>
      </c>
      <c r="U76" s="1"/>
      <c r="V76" s="1"/>
      <c r="W76" s="1"/>
      <c r="X76" s="1"/>
      <c r="Y76" s="1" t="s">
        <v>415</v>
      </c>
      <c r="Z76" s="1" t="s">
        <v>416</v>
      </c>
      <c r="AA76" s="1" t="s">
        <v>417</v>
      </c>
      <c r="AB76" s="1"/>
      <c r="AC76" s="1"/>
      <c r="AD76" s="1"/>
      <c r="AE76" s="1"/>
      <c r="AG76" s="2" t="str">
        <f>"1938905377"</f>
        <v>1938905377</v>
      </c>
      <c r="AH76" s="2" t="str">
        <f>"9781938905377"</f>
        <v>9781938905377</v>
      </c>
      <c r="AI76" s="1">
        <v>0.0</v>
      </c>
      <c r="AJ76" s="1">
        <v>5.0</v>
      </c>
      <c r="AK76" s="1" t="s">
        <v>418</v>
      </c>
      <c r="AL76" s="1" t="s">
        <v>41</v>
      </c>
      <c r="AM76" s="1">
        <v>192.0</v>
      </c>
      <c r="AN76" s="1">
        <v>2016.0</v>
      </c>
      <c r="AO76" s="1">
        <v>2013.0</v>
      </c>
      <c r="AQ76" s="3">
        <v>45145.0</v>
      </c>
      <c r="AR76" s="1" t="s">
        <v>419</v>
      </c>
      <c r="AS76" s="1" t="s">
        <v>420</v>
      </c>
      <c r="AT76" s="1" t="s">
        <v>31</v>
      </c>
      <c r="AX76" s="1">
        <v>0.0</v>
      </c>
      <c r="AY76" s="1">
        <v>0.0</v>
      </c>
    </row>
    <row r="77" spans="20:51" ht="15.75" hidden="1">
      <c r="T77" s="1">
        <v>3.7801231E7</v>
      </c>
      <c r="U77" s="1"/>
      <c r="V77" s="1"/>
      <c r="W77" s="1"/>
      <c r="X77" s="1"/>
      <c r="Y77" s="1" t="s">
        <v>421</v>
      </c>
      <c r="Z77" s="1" t="s">
        <v>422</v>
      </c>
      <c r="AA77" s="1" t="s">
        <v>423</v>
      </c>
      <c r="AB77" s="1"/>
      <c r="AC77" s="1"/>
      <c r="AD77" s="1"/>
      <c r="AE77" s="1"/>
      <c r="AG77" s="2" t="str">
        <f>"1507300425"</f>
        <v>1507300425</v>
      </c>
      <c r="AH77" s="2" t="str">
        <f>"9781507300428"</f>
        <v>9781507300428</v>
      </c>
      <c r="AI77" s="1">
        <v>0.0</v>
      </c>
      <c r="AJ77" s="1">
        <v>4.42</v>
      </c>
      <c r="AK77" s="1" t="s">
        <v>424</v>
      </c>
      <c r="AL77" s="1" t="s">
        <v>59</v>
      </c>
      <c r="AM77" s="1">
        <v>538.0</v>
      </c>
      <c r="AN77" s="1">
        <v>1997.0</v>
      </c>
      <c r="AO77" s="1">
        <v>1981.0</v>
      </c>
      <c r="AQ77" s="3">
        <v>45140.0</v>
      </c>
      <c r="AR77" s="1" t="s">
        <v>419</v>
      </c>
      <c r="AS77" s="1" t="s">
        <v>425</v>
      </c>
      <c r="AT77" s="1" t="s">
        <v>31</v>
      </c>
      <c r="AX77" s="1">
        <v>0.0</v>
      </c>
      <c r="AY77" s="1">
        <v>0.0</v>
      </c>
    </row>
    <row r="78" spans="20:51" ht="15.75" hidden="1">
      <c r="T78" s="1">
        <v>3.7385469E7</v>
      </c>
      <c r="U78" s="1"/>
      <c r="V78" s="1"/>
      <c r="W78" s="1"/>
      <c r="X78" s="1"/>
      <c r="Y78" s="1" t="s">
        <v>426</v>
      </c>
      <c r="Z78" s="1" t="s">
        <v>427</v>
      </c>
      <c r="AA78" s="1" t="s">
        <v>428</v>
      </c>
      <c r="AB78" s="1"/>
      <c r="AC78" s="1"/>
      <c r="AD78" s="1"/>
      <c r="AE78" s="1"/>
      <c r="AG78" s="2" t="str">
        <f>"033151642X"</f>
        <v>033151642X</v>
      </c>
      <c r="AH78" s="2" t="str">
        <f>"9780331516425"</f>
        <v>9780331516425</v>
      </c>
      <c r="AI78" s="1">
        <v>0.0</v>
      </c>
      <c r="AJ78" s="1">
        <v>4.24</v>
      </c>
      <c r="AK78" s="1" t="s">
        <v>429</v>
      </c>
      <c r="AL78" s="1" t="s">
        <v>41</v>
      </c>
      <c r="AM78" s="1">
        <v>822.0</v>
      </c>
      <c r="AN78" s="1">
        <v>2018.0</v>
      </c>
      <c r="AO78" s="1">
        <v>1976.0</v>
      </c>
      <c r="AQ78" s="3">
        <v>45134.0</v>
      </c>
      <c r="AR78" s="1" t="s">
        <v>430</v>
      </c>
      <c r="AS78" s="1" t="s">
        <v>431</v>
      </c>
      <c r="AT78" s="1" t="s">
        <v>31</v>
      </c>
      <c r="AX78" s="1">
        <v>0.0</v>
      </c>
      <c r="AY78" s="1">
        <v>0.0</v>
      </c>
    </row>
    <row r="79" spans="20:51" ht="15.75" hidden="1">
      <c r="T79" s="1">
        <v>8583388.0</v>
      </c>
      <c r="U79" s="1"/>
      <c r="V79" s="1"/>
      <c r="W79" s="1"/>
      <c r="X79" s="1"/>
      <c r="Y79" s="1" t="s">
        <v>432</v>
      </c>
      <c r="Z79" s="1" t="s">
        <v>433</v>
      </c>
      <c r="AA79" s="1" t="s">
        <v>434</v>
      </c>
      <c r="AB79" s="1"/>
      <c r="AC79" s="1"/>
      <c r="AD79" s="1"/>
      <c r="AE79" s="1"/>
      <c r="AG79" s="2" t="str">
        <f>"0500251738"</f>
        <v>0500251738</v>
      </c>
      <c r="AH79" s="2" t="str">
        <f>"9780500251737"</f>
        <v>9780500251737</v>
      </c>
      <c r="AI79" s="1">
        <v>0.0</v>
      </c>
      <c r="AJ79" s="1">
        <v>4.01</v>
      </c>
      <c r="AK79" s="1" t="s">
        <v>435</v>
      </c>
      <c r="AL79" s="1" t="s">
        <v>41</v>
      </c>
      <c r="AM79" s="1">
        <v>220.0</v>
      </c>
      <c r="AN79" s="1">
        <v>2010.0</v>
      </c>
      <c r="AO79" s="1">
        <v>2010.0</v>
      </c>
      <c r="AQ79" s="3">
        <v>45114.0</v>
      </c>
      <c r="AR79" s="1" t="s">
        <v>436</v>
      </c>
      <c r="AS79" s="1" t="s">
        <v>437</v>
      </c>
      <c r="AT79" s="1" t="s">
        <v>31</v>
      </c>
      <c r="AX79" s="1">
        <v>0.0</v>
      </c>
      <c r="AY79" s="1">
        <v>0.0</v>
      </c>
    </row>
    <row r="80" spans="20:51" ht="15.75" hidden="1">
      <c r="T80" s="1">
        <v>2.3461183E7</v>
      </c>
      <c r="U80" s="1"/>
      <c r="V80" s="1"/>
      <c r="W80" s="1"/>
      <c r="X80" s="1"/>
      <c r="Y80" s="1" t="s">
        <v>438</v>
      </c>
      <c r="Z80" s="1" t="s">
        <v>439</v>
      </c>
      <c r="AA80" s="1" t="s">
        <v>440</v>
      </c>
      <c r="AB80" s="1"/>
      <c r="AC80" s="1"/>
      <c r="AD80" s="1"/>
      <c r="AE80" s="1"/>
      <c r="AF80" s="1" t="s">
        <v>441</v>
      </c>
      <c r="AG80" s="2" t="str">
        <f>"0198716982"</f>
        <v>0198716982</v>
      </c>
      <c r="AH80" s="2" t="str">
        <f>"9780198716983"</f>
        <v>9780198716983</v>
      </c>
      <c r="AI80" s="1">
        <v>0.0</v>
      </c>
      <c r="AJ80" s="1">
        <v>3.81</v>
      </c>
      <c r="AK80" s="1" t="s">
        <v>214</v>
      </c>
      <c r="AL80" s="1" t="s">
        <v>28</v>
      </c>
      <c r="AM80" s="1">
        <v>256.0</v>
      </c>
      <c r="AN80" s="1">
        <v>2015.0</v>
      </c>
      <c r="AO80" s="1">
        <v>-194.0</v>
      </c>
      <c r="AQ80" s="3">
        <v>45124.0</v>
      </c>
      <c r="AR80" s="1" t="s">
        <v>436</v>
      </c>
      <c r="AS80" s="1" t="s">
        <v>442</v>
      </c>
      <c r="AT80" s="1" t="s">
        <v>31</v>
      </c>
      <c r="AX80" s="1">
        <v>0.0</v>
      </c>
      <c r="AY80" s="1">
        <v>0.0</v>
      </c>
    </row>
    <row r="81" spans="20:51" ht="15.75">
      <c r="T81" s="1">
        <v>1.7329126E7</v>
      </c>
      <c r="U81" s="1"/>
      <c r="V81" s="1"/>
      <c r="W81" s="1"/>
      <c r="X81" s="1"/>
      <c r="Y81" s="1" t="s">
        <v>443</v>
      </c>
      <c r="Z81" s="1" t="s">
        <v>444</v>
      </c>
      <c r="AA81" s="1" t="s">
        <v>445</v>
      </c>
      <c r="AB81" s="1"/>
      <c r="AC81" s="1"/>
      <c r="AD81" s="1"/>
      <c r="AE81" s="1"/>
      <c r="AG81" s="2" t="str">
        <f>"1907970118"</f>
        <v>1907970118</v>
      </c>
      <c r="AH81" s="2" t="str">
        <f>"9781907970115"</f>
        <v>9781907970115</v>
      </c>
      <c r="AI81" s="1">
        <v>0.0</v>
      </c>
      <c r="AJ81" s="1">
        <v>3.84</v>
      </c>
      <c r="AK81" s="1" t="s">
        <v>446</v>
      </c>
      <c r="AL81" s="1" t="s">
        <v>28</v>
      </c>
      <c r="AM81" s="1">
        <v>200.0</v>
      </c>
      <c r="AN81" s="1">
        <v>2013.0</v>
      </c>
      <c r="AO81" s="1">
        <v>1983.0</v>
      </c>
      <c r="AQ81" s="3">
        <v>45120.0</v>
      </c>
      <c r="AR81" s="1" t="s">
        <v>447</v>
      </c>
      <c r="AS81" s="1" t="s">
        <v>448</v>
      </c>
      <c r="AT81" s="1" t="s">
        <v>31</v>
      </c>
      <c r="AX81" s="1">
        <v>0.0</v>
      </c>
      <c r="AY81" s="1">
        <v>0.0</v>
      </c>
    </row>
    <row r="82" spans="20:51" ht="15.75" hidden="1">
      <c r="T82" s="1">
        <v>890626.0</v>
      </c>
      <c r="U82" s="1"/>
      <c r="V82" s="1"/>
      <c r="W82" s="1"/>
      <c r="X82" s="1"/>
      <c r="Y82" s="1" t="s">
        <v>449</v>
      </c>
      <c r="Z82" s="1" t="s">
        <v>427</v>
      </c>
      <c r="AA82" s="1" t="s">
        <v>428</v>
      </c>
      <c r="AB82" s="1"/>
      <c r="AC82" s="1"/>
      <c r="AD82" s="1"/>
      <c r="AE82" s="1"/>
      <c r="AG82" s="2" t="str">
        <f>"1602390010"</f>
        <v>1602390010</v>
      </c>
      <c r="AH82" s="2" t="str">
        <f>"9781602390010"</f>
        <v>9781602390010</v>
      </c>
      <c r="AI82" s="1">
        <v>0.0</v>
      </c>
      <c r="AJ82" s="1">
        <v>4.04</v>
      </c>
      <c r="AK82" s="1" t="s">
        <v>450</v>
      </c>
      <c r="AL82" s="1" t="s">
        <v>28</v>
      </c>
      <c r="AN82" s="1">
        <v>2007.0</v>
      </c>
      <c r="AO82" s="1">
        <v>1929.0</v>
      </c>
      <c r="AQ82" s="3">
        <v>45134.0</v>
      </c>
      <c r="AR82" s="1" t="s">
        <v>419</v>
      </c>
      <c r="AS82" s="1" t="s">
        <v>451</v>
      </c>
      <c r="AT82" s="1" t="s">
        <v>31</v>
      </c>
      <c r="AX82" s="1">
        <v>0.0</v>
      </c>
      <c r="AY82" s="1">
        <v>0.0</v>
      </c>
    </row>
    <row r="83" spans="20:51" ht="15.75" hidden="1">
      <c r="T83" s="1">
        <v>1282241.0</v>
      </c>
      <c r="U83" s="1"/>
      <c r="V83" s="1"/>
      <c r="W83" s="1"/>
      <c r="X83" s="1"/>
      <c r="Y83" s="1" t="s">
        <v>452</v>
      </c>
      <c r="Z83" s="1" t="s">
        <v>453</v>
      </c>
      <c r="AA83" s="1" t="s">
        <v>454</v>
      </c>
      <c r="AB83" s="1"/>
      <c r="AC83" s="1"/>
      <c r="AD83" s="1"/>
      <c r="AE83" s="1"/>
      <c r="AF83" s="1" t="s">
        <v>455</v>
      </c>
      <c r="AG83" s="2" t="str">
        <f>"0691097429"</f>
        <v>0691097429</v>
      </c>
      <c r="AH83" s="2" t="str">
        <f>"9780691097428"</f>
        <v>9780691097428</v>
      </c>
      <c r="AI83" s="1">
        <v>0.0</v>
      </c>
      <c r="AJ83" s="1">
        <v>4.32</v>
      </c>
      <c r="AK83" s="1" t="s">
        <v>155</v>
      </c>
      <c r="AL83" s="1" t="s">
        <v>41</v>
      </c>
      <c r="AM83" s="1">
        <v>624.0</v>
      </c>
      <c r="AN83" s="1">
        <v>1991.0</v>
      </c>
      <c r="AO83" s="1">
        <v>1955.0</v>
      </c>
      <c r="AQ83" s="3">
        <v>45115.0</v>
      </c>
      <c r="AR83" s="1" t="s">
        <v>419</v>
      </c>
      <c r="AS83" s="1" t="s">
        <v>456</v>
      </c>
      <c r="AT83" s="1" t="s">
        <v>31</v>
      </c>
      <c r="AX83" s="1">
        <v>0.0</v>
      </c>
      <c r="AY83" s="1">
        <v>0.0</v>
      </c>
    </row>
    <row r="84" spans="20:51" ht="15.75" hidden="1">
      <c r="T84" s="1">
        <v>6350013.0</v>
      </c>
      <c r="U84" s="1"/>
      <c r="V84" s="1"/>
      <c r="W84" s="1"/>
      <c r="X84" s="1"/>
      <c r="Y84" s="1" t="s">
        <v>457</v>
      </c>
      <c r="Z84" s="1" t="s">
        <v>458</v>
      </c>
      <c r="AA84" s="1" t="s">
        <v>459</v>
      </c>
      <c r="AB84" s="1"/>
      <c r="AC84" s="1"/>
      <c r="AD84" s="1"/>
      <c r="AE84" s="1"/>
      <c r="AG84" s="2" t="str">
        <f>"0141020776"</f>
        <v>0141020776</v>
      </c>
      <c r="AH84" s="2" t="str">
        <f>"9780141020778"</f>
        <v>9780141020778</v>
      </c>
      <c r="AI84" s="1">
        <v>0.0</v>
      </c>
      <c r="AJ84" s="1">
        <v>4.11</v>
      </c>
      <c r="AK84" s="1" t="s">
        <v>460</v>
      </c>
      <c r="AL84" s="1" t="s">
        <v>28</v>
      </c>
      <c r="AM84" s="1">
        <v>590.0</v>
      </c>
      <c r="AN84" s="1">
        <v>2009.0</v>
      </c>
      <c r="AO84" s="1">
        <v>2008.0</v>
      </c>
      <c r="AQ84" s="3">
        <v>45114.0</v>
      </c>
      <c r="AR84" s="1" t="s">
        <v>436</v>
      </c>
      <c r="AS84" s="1" t="s">
        <v>461</v>
      </c>
      <c r="AT84" s="1" t="s">
        <v>31</v>
      </c>
      <c r="AX84" s="1">
        <v>0.0</v>
      </c>
      <c r="AY84" s="1">
        <v>0.0</v>
      </c>
    </row>
    <row r="85" spans="20:51" ht="15.75" hidden="1">
      <c r="T85" s="1">
        <v>1081081.0</v>
      </c>
      <c r="U85" s="1"/>
      <c r="V85" s="1"/>
      <c r="W85" s="1"/>
      <c r="X85" s="1"/>
      <c r="Y85" s="1" t="s">
        <v>462</v>
      </c>
      <c r="Z85" s="1" t="s">
        <v>463</v>
      </c>
      <c r="AA85" s="1" t="s">
        <v>464</v>
      </c>
      <c r="AB85" s="1"/>
      <c r="AC85" s="1"/>
      <c r="AD85" s="1"/>
      <c r="AE85" s="1"/>
      <c r="AG85" s="2" t="str">
        <f>"0882142240"</f>
        <v>0882142240</v>
      </c>
      <c r="AH85" s="2" t="str">
        <f>"9780882142241"</f>
        <v>9780882142241</v>
      </c>
      <c r="AI85" s="1">
        <v>0.0</v>
      </c>
      <c r="AJ85" s="1">
        <v>4.3</v>
      </c>
      <c r="AK85" s="1" t="s">
        <v>465</v>
      </c>
      <c r="AL85" s="1" t="s">
        <v>28</v>
      </c>
      <c r="AM85" s="1">
        <v>104.0</v>
      </c>
      <c r="AN85" s="1">
        <v>1998.0</v>
      </c>
      <c r="AO85" s="1">
        <v>1944.0</v>
      </c>
      <c r="AQ85" s="3">
        <v>45114.0</v>
      </c>
      <c r="AR85" s="1" t="s">
        <v>436</v>
      </c>
      <c r="AS85" s="1" t="s">
        <v>466</v>
      </c>
      <c r="AT85" s="1" t="s">
        <v>31</v>
      </c>
      <c r="AX85" s="1">
        <v>0.0</v>
      </c>
      <c r="AY85" s="1">
        <v>0.0</v>
      </c>
    </row>
    <row r="86" spans="20:51" ht="15.75" hidden="1">
      <c r="T86" s="1">
        <v>1080876.0</v>
      </c>
      <c r="U86" s="1"/>
      <c r="V86" s="1"/>
      <c r="W86" s="1"/>
      <c r="X86" s="1"/>
      <c r="Y86" s="1" t="s">
        <v>467</v>
      </c>
      <c r="Z86" s="1" t="s">
        <v>463</v>
      </c>
      <c r="AA86" s="1" t="s">
        <v>464</v>
      </c>
      <c r="AB86" s="1"/>
      <c r="AC86" s="1"/>
      <c r="AD86" s="1"/>
      <c r="AE86" s="1"/>
      <c r="AF86" s="1" t="s">
        <v>468</v>
      </c>
      <c r="AG86" s="2" t="str">
        <f>"0500270481"</f>
        <v>0500270481</v>
      </c>
      <c r="AH86" s="2" t="str">
        <f>"9780500270486"</f>
        <v>9780500270486</v>
      </c>
      <c r="AI86" s="1">
        <v>0.0</v>
      </c>
      <c r="AJ86" s="1">
        <v>4.12</v>
      </c>
      <c r="AK86" s="1" t="s">
        <v>435</v>
      </c>
      <c r="AL86" s="1" t="s">
        <v>28</v>
      </c>
      <c r="AM86" s="1">
        <v>304.0</v>
      </c>
      <c r="AN86" s="1">
        <v>1980.0</v>
      </c>
      <c r="AO86" s="1">
        <v>1951.0</v>
      </c>
      <c r="AQ86" s="3">
        <v>45114.0</v>
      </c>
      <c r="AR86" s="1" t="s">
        <v>419</v>
      </c>
      <c r="AS86" s="1" t="s">
        <v>469</v>
      </c>
      <c r="AT86" s="1" t="s">
        <v>31</v>
      </c>
      <c r="AX86" s="1">
        <v>0.0</v>
      </c>
      <c r="AY86" s="1">
        <v>0.0</v>
      </c>
    </row>
    <row r="87" spans="20:51" ht="15.75" hidden="1">
      <c r="T87" s="1">
        <v>82241.0</v>
      </c>
      <c r="U87" s="1"/>
      <c r="V87" s="1"/>
      <c r="W87" s="1"/>
      <c r="X87" s="1"/>
      <c r="Y87" s="1" t="s">
        <v>470</v>
      </c>
      <c r="Z87" s="1" t="s">
        <v>471</v>
      </c>
      <c r="AA87" s="1" t="s">
        <v>472</v>
      </c>
      <c r="AB87" s="1"/>
      <c r="AC87" s="1"/>
      <c r="AD87" s="1"/>
      <c r="AE87" s="1"/>
      <c r="AF87" s="1" t="s">
        <v>473</v>
      </c>
      <c r="AG87" s="2" t="str">
        <f>"0060969598"</f>
        <v>0060969598</v>
      </c>
      <c r="AH87" s="2" t="str">
        <f>"9780060969592"</f>
        <v>9780060969592</v>
      </c>
      <c r="AI87" s="1">
        <v>0.0</v>
      </c>
      <c r="AJ87" s="1">
        <v>4.11</v>
      </c>
      <c r="AK87" s="1" t="s">
        <v>474</v>
      </c>
      <c r="AL87" s="1" t="s">
        <v>28</v>
      </c>
      <c r="AM87" s="1">
        <v>176.0</v>
      </c>
      <c r="AN87" s="1">
        <v>1994.0</v>
      </c>
      <c r="AO87" s="1">
        <v>-600.0</v>
      </c>
      <c r="AQ87" s="3">
        <v>45113.0</v>
      </c>
      <c r="AR87" s="1" t="s">
        <v>419</v>
      </c>
      <c r="AS87" s="1" t="s">
        <v>475</v>
      </c>
      <c r="AT87" s="1" t="s">
        <v>31</v>
      </c>
      <c r="AX87" s="1">
        <v>0.0</v>
      </c>
      <c r="AY87" s="1">
        <v>0.0</v>
      </c>
    </row>
    <row r="88" spans="20:51" ht="15.75" hidden="1">
      <c r="T88" s="1">
        <v>1152993.0</v>
      </c>
      <c r="U88" s="1"/>
      <c r="V88" s="1"/>
      <c r="W88" s="1"/>
      <c r="X88" s="1"/>
      <c r="Y88" s="1" t="s">
        <v>476</v>
      </c>
      <c r="Z88" s="1" t="s">
        <v>477</v>
      </c>
      <c r="AA88" s="1" t="s">
        <v>478</v>
      </c>
      <c r="AB88" s="1"/>
      <c r="AC88" s="1"/>
      <c r="AD88" s="1"/>
      <c r="AE88" s="1"/>
      <c r="AF88" s="1" t="s">
        <v>479</v>
      </c>
      <c r="AG88" s="2" t="str">
        <f>"0195094514"</f>
        <v>0195094514</v>
      </c>
      <c r="AH88" s="2" t="str">
        <f>"9780195094510"</f>
        <v>9780195094510</v>
      </c>
      <c r="AI88" s="1">
        <v>0.0</v>
      </c>
      <c r="AJ88" s="1">
        <v>3.69</v>
      </c>
      <c r="AK88" s="1" t="s">
        <v>214</v>
      </c>
      <c r="AL88" s="1" t="s">
        <v>28</v>
      </c>
      <c r="AM88" s="1">
        <v>112.0</v>
      </c>
      <c r="AN88" s="1">
        <v>1996.0</v>
      </c>
      <c r="AO88" s="1">
        <v>-414.0</v>
      </c>
      <c r="AQ88" s="3">
        <v>45111.0</v>
      </c>
      <c r="AR88" s="1" t="s">
        <v>480</v>
      </c>
      <c r="AS88" s="1" t="s">
        <v>481</v>
      </c>
      <c r="AT88" s="1" t="s">
        <v>31</v>
      </c>
      <c r="AX88" s="1">
        <v>0.0</v>
      </c>
      <c r="AY88" s="1">
        <v>0.0</v>
      </c>
    </row>
    <row r="89" spans="20:51" ht="15.75" hidden="1">
      <c r="T89" s="1">
        <v>1334499.0</v>
      </c>
      <c r="U89" s="1"/>
      <c r="V89" s="1"/>
      <c r="W89" s="1"/>
      <c r="X89" s="1"/>
      <c r="Y89" s="1" t="s">
        <v>482</v>
      </c>
      <c r="Z89" s="1" t="s">
        <v>463</v>
      </c>
      <c r="AA89" s="1" t="s">
        <v>464</v>
      </c>
      <c r="AB89" s="1"/>
      <c r="AC89" s="1"/>
      <c r="AD89" s="1"/>
      <c r="AE89" s="1"/>
      <c r="AF89" s="1" t="s">
        <v>483</v>
      </c>
      <c r="AG89" s="2" t="str">
        <f>"050027049X"</f>
        <v>050027049X</v>
      </c>
      <c r="AH89" s="2" t="str">
        <f>"9780500270493"</f>
        <v>9780500270493</v>
      </c>
      <c r="AI89" s="1">
        <v>0.0</v>
      </c>
      <c r="AJ89" s="1">
        <v>4.0</v>
      </c>
      <c r="AK89" s="1" t="s">
        <v>435</v>
      </c>
      <c r="AL89" s="1" t="s">
        <v>28</v>
      </c>
      <c r="AM89" s="1">
        <v>440.0</v>
      </c>
      <c r="AN89" s="1">
        <v>2005.0</v>
      </c>
      <c r="AO89" s="1">
        <v>1958.0</v>
      </c>
      <c r="AQ89" s="3">
        <v>45114.0</v>
      </c>
      <c r="AR89" s="1" t="s">
        <v>436</v>
      </c>
      <c r="AS89" s="1" t="s">
        <v>484</v>
      </c>
      <c r="AT89" s="1" t="s">
        <v>31</v>
      </c>
      <c r="AX89" s="1">
        <v>0.0</v>
      </c>
      <c r="AY89" s="1">
        <v>0.0</v>
      </c>
    </row>
    <row r="90" spans="20:51" ht="15.75" hidden="1">
      <c r="T90" s="1">
        <v>1483.0</v>
      </c>
      <c r="U90" s="1"/>
      <c r="V90" s="1"/>
      <c r="W90" s="1"/>
      <c r="X90" s="1"/>
      <c r="Y90" s="1" t="s">
        <v>485</v>
      </c>
      <c r="Z90" s="1" t="s">
        <v>477</v>
      </c>
      <c r="AA90" s="1" t="s">
        <v>478</v>
      </c>
      <c r="AB90" s="1"/>
      <c r="AC90" s="1"/>
      <c r="AD90" s="1"/>
      <c r="AE90" s="1"/>
      <c r="AF90" s="1" t="s">
        <v>486</v>
      </c>
      <c r="AG90" s="2" t="str">
        <f>"019283987X"</f>
        <v>019283987X</v>
      </c>
      <c r="AH90" s="2" t="str">
        <f>"9780192839879"</f>
        <v>9780192839879</v>
      </c>
      <c r="AI90" s="1">
        <v>0.0</v>
      </c>
      <c r="AJ90" s="1">
        <v>4.02</v>
      </c>
      <c r="AK90" s="1" t="s">
        <v>214</v>
      </c>
      <c r="AL90" s="1" t="s">
        <v>28</v>
      </c>
      <c r="AM90" s="1">
        <v>224.0</v>
      </c>
      <c r="AN90" s="1">
        <v>2001.0</v>
      </c>
      <c r="AO90" s="1">
        <v>2001.0</v>
      </c>
      <c r="AQ90" s="3">
        <v>45111.0</v>
      </c>
      <c r="AR90" s="1" t="s">
        <v>480</v>
      </c>
      <c r="AS90" s="1" t="s">
        <v>487</v>
      </c>
      <c r="AT90" s="1" t="s">
        <v>31</v>
      </c>
      <c r="AX90" s="1">
        <v>0.0</v>
      </c>
      <c r="AY90" s="1">
        <v>0.0</v>
      </c>
    </row>
    <row r="91" spans="20:51" ht="15.75" hidden="1">
      <c r="T91" s="1">
        <v>5.6269247E7</v>
      </c>
      <c r="U91" s="1"/>
      <c r="V91" s="1"/>
      <c r="W91" s="1"/>
      <c r="X91" s="1"/>
      <c r="Y91" s="1" t="s">
        <v>488</v>
      </c>
      <c r="Z91" s="1" t="s">
        <v>489</v>
      </c>
      <c r="AA91" s="1" t="s">
        <v>490</v>
      </c>
      <c r="AB91" s="1"/>
      <c r="AC91" s="1"/>
      <c r="AD91" s="1"/>
      <c r="AE91" s="1"/>
      <c r="AF91" s="1" t="s">
        <v>491</v>
      </c>
      <c r="AG91" s="2" t="str">
        <f>"0374601895"</f>
        <v>0374601895</v>
      </c>
      <c r="AH91" s="2" t="str">
        <f>"9780374601898"</f>
        <v>9780374601898</v>
      </c>
      <c r="AI91" s="1">
        <v>0.0</v>
      </c>
      <c r="AJ91" s="1">
        <v>4.04</v>
      </c>
      <c r="AK91" s="1" t="s">
        <v>89</v>
      </c>
      <c r="AL91" s="1" t="s">
        <v>41</v>
      </c>
      <c r="AM91" s="1">
        <v>464.0</v>
      </c>
      <c r="AN91" s="1">
        <v>2021.0</v>
      </c>
      <c r="AQ91" s="3">
        <v>45101.0</v>
      </c>
      <c r="AR91" s="1" t="s">
        <v>492</v>
      </c>
      <c r="AS91" s="1" t="s">
        <v>493</v>
      </c>
      <c r="AT91" s="1" t="s">
        <v>31</v>
      </c>
      <c r="AX91" s="1">
        <v>0.0</v>
      </c>
      <c r="AY91" s="1">
        <v>0.0</v>
      </c>
    </row>
    <row r="92" spans="20:51" ht="15.75" hidden="1">
      <c r="T92" s="1">
        <v>1171954.0</v>
      </c>
      <c r="U92" s="1"/>
      <c r="V92" s="1"/>
      <c r="W92" s="1"/>
      <c r="X92" s="1"/>
      <c r="Y92" s="1" t="s">
        <v>494</v>
      </c>
      <c r="Z92" s="1" t="s">
        <v>477</v>
      </c>
      <c r="AA92" s="1" t="s">
        <v>478</v>
      </c>
      <c r="AB92" s="1"/>
      <c r="AC92" s="1"/>
      <c r="AD92" s="1"/>
      <c r="AE92" s="1"/>
      <c r="AF92" s="1" t="s">
        <v>495</v>
      </c>
      <c r="AG92" s="2" t="str">
        <f>"0195085760"</f>
        <v>0195085760</v>
      </c>
      <c r="AH92" s="2" t="str">
        <f>"9780195085761"</f>
        <v>9780195085761</v>
      </c>
      <c r="AI92" s="1">
        <v>0.0</v>
      </c>
      <c r="AJ92" s="1">
        <v>3.95</v>
      </c>
      <c r="AK92" s="1" t="s">
        <v>214</v>
      </c>
      <c r="AL92" s="1" t="s">
        <v>28</v>
      </c>
      <c r="AM92" s="1">
        <v>112.0</v>
      </c>
      <c r="AN92" s="1">
        <v>1994.0</v>
      </c>
      <c r="AO92" s="1">
        <v>-420.0</v>
      </c>
      <c r="AQ92" s="3">
        <v>45111.0</v>
      </c>
      <c r="AR92" s="1" t="s">
        <v>480</v>
      </c>
      <c r="AS92" s="1" t="s">
        <v>496</v>
      </c>
      <c r="AT92" s="1" t="s">
        <v>31</v>
      </c>
      <c r="AX92" s="1">
        <v>0.0</v>
      </c>
      <c r="AY92" s="1">
        <v>0.0</v>
      </c>
    </row>
    <row r="93" spans="20:51" ht="15.75" hidden="1">
      <c r="T93" s="1">
        <v>27410.0</v>
      </c>
      <c r="U93" s="1"/>
      <c r="V93" s="1"/>
      <c r="W93" s="1"/>
      <c r="X93" s="1"/>
      <c r="Y93" s="1" t="s">
        <v>497</v>
      </c>
      <c r="Z93" s="1" t="s">
        <v>498</v>
      </c>
      <c r="AA93" s="1" t="s">
        <v>499</v>
      </c>
      <c r="AB93" s="1"/>
      <c r="AC93" s="1"/>
      <c r="AD93" s="1"/>
      <c r="AE93" s="1"/>
      <c r="AF93" s="1" t="s">
        <v>500</v>
      </c>
      <c r="AG93" s="2" t="str">
        <f>"0192839241"</f>
        <v>0192839241</v>
      </c>
      <c r="AH93" s="2" t="str">
        <f>"9780192839244"</f>
        <v>9780192839244</v>
      </c>
      <c r="AI93" s="1">
        <v>0.0</v>
      </c>
      <c r="AJ93" s="1">
        <v>3.94</v>
      </c>
      <c r="AK93" s="1" t="s">
        <v>214</v>
      </c>
      <c r="AL93" s="1" t="s">
        <v>28</v>
      </c>
      <c r="AM93" s="1">
        <v>336.0</v>
      </c>
      <c r="AN93" s="1">
        <v>1999.0</v>
      </c>
      <c r="AO93" s="1">
        <v>200.0</v>
      </c>
      <c r="AQ93" s="3">
        <v>45109.0</v>
      </c>
      <c r="AR93" s="1" t="s">
        <v>419</v>
      </c>
      <c r="AS93" s="1" t="s">
        <v>501</v>
      </c>
      <c r="AT93" s="1" t="s">
        <v>31</v>
      </c>
      <c r="AX93" s="1">
        <v>0.0</v>
      </c>
      <c r="AY93" s="1">
        <v>0.0</v>
      </c>
    </row>
    <row r="94" spans="20:51" ht="15.75" hidden="1">
      <c r="T94" s="1">
        <v>1350718.0</v>
      </c>
      <c r="U94" s="1"/>
      <c r="V94" s="1"/>
      <c r="W94" s="1"/>
      <c r="X94" s="1"/>
      <c r="Y94" s="1" t="s">
        <v>502</v>
      </c>
      <c r="Z94" s="1" t="s">
        <v>477</v>
      </c>
      <c r="AA94" s="1" t="s">
        <v>478</v>
      </c>
      <c r="AB94" s="1"/>
      <c r="AC94" s="1"/>
      <c r="AD94" s="1"/>
      <c r="AE94" s="1"/>
      <c r="AG94" s="2" t="str">
        <f>"0865162662"</f>
        <v>0865162662</v>
      </c>
      <c r="AH94" s="2" t="str">
        <f>"9780865162662"</f>
        <v>9780865162662</v>
      </c>
      <c r="AI94" s="1">
        <v>0.0</v>
      </c>
      <c r="AJ94" s="1">
        <v>4.14</v>
      </c>
      <c r="AK94" s="1" t="s">
        <v>503</v>
      </c>
      <c r="AL94" s="1" t="s">
        <v>41</v>
      </c>
      <c r="AM94" s="1">
        <v>176.0</v>
      </c>
      <c r="AN94" s="1">
        <v>1993.0</v>
      </c>
      <c r="AO94" s="1">
        <v>-420.0</v>
      </c>
      <c r="AQ94" s="3">
        <v>45111.0</v>
      </c>
      <c r="AR94" s="1" t="s">
        <v>480</v>
      </c>
      <c r="AS94" s="1" t="s">
        <v>504</v>
      </c>
      <c r="AT94" s="1" t="s">
        <v>31</v>
      </c>
      <c r="AX94" s="1">
        <v>0.0</v>
      </c>
      <c r="AY94" s="1">
        <v>0.0</v>
      </c>
    </row>
    <row r="95" spans="20:51" ht="15.75" hidden="1">
      <c r="T95" s="1">
        <v>1489.0</v>
      </c>
      <c r="U95" s="1"/>
      <c r="V95" s="1"/>
      <c r="W95" s="1"/>
      <c r="X95" s="1"/>
      <c r="Y95" s="1" t="s">
        <v>505</v>
      </c>
      <c r="Z95" s="1" t="s">
        <v>477</v>
      </c>
      <c r="AA95" s="1" t="s">
        <v>478</v>
      </c>
      <c r="AB95" s="1"/>
      <c r="AC95" s="1"/>
      <c r="AD95" s="1"/>
      <c r="AE95" s="1"/>
      <c r="AF95" s="1" t="s">
        <v>506</v>
      </c>
      <c r="AG95" s="2" t="str">
        <f>"0192832603"</f>
        <v>0192832603</v>
      </c>
      <c r="AH95" s="2" t="str">
        <f>"9780192832603"</f>
        <v>9780192832603</v>
      </c>
      <c r="AI95" s="1">
        <v>0.0</v>
      </c>
      <c r="AJ95" s="1">
        <v>4.12</v>
      </c>
      <c r="AK95" s="1" t="s">
        <v>214</v>
      </c>
      <c r="AL95" s="1" t="s">
        <v>28</v>
      </c>
      <c r="AM95" s="1">
        <v>282.0</v>
      </c>
      <c r="AN95" s="1">
        <v>2001.0</v>
      </c>
      <c r="AO95" s="1">
        <v>-408.0</v>
      </c>
      <c r="AQ95" s="3">
        <v>45111.0</v>
      </c>
      <c r="AR95" s="1" t="s">
        <v>480</v>
      </c>
      <c r="AS95" s="1" t="s">
        <v>507</v>
      </c>
      <c r="AT95" s="1" t="s">
        <v>31</v>
      </c>
      <c r="AX95" s="1">
        <v>0.0</v>
      </c>
      <c r="AY95" s="1">
        <v>0.0</v>
      </c>
    </row>
    <row r="96" spans="20:51" ht="15.75" hidden="1">
      <c r="T96" s="1">
        <v>133951.0</v>
      </c>
      <c r="U96" s="1"/>
      <c r="V96" s="1"/>
      <c r="W96" s="1"/>
      <c r="X96" s="1"/>
      <c r="Y96" s="1" t="s">
        <v>508</v>
      </c>
      <c r="Z96" s="1" t="s">
        <v>509</v>
      </c>
      <c r="AA96" s="1" t="s">
        <v>510</v>
      </c>
      <c r="AB96" s="1"/>
      <c r="AC96" s="1"/>
      <c r="AD96" s="1"/>
      <c r="AE96" s="1"/>
      <c r="AF96" s="1" t="s">
        <v>511</v>
      </c>
      <c r="AG96" s="2" t="str">
        <f>"0374525870"</f>
        <v>0374525870</v>
      </c>
      <c r="AH96" s="2" t="str">
        <f>"9780374525873"</f>
        <v>9780374525873</v>
      </c>
      <c r="AI96" s="1">
        <v>0.0</v>
      </c>
      <c r="AJ96" s="1">
        <v>4.25</v>
      </c>
      <c r="AK96" s="1" t="s">
        <v>89</v>
      </c>
      <c r="AL96" s="1" t="s">
        <v>28</v>
      </c>
      <c r="AM96" s="1">
        <v>257.0</v>
      </c>
      <c r="AN96" s="1">
        <v>1999.0</v>
      </c>
      <c r="AO96" s="1">
        <v>1997.0</v>
      </c>
      <c r="AQ96" s="3">
        <v>45109.0</v>
      </c>
      <c r="AR96" s="1" t="s">
        <v>419</v>
      </c>
      <c r="AS96" s="1" t="s">
        <v>512</v>
      </c>
      <c r="AT96" s="1" t="s">
        <v>31</v>
      </c>
      <c r="AX96" s="1">
        <v>0.0</v>
      </c>
      <c r="AY96" s="1">
        <v>0.0</v>
      </c>
    </row>
    <row r="97" spans="20:51" ht="15.75" hidden="1">
      <c r="T97" s="1">
        <v>4.5892234E7</v>
      </c>
      <c r="U97" s="1"/>
      <c r="V97" s="1"/>
      <c r="W97" s="1"/>
      <c r="X97" s="1"/>
      <c r="Y97" s="1" t="s">
        <v>513</v>
      </c>
      <c r="Z97" s="1" t="s">
        <v>489</v>
      </c>
      <c r="AA97" s="1" t="s">
        <v>490</v>
      </c>
      <c r="AB97" s="1"/>
      <c r="AC97" s="1"/>
      <c r="AD97" s="1"/>
      <c r="AE97" s="1"/>
      <c r="AF97" s="1" t="s">
        <v>514</v>
      </c>
      <c r="AG97" s="2" t="str">
        <f>"0374120064"</f>
        <v>0374120064</v>
      </c>
      <c r="AH97" s="2" t="str">
        <f>"9780374120061"</f>
        <v>9780374120061</v>
      </c>
      <c r="AI97" s="1">
        <v>0.0</v>
      </c>
      <c r="AJ97" s="1">
        <v>4.2</v>
      </c>
      <c r="AK97" s="1" t="s">
        <v>89</v>
      </c>
      <c r="AL97" s="1" t="s">
        <v>41</v>
      </c>
      <c r="AM97" s="1">
        <v>464.0</v>
      </c>
      <c r="AN97" s="1">
        <v>2020.0</v>
      </c>
      <c r="AO97" s="1">
        <v>2016.0</v>
      </c>
      <c r="AQ97" s="3">
        <v>45101.0</v>
      </c>
      <c r="AR97" s="1" t="s">
        <v>492</v>
      </c>
      <c r="AS97" s="1" t="s">
        <v>515</v>
      </c>
      <c r="AT97" s="1" t="s">
        <v>31</v>
      </c>
      <c r="AX97" s="1">
        <v>0.0</v>
      </c>
      <c r="AY97" s="1">
        <v>0.0</v>
      </c>
    </row>
    <row r="98" spans="20:51" ht="15.75" hidden="1">
      <c r="T98" s="1">
        <v>438544.0</v>
      </c>
      <c r="U98" s="1"/>
      <c r="V98" s="1"/>
      <c r="W98" s="1"/>
      <c r="X98" s="1"/>
      <c r="Y98" s="1" t="s">
        <v>516</v>
      </c>
      <c r="Z98" s="1" t="s">
        <v>489</v>
      </c>
      <c r="AA98" s="1" t="s">
        <v>490</v>
      </c>
      <c r="AB98" s="1"/>
      <c r="AC98" s="1"/>
      <c r="AD98" s="1"/>
      <c r="AE98" s="1"/>
      <c r="AG98" s="2" t="str">
        <f>"0375725431"</f>
        <v>0375725431</v>
      </c>
      <c r="AH98" s="2" t="str">
        <f>"9780375725432"</f>
        <v>9780375725432</v>
      </c>
      <c r="AI98" s="1">
        <v>0.0</v>
      </c>
      <c r="AJ98" s="1">
        <v>3.97</v>
      </c>
      <c r="AK98" s="1" t="s">
        <v>83</v>
      </c>
      <c r="AL98" s="1" t="s">
        <v>28</v>
      </c>
      <c r="AM98" s="1">
        <v>224.0</v>
      </c>
      <c r="AN98" s="1">
        <v>2002.0</v>
      </c>
      <c r="AO98" s="1">
        <v>2001.0</v>
      </c>
      <c r="AQ98" s="3">
        <v>45101.0</v>
      </c>
      <c r="AR98" s="1" t="s">
        <v>419</v>
      </c>
      <c r="AS98" s="1" t="s">
        <v>517</v>
      </c>
      <c r="AT98" s="1" t="s">
        <v>31</v>
      </c>
      <c r="AX98" s="1">
        <v>0.0</v>
      </c>
      <c r="AY98" s="1">
        <v>0.0</v>
      </c>
    </row>
    <row r="99" spans="20:51" ht="15.75" hidden="1">
      <c r="T99" s="1">
        <v>588147.0</v>
      </c>
      <c r="U99" s="1"/>
      <c r="V99" s="1"/>
      <c r="W99" s="1"/>
      <c r="X99" s="1"/>
      <c r="Y99" s="1" t="s">
        <v>518</v>
      </c>
      <c r="Z99" s="1" t="s">
        <v>519</v>
      </c>
      <c r="AA99" s="1" t="s">
        <v>520</v>
      </c>
      <c r="AB99" s="1"/>
      <c r="AC99" s="1"/>
      <c r="AD99" s="1"/>
      <c r="AE99" s="1"/>
      <c r="AF99" s="1" t="s">
        <v>521</v>
      </c>
      <c r="AG99" s="2" t="str">
        <f>"0375751475"</f>
        <v>0375751475</v>
      </c>
      <c r="AH99" s="2" t="str">
        <f>"9780375751479"</f>
        <v>9780375751479</v>
      </c>
      <c r="AI99" s="1">
        <v>0.0</v>
      </c>
      <c r="AJ99" s="1">
        <v>4.13</v>
      </c>
      <c r="AK99" s="1" t="s">
        <v>522</v>
      </c>
      <c r="AL99" s="1" t="s">
        <v>28</v>
      </c>
      <c r="AM99" s="1">
        <v>862.0</v>
      </c>
      <c r="AN99" s="1">
        <v>1998.0</v>
      </c>
      <c r="AO99" s="1">
        <v>1855.0</v>
      </c>
      <c r="AQ99" s="3">
        <v>45080.0</v>
      </c>
      <c r="AR99" s="1" t="s">
        <v>419</v>
      </c>
      <c r="AS99" s="1" t="s">
        <v>523</v>
      </c>
      <c r="AT99" s="1" t="s">
        <v>31</v>
      </c>
      <c r="AX99" s="1">
        <v>0.0</v>
      </c>
      <c r="AY99" s="1">
        <v>0.0</v>
      </c>
    </row>
    <row r="100" spans="20:51" ht="15.75" hidden="1">
      <c r="T100" s="1">
        <v>94706.0</v>
      </c>
      <c r="U100" s="1"/>
      <c r="V100" s="1"/>
      <c r="W100" s="1"/>
      <c r="X100" s="1"/>
      <c r="Y100" s="1" t="s">
        <v>524</v>
      </c>
      <c r="Z100" s="1" t="s">
        <v>525</v>
      </c>
      <c r="AA100" s="1" t="s">
        <v>526</v>
      </c>
      <c r="AB100" s="1"/>
      <c r="AC100" s="1"/>
      <c r="AD100" s="1"/>
      <c r="AE100" s="1"/>
      <c r="AG100" s="2" t="str">
        <f>"0500201250"</f>
        <v>0500201250</v>
      </c>
      <c r="AH100" s="2" t="str">
        <f>"9780500201251"</f>
        <v>9780500201251</v>
      </c>
      <c r="AI100" s="1">
        <v>0.0</v>
      </c>
      <c r="AJ100" s="1">
        <v>3.86</v>
      </c>
      <c r="AK100" s="1" t="s">
        <v>527</v>
      </c>
      <c r="AL100" s="1" t="s">
        <v>28</v>
      </c>
      <c r="AM100" s="1">
        <v>216.0</v>
      </c>
      <c r="AN100" s="1">
        <v>1985.0</v>
      </c>
      <c r="AO100" s="1">
        <v>1972.0</v>
      </c>
      <c r="AQ100" s="3">
        <v>45086.0</v>
      </c>
      <c r="AR100" s="1" t="s">
        <v>430</v>
      </c>
      <c r="AS100" s="1" t="s">
        <v>528</v>
      </c>
      <c r="AT100" s="1" t="s">
        <v>31</v>
      </c>
      <c r="AX100" s="1">
        <v>0.0</v>
      </c>
      <c r="AY100" s="1">
        <v>0.0</v>
      </c>
    </row>
    <row r="101" spans="20:51" ht="15.75" hidden="1">
      <c r="T101" s="1">
        <v>7170651.0</v>
      </c>
      <c r="U101" s="1"/>
      <c r="V101" s="1"/>
      <c r="W101" s="1"/>
      <c r="X101" s="1"/>
      <c r="Y101" s="1" t="s">
        <v>529</v>
      </c>
      <c r="Z101" s="1" t="s">
        <v>525</v>
      </c>
      <c r="AA101" s="1" t="s">
        <v>526</v>
      </c>
      <c r="AB101" s="1"/>
      <c r="AC101" s="1"/>
      <c r="AD101" s="1"/>
      <c r="AE101" s="1"/>
      <c r="AG101" s="2" t="str">
        <f>"0061787779"</f>
        <v>0061787779</v>
      </c>
      <c r="AH101" s="2" t="str">
        <f>"9780061787775"</f>
        <v>9780061787775</v>
      </c>
      <c r="AI101" s="1">
        <v>0.0</v>
      </c>
      <c r="AJ101" s="1">
        <v>4.4</v>
      </c>
      <c r="AK101" s="1" t="s">
        <v>194</v>
      </c>
      <c r="AL101" s="1" t="s">
        <v>41</v>
      </c>
      <c r="AM101" s="1">
        <v>192.0</v>
      </c>
      <c r="AN101" s="1">
        <v>2009.0</v>
      </c>
      <c r="AO101" s="1">
        <v>2009.0</v>
      </c>
      <c r="AQ101" s="3">
        <v>45086.0</v>
      </c>
      <c r="AR101" s="1" t="s">
        <v>430</v>
      </c>
      <c r="AS101" s="1" t="s">
        <v>530</v>
      </c>
      <c r="AT101" s="1" t="s">
        <v>31</v>
      </c>
      <c r="AX101" s="1">
        <v>0.0</v>
      </c>
      <c r="AY101" s="1">
        <v>0.0</v>
      </c>
    </row>
    <row r="102" spans="20:51" ht="15.75" hidden="1">
      <c r="T102" s="1">
        <v>163014.0</v>
      </c>
      <c r="U102" s="1"/>
      <c r="V102" s="1"/>
      <c r="W102" s="1"/>
      <c r="X102" s="1"/>
      <c r="Y102" s="1" t="s">
        <v>531</v>
      </c>
      <c r="Z102" s="1" t="s">
        <v>489</v>
      </c>
      <c r="AA102" s="1" t="s">
        <v>490</v>
      </c>
      <c r="AB102" s="1"/>
      <c r="AC102" s="1"/>
      <c r="AD102" s="1"/>
      <c r="AE102" s="1"/>
      <c r="AG102" s="2" t="str">
        <f>"0679775471"</f>
        <v>0679775471</v>
      </c>
      <c r="AH102" s="2" t="str">
        <f>"9780679775478"</f>
        <v>9780679775478</v>
      </c>
      <c r="AI102" s="1">
        <v>0.0</v>
      </c>
      <c r="AJ102" s="1">
        <v>4.14</v>
      </c>
      <c r="AK102" s="1" t="s">
        <v>83</v>
      </c>
      <c r="AL102" s="1" t="s">
        <v>28</v>
      </c>
      <c r="AM102" s="1">
        <v>464.0</v>
      </c>
      <c r="AN102" s="1">
        <v>1999.0</v>
      </c>
      <c r="AO102" s="1">
        <v>1996.0</v>
      </c>
      <c r="AQ102" s="3">
        <v>45101.0</v>
      </c>
      <c r="AR102" s="1" t="s">
        <v>492</v>
      </c>
      <c r="AS102" s="1" t="s">
        <v>532</v>
      </c>
      <c r="AT102" s="1" t="s">
        <v>31</v>
      </c>
      <c r="AX102" s="1">
        <v>0.0</v>
      </c>
      <c r="AY102" s="1">
        <v>0.0</v>
      </c>
    </row>
    <row r="103" spans="20:51" ht="15.75" hidden="1">
      <c r="T103" s="1">
        <v>820465.0</v>
      </c>
      <c r="U103" s="1"/>
      <c r="V103" s="1"/>
      <c r="W103" s="1"/>
      <c r="X103" s="1"/>
      <c r="Y103" s="1" t="s">
        <v>533</v>
      </c>
      <c r="Z103" s="1" t="s">
        <v>534</v>
      </c>
      <c r="AA103" s="1" t="s">
        <v>535</v>
      </c>
      <c r="AB103" s="1"/>
      <c r="AC103" s="1"/>
      <c r="AD103" s="1"/>
      <c r="AE103" s="1"/>
      <c r="AG103" s="2" t="str">
        <f>"0374504938"</f>
        <v>0374504938</v>
      </c>
      <c r="AH103" s="2" t="str">
        <f>"9780374504939"</f>
        <v>9780374504939</v>
      </c>
      <c r="AI103" s="1">
        <v>0.0</v>
      </c>
      <c r="AJ103" s="1">
        <v>4.03</v>
      </c>
      <c r="AK103" s="1" t="s">
        <v>89</v>
      </c>
      <c r="AL103" s="1" t="s">
        <v>28</v>
      </c>
      <c r="AM103" s="1">
        <v>512.0</v>
      </c>
      <c r="AN103" s="1">
        <v>1966.0</v>
      </c>
      <c r="AO103" s="1">
        <v>1948.0</v>
      </c>
      <c r="AQ103" s="3">
        <v>45070.0</v>
      </c>
      <c r="AR103" s="1" t="s">
        <v>492</v>
      </c>
      <c r="AS103" s="1" t="s">
        <v>536</v>
      </c>
      <c r="AT103" s="1" t="s">
        <v>31</v>
      </c>
      <c r="AX103" s="1">
        <v>0.0</v>
      </c>
      <c r="AY103" s="1">
        <v>0.0</v>
      </c>
    </row>
    <row r="104" spans="20:51" ht="15.75" hidden="1">
      <c r="T104" s="1">
        <v>2827577.0</v>
      </c>
      <c r="U104" s="1"/>
      <c r="V104" s="1"/>
      <c r="W104" s="1"/>
      <c r="X104" s="1"/>
      <c r="Y104" s="1" t="s">
        <v>537</v>
      </c>
      <c r="Z104" s="1" t="s">
        <v>538</v>
      </c>
      <c r="AA104" s="1" t="s">
        <v>539</v>
      </c>
      <c r="AB104" s="1"/>
      <c r="AC104" s="1"/>
      <c r="AD104" s="1"/>
      <c r="AE104" s="1"/>
      <c r="AG104" s="2" t="str">
        <f>"0486414302"</f>
        <v>0486414302</v>
      </c>
      <c r="AH104" s="2" t="str">
        <f>"9780486414300"</f>
        <v>9780486414300</v>
      </c>
      <c r="AI104" s="1">
        <v>0.0</v>
      </c>
      <c r="AJ104" s="1">
        <v>3.59</v>
      </c>
      <c r="AK104" s="1" t="s">
        <v>540</v>
      </c>
      <c r="AL104" s="1" t="s">
        <v>28</v>
      </c>
      <c r="AM104" s="1">
        <v>272.0</v>
      </c>
      <c r="AN104" s="1">
        <v>2011.0</v>
      </c>
      <c r="AO104" s="1">
        <v>1969.0</v>
      </c>
      <c r="AQ104" s="3">
        <v>45063.0</v>
      </c>
      <c r="AR104" s="1" t="s">
        <v>419</v>
      </c>
      <c r="AS104" s="1" t="s">
        <v>541</v>
      </c>
      <c r="AT104" s="1" t="s">
        <v>31</v>
      </c>
      <c r="AX104" s="1">
        <v>0.0</v>
      </c>
      <c r="AY104" s="1">
        <v>0.0</v>
      </c>
    </row>
    <row r="105" spans="20:51" ht="15.75" hidden="1">
      <c r="T105" s="1">
        <v>3.4324501E7</v>
      </c>
      <c r="U105" s="1"/>
      <c r="V105" s="1"/>
      <c r="W105" s="1"/>
      <c r="X105" s="1"/>
      <c r="Y105" s="1" t="s">
        <v>542</v>
      </c>
      <c r="Z105" s="1" t="s">
        <v>543</v>
      </c>
      <c r="AA105" s="1" t="s">
        <v>544</v>
      </c>
      <c r="AB105" s="1"/>
      <c r="AC105" s="1"/>
      <c r="AD105" s="1"/>
      <c r="AE105" s="1"/>
      <c r="AG105" s="2" t="str">
        <f>"0300229046"</f>
        <v>0300229046</v>
      </c>
      <c r="AH105" s="2" t="str">
        <f>"9780300229042"</f>
        <v>9780300229042</v>
      </c>
      <c r="AI105" s="1">
        <v>0.0</v>
      </c>
      <c r="AJ105" s="1">
        <v>3.62</v>
      </c>
      <c r="AK105" s="1" t="s">
        <v>545</v>
      </c>
      <c r="AL105" s="1" t="s">
        <v>41</v>
      </c>
      <c r="AM105" s="1">
        <v>360.0</v>
      </c>
      <c r="AN105" s="1">
        <v>2017.0</v>
      </c>
      <c r="AO105" s="1">
        <v>2017.0</v>
      </c>
      <c r="AQ105" s="3">
        <v>45078.0</v>
      </c>
      <c r="AR105" s="1" t="s">
        <v>546</v>
      </c>
      <c r="AS105" s="1" t="s">
        <v>547</v>
      </c>
      <c r="AT105" s="1" t="s">
        <v>31</v>
      </c>
      <c r="AX105" s="1">
        <v>0.0</v>
      </c>
      <c r="AY105" s="1">
        <v>0.0</v>
      </c>
    </row>
    <row r="106" spans="20:51" ht="15.75" hidden="1">
      <c r="T106" s="1">
        <v>23522.0</v>
      </c>
      <c r="U106" s="1"/>
      <c r="V106" s="1"/>
      <c r="W106" s="1"/>
      <c r="X106" s="1"/>
      <c r="Y106" s="1" t="s">
        <v>548</v>
      </c>
      <c r="Z106" s="1" t="s">
        <v>549</v>
      </c>
      <c r="AA106" s="1" t="s">
        <v>550</v>
      </c>
      <c r="AB106" s="1"/>
      <c r="AC106" s="1"/>
      <c r="AD106" s="1"/>
      <c r="AE106" s="1"/>
      <c r="AF106" s="1" t="s">
        <v>551</v>
      </c>
      <c r="AG106" s="2" t="str">
        <f>"0316341517"</f>
        <v>0316341517</v>
      </c>
      <c r="AH106" s="2" t="str">
        <f>"9780316341516"</f>
        <v>9780316341516</v>
      </c>
      <c r="AI106" s="1">
        <v>0.0</v>
      </c>
      <c r="AJ106" s="1">
        <v>4.03</v>
      </c>
      <c r="AK106" s="1" t="s">
        <v>380</v>
      </c>
      <c r="AL106" s="1" t="s">
        <v>28</v>
      </c>
      <c r="AM106" s="1">
        <v>497.0</v>
      </c>
      <c r="AN106" s="1">
        <v>1998.0</v>
      </c>
      <c r="AO106" s="1">
        <v>1942.0</v>
      </c>
      <c r="AQ106" s="3">
        <v>45070.0</v>
      </c>
      <c r="AR106" s="1" t="s">
        <v>436</v>
      </c>
      <c r="AS106" s="1" t="s">
        <v>552</v>
      </c>
      <c r="AT106" s="1" t="s">
        <v>31</v>
      </c>
      <c r="AX106" s="1">
        <v>0.0</v>
      </c>
      <c r="AY106" s="1">
        <v>0.0</v>
      </c>
    </row>
    <row r="107" spans="20:51" ht="15.75" hidden="1">
      <c r="T107" s="1">
        <v>479570.0</v>
      </c>
      <c r="U107" s="1"/>
      <c r="V107" s="1"/>
      <c r="W107" s="1"/>
      <c r="X107" s="1"/>
      <c r="Y107" s="1" t="s">
        <v>553</v>
      </c>
      <c r="Z107" s="1" t="s">
        <v>554</v>
      </c>
      <c r="AA107" s="1" t="s">
        <v>555</v>
      </c>
      <c r="AB107" s="1"/>
      <c r="AC107" s="1"/>
      <c r="AD107" s="1"/>
      <c r="AE107" s="1"/>
      <c r="AG107" s="2" t="str">
        <f>"1840680245"</f>
        <v>1840680245</v>
      </c>
      <c r="AH107" s="2" t="str">
        <f>"9781840680249"</f>
        <v>9781840680249</v>
      </c>
      <c r="AI107" s="1">
        <v>0.0</v>
      </c>
      <c r="AJ107" s="1">
        <v>4.33</v>
      </c>
      <c r="AK107" s="1" t="s">
        <v>556</v>
      </c>
      <c r="AL107" s="1" t="s">
        <v>28</v>
      </c>
      <c r="AM107" s="1">
        <v>288.0</v>
      </c>
      <c r="AN107" s="1">
        <v>2001.0</v>
      </c>
      <c r="AO107" s="1">
        <v>2001.0</v>
      </c>
      <c r="AQ107" s="3">
        <v>45070.0</v>
      </c>
      <c r="AR107" s="1" t="s">
        <v>419</v>
      </c>
      <c r="AS107" s="1" t="s">
        <v>557</v>
      </c>
      <c r="AT107" s="1" t="s">
        <v>31</v>
      </c>
      <c r="AX107" s="1">
        <v>0.0</v>
      </c>
      <c r="AY107" s="1">
        <v>0.0</v>
      </c>
    </row>
    <row r="108" spans="20:51" ht="15.75" hidden="1">
      <c r="T108" s="1">
        <v>588138.0</v>
      </c>
      <c r="U108" s="1"/>
      <c r="V108" s="1"/>
      <c r="W108" s="1"/>
      <c r="X108" s="1"/>
      <c r="Y108" s="1" t="s">
        <v>558</v>
      </c>
      <c r="Z108" s="1" t="s">
        <v>559</v>
      </c>
      <c r="AA108" s="1" t="s">
        <v>560</v>
      </c>
      <c r="AB108" s="1"/>
      <c r="AC108" s="1"/>
      <c r="AD108" s="1"/>
      <c r="AE108" s="1"/>
      <c r="AG108" s="2" t="str">
        <f>"0691017840"</f>
        <v>0691017840</v>
      </c>
      <c r="AH108" s="2" t="str">
        <f>"9780691017846"</f>
        <v>9780691017846</v>
      </c>
      <c r="AI108" s="1">
        <v>0.0</v>
      </c>
      <c r="AJ108" s="1">
        <v>4.13</v>
      </c>
      <c r="AK108" s="1" t="s">
        <v>141</v>
      </c>
      <c r="AL108" s="1" t="s">
        <v>28</v>
      </c>
      <c r="AM108" s="1">
        <v>416.0</v>
      </c>
      <c r="AN108" s="1">
        <v>1972.0</v>
      </c>
      <c r="AO108" s="1">
        <v>1949.0</v>
      </c>
      <c r="AQ108" s="3">
        <v>45059.0</v>
      </c>
      <c r="AR108" s="1" t="s">
        <v>419</v>
      </c>
      <c r="AS108" s="1" t="s">
        <v>561</v>
      </c>
      <c r="AT108" s="1" t="s">
        <v>31</v>
      </c>
      <c r="AX108" s="1">
        <v>0.0</v>
      </c>
      <c r="AY108" s="1">
        <v>0.0</v>
      </c>
    </row>
    <row r="109" spans="20:51" ht="15.75" hidden="1">
      <c r="T109" s="1">
        <v>873200.0</v>
      </c>
      <c r="U109" s="1"/>
      <c r="V109" s="1"/>
      <c r="W109" s="1"/>
      <c r="X109" s="1"/>
      <c r="Y109" s="1" t="s">
        <v>562</v>
      </c>
      <c r="Z109" s="1" t="s">
        <v>563</v>
      </c>
      <c r="AA109" s="1" t="s">
        <v>564</v>
      </c>
      <c r="AB109" s="1"/>
      <c r="AC109" s="1"/>
      <c r="AD109" s="1"/>
      <c r="AE109" s="1"/>
      <c r="AG109" s="2" t="str">
        <f>"0486222411"</f>
        <v>0486222411</v>
      </c>
      <c r="AH109" s="2" t="str">
        <f>"9780486222417"</f>
        <v>9780486222417</v>
      </c>
      <c r="AI109" s="1">
        <v>0.0</v>
      </c>
      <c r="AJ109" s="1">
        <v>3.81</v>
      </c>
      <c r="AK109" s="1" t="s">
        <v>540</v>
      </c>
      <c r="AL109" s="1" t="s">
        <v>28</v>
      </c>
      <c r="AM109" s="1">
        <v>218.0</v>
      </c>
      <c r="AN109" s="1">
        <v>1969.0</v>
      </c>
      <c r="AO109" s="1">
        <v>1969.0</v>
      </c>
      <c r="AQ109" s="3">
        <v>44820.0</v>
      </c>
      <c r="AR109" s="1" t="s">
        <v>430</v>
      </c>
      <c r="AS109" s="1" t="s">
        <v>565</v>
      </c>
      <c r="AT109" s="1" t="s">
        <v>31</v>
      </c>
      <c r="AX109" s="1">
        <v>0.0</v>
      </c>
      <c r="AY109" s="1">
        <v>0.0</v>
      </c>
    </row>
    <row r="110" spans="20:51" ht="15.75" hidden="1">
      <c r="T110" s="1">
        <v>1094363.0</v>
      </c>
      <c r="U110" s="1"/>
      <c r="V110" s="1"/>
      <c r="W110" s="1"/>
      <c r="X110" s="1"/>
      <c r="Y110" s="1" t="s">
        <v>566</v>
      </c>
      <c r="Z110" s="1" t="s">
        <v>567</v>
      </c>
      <c r="AA110" s="1" t="s">
        <v>568</v>
      </c>
      <c r="AB110" s="1"/>
      <c r="AC110" s="1"/>
      <c r="AD110" s="1"/>
      <c r="AE110" s="1"/>
      <c r="AG110" s="2" t="str">
        <f>"0195014324"</f>
        <v>0195014324</v>
      </c>
      <c r="AH110" s="2" t="str">
        <f>"9780195014327"</f>
        <v>9780195014327</v>
      </c>
      <c r="AI110" s="1">
        <v>0.0</v>
      </c>
      <c r="AJ110" s="1">
        <v>3.96</v>
      </c>
      <c r="AK110" s="1" t="s">
        <v>214</v>
      </c>
      <c r="AL110" s="1" t="s">
        <v>28</v>
      </c>
      <c r="AM110" s="1">
        <v>304.0</v>
      </c>
      <c r="AN110" s="1">
        <v>1961.0</v>
      </c>
      <c r="AO110" s="1">
        <v>1959.0</v>
      </c>
      <c r="AQ110" s="3">
        <v>44959.0</v>
      </c>
      <c r="AR110" s="1" t="s">
        <v>419</v>
      </c>
      <c r="AS110" s="1" t="s">
        <v>569</v>
      </c>
      <c r="AT110" s="1" t="s">
        <v>31</v>
      </c>
      <c r="AX110" s="1">
        <v>0.0</v>
      </c>
      <c r="AY110" s="1">
        <v>0.0</v>
      </c>
    </row>
    <row r="111" spans="20:51" ht="15.75" hidden="1">
      <c r="T111" s="1">
        <v>4143256.0</v>
      </c>
      <c r="U111" s="1"/>
      <c r="V111" s="1"/>
      <c r="W111" s="1"/>
      <c r="X111" s="1"/>
      <c r="Y111" s="1" t="s">
        <v>570</v>
      </c>
      <c r="Z111" s="1" t="s">
        <v>571</v>
      </c>
      <c r="AA111" s="1" t="s">
        <v>572</v>
      </c>
      <c r="AB111" s="1"/>
      <c r="AC111" s="1"/>
      <c r="AD111" s="1"/>
      <c r="AE111" s="1"/>
      <c r="AG111" s="2" t="str">
        <f>"0892540729"</f>
        <v>0892540729</v>
      </c>
      <c r="AH111" s="2" t="str">
        <f>"9780892540723"</f>
        <v>9780892540723</v>
      </c>
      <c r="AI111" s="1">
        <v>0.0</v>
      </c>
      <c r="AJ111" s="1">
        <v>3.88</v>
      </c>
      <c r="AK111" s="1" t="s">
        <v>573</v>
      </c>
      <c r="AL111" s="1" t="s">
        <v>28</v>
      </c>
      <c r="AM111" s="1">
        <v>284.0</v>
      </c>
      <c r="AN111" s="1">
        <v>2003.0</v>
      </c>
      <c r="AQ111" s="3">
        <v>44960.0</v>
      </c>
      <c r="AR111" s="1" t="s">
        <v>419</v>
      </c>
      <c r="AS111" s="1" t="s">
        <v>574</v>
      </c>
      <c r="AT111" s="1" t="s">
        <v>31</v>
      </c>
      <c r="AX111" s="1">
        <v>0.0</v>
      </c>
      <c r="AY111" s="1">
        <v>0.0</v>
      </c>
    </row>
    <row r="112" spans="20:51" ht="15.75" hidden="1">
      <c r="T112" s="1">
        <v>66776.0</v>
      </c>
      <c r="U112" s="1"/>
      <c r="V112" s="1"/>
      <c r="W112" s="1"/>
      <c r="X112" s="1"/>
      <c r="Y112" s="1" t="s">
        <v>575</v>
      </c>
      <c r="Z112" s="1" t="s">
        <v>576</v>
      </c>
      <c r="AA112" s="1" t="s">
        <v>577</v>
      </c>
      <c r="AB112" s="1"/>
      <c r="AC112" s="1"/>
      <c r="AD112" s="1"/>
      <c r="AE112" s="1"/>
      <c r="AG112" s="2" t="str">
        <f>"0486447871"</f>
        <v>0486447871</v>
      </c>
      <c r="AH112" s="2" t="str">
        <f>"9780486447872"</f>
        <v>9780486447872</v>
      </c>
      <c r="AI112" s="1">
        <v>0.0</v>
      </c>
      <c r="AJ112" s="1">
        <v>4.15</v>
      </c>
      <c r="AK112" s="1" t="s">
        <v>540</v>
      </c>
      <c r="AL112" s="1" t="s">
        <v>28</v>
      </c>
      <c r="AM112" s="1">
        <v>784.0</v>
      </c>
      <c r="AN112" s="1">
        <v>2006.0</v>
      </c>
      <c r="AO112" s="1">
        <v>1974.0</v>
      </c>
      <c r="AQ112" s="3">
        <v>44959.0</v>
      </c>
      <c r="AR112" s="1" t="s">
        <v>419</v>
      </c>
      <c r="AS112" s="1" t="s">
        <v>578</v>
      </c>
      <c r="AT112" s="1" t="s">
        <v>31</v>
      </c>
      <c r="AX112" s="1">
        <v>0.0</v>
      </c>
      <c r="AY112" s="1">
        <v>0.0</v>
      </c>
    </row>
    <row r="113" spans="20:51" ht="15.75" hidden="1">
      <c r="T113" s="1">
        <v>380609.0</v>
      </c>
      <c r="U113" s="1"/>
      <c r="V113" s="1"/>
      <c r="W113" s="1"/>
      <c r="X113" s="1"/>
      <c r="Y113" s="1" t="s">
        <v>579</v>
      </c>
      <c r="Z113" s="1" t="s">
        <v>477</v>
      </c>
      <c r="AA113" s="1" t="s">
        <v>478</v>
      </c>
      <c r="AB113" s="1"/>
      <c r="AC113" s="1"/>
      <c r="AD113" s="1"/>
      <c r="AE113" s="1"/>
      <c r="AF113" s="1" t="s">
        <v>580</v>
      </c>
      <c r="AG113" s="2" t="str">
        <f>"1854594117"</f>
        <v>1854594117</v>
      </c>
      <c r="AH113" s="2" t="str">
        <f>"9781854594112"</f>
        <v>9781854594112</v>
      </c>
      <c r="AI113" s="1">
        <v>0.0</v>
      </c>
      <c r="AJ113" s="1">
        <v>3.91</v>
      </c>
      <c r="AK113" s="1" t="s">
        <v>581</v>
      </c>
      <c r="AL113" s="1" t="s">
        <v>28</v>
      </c>
      <c r="AM113" s="1">
        <v>96.0</v>
      </c>
      <c r="AN113" s="1">
        <v>1999.0</v>
      </c>
      <c r="AO113" s="1">
        <v>-405.0</v>
      </c>
      <c r="AQ113" s="3">
        <v>45036.0</v>
      </c>
      <c r="AR113" s="1" t="s">
        <v>480</v>
      </c>
      <c r="AS113" s="1" t="s">
        <v>582</v>
      </c>
      <c r="AT113" s="1" t="s">
        <v>31</v>
      </c>
      <c r="AX113" s="1">
        <v>0.0</v>
      </c>
      <c r="AY113" s="1">
        <v>0.0</v>
      </c>
    </row>
    <row r="114" spans="20:51" ht="15.75" hidden="1">
      <c r="T114" s="1">
        <v>820461.0</v>
      </c>
      <c r="U114" s="1"/>
      <c r="V114" s="1"/>
      <c r="W114" s="1"/>
      <c r="X114" s="1"/>
      <c r="Y114" s="1" t="s">
        <v>583</v>
      </c>
      <c r="Z114" s="1" t="s">
        <v>534</v>
      </c>
      <c r="AA114" s="1" t="s">
        <v>535</v>
      </c>
      <c r="AB114" s="1"/>
      <c r="AC114" s="1"/>
      <c r="AD114" s="1"/>
      <c r="AE114" s="1"/>
      <c r="AG114" s="2" t="str">
        <f>"0140171991"</f>
        <v>0140171991</v>
      </c>
      <c r="AH114" s="2" t="str">
        <f>"9780140171990"</f>
        <v>9780140171990</v>
      </c>
      <c r="AI114" s="1">
        <v>0.0</v>
      </c>
      <c r="AJ114" s="1">
        <v>4.15</v>
      </c>
      <c r="AK114" s="1" t="s">
        <v>584</v>
      </c>
      <c r="AL114" s="1" t="s">
        <v>28</v>
      </c>
      <c r="AM114" s="1">
        <v>782.0</v>
      </c>
      <c r="AN114" s="1">
        <v>1992.0</v>
      </c>
      <c r="AO114" s="1">
        <v>1955.0</v>
      </c>
      <c r="AQ114" s="3">
        <v>44988.0</v>
      </c>
      <c r="AR114" s="1" t="s">
        <v>436</v>
      </c>
      <c r="AS114" s="1" t="s">
        <v>585</v>
      </c>
      <c r="AT114" s="1" t="s">
        <v>31</v>
      </c>
      <c r="AX114" s="1">
        <v>0.0</v>
      </c>
      <c r="AY114" s="1">
        <v>0.0</v>
      </c>
    </row>
    <row r="115" spans="20:51" ht="15.75" hidden="1">
      <c r="T115" s="1">
        <v>168032.0</v>
      </c>
      <c r="U115" s="1"/>
      <c r="V115" s="1"/>
      <c r="W115" s="1"/>
      <c r="X115" s="1"/>
      <c r="Y115" s="1" t="s">
        <v>586</v>
      </c>
      <c r="Z115" s="1" t="s">
        <v>587</v>
      </c>
      <c r="AA115" s="1" t="s">
        <v>588</v>
      </c>
      <c r="AB115" s="1"/>
      <c r="AC115" s="1"/>
      <c r="AD115" s="1"/>
      <c r="AE115" s="1"/>
      <c r="AF115" s="1" t="s">
        <v>589</v>
      </c>
      <c r="AG115" s="2" t="str">
        <f>"0674362810"</f>
        <v>0674362810</v>
      </c>
      <c r="AH115" s="2" t="str">
        <f>"9780674362819"</f>
        <v>9780674362819</v>
      </c>
      <c r="AI115" s="1">
        <v>0.0</v>
      </c>
      <c r="AJ115" s="1">
        <v>4.23</v>
      </c>
      <c r="AK115" s="1" t="s">
        <v>107</v>
      </c>
      <c r="AL115" s="1" t="s">
        <v>28</v>
      </c>
      <c r="AM115" s="1">
        <v>512.0</v>
      </c>
      <c r="AN115" s="1">
        <v>1985.0</v>
      </c>
      <c r="AO115" s="1">
        <v>1977.0</v>
      </c>
      <c r="AQ115" s="3">
        <v>45036.0</v>
      </c>
      <c r="AR115" s="1" t="s">
        <v>436</v>
      </c>
      <c r="AS115" s="1" t="s">
        <v>590</v>
      </c>
      <c r="AT115" s="1" t="s">
        <v>31</v>
      </c>
      <c r="AX115" s="1">
        <v>0.0</v>
      </c>
      <c r="AY115" s="1">
        <v>0.0</v>
      </c>
    </row>
    <row r="116" spans="20:51" ht="15.75" hidden="1">
      <c r="T116" s="1">
        <v>1.1092237E7</v>
      </c>
      <c r="U116" s="1"/>
      <c r="V116" s="1"/>
      <c r="W116" s="1"/>
      <c r="X116" s="1"/>
      <c r="Y116" s="1" t="s">
        <v>591</v>
      </c>
      <c r="Z116" s="1" t="s">
        <v>592</v>
      </c>
      <c r="AA116" s="1" t="s">
        <v>593</v>
      </c>
      <c r="AB116" s="1"/>
      <c r="AC116" s="1"/>
      <c r="AD116" s="1"/>
      <c r="AE116" s="1"/>
      <c r="AG116" s="2" t="str">
        <f>"1456548441"</f>
        <v>1456548441</v>
      </c>
      <c r="AH116" s="2" t="str">
        <f>"9781456548445"</f>
        <v>9781456548445</v>
      </c>
      <c r="AI116" s="1">
        <v>0.0</v>
      </c>
      <c r="AJ116" s="1">
        <v>4.56</v>
      </c>
      <c r="AK116" s="1" t="s">
        <v>594</v>
      </c>
      <c r="AL116" s="1" t="s">
        <v>28</v>
      </c>
      <c r="AM116" s="1">
        <v>138.0</v>
      </c>
      <c r="AN116" s="1">
        <v>2011.0</v>
      </c>
      <c r="AO116" s="1">
        <v>2011.0</v>
      </c>
      <c r="AQ116" s="3">
        <v>44808.0</v>
      </c>
      <c r="AR116" s="1" t="s">
        <v>419</v>
      </c>
      <c r="AS116" s="1" t="s">
        <v>595</v>
      </c>
      <c r="AT116" s="1" t="s">
        <v>31</v>
      </c>
      <c r="AX116" s="1">
        <v>0.0</v>
      </c>
      <c r="AY116" s="1">
        <v>0.0</v>
      </c>
    </row>
    <row r="117" spans="20:51" ht="15.75" hidden="1">
      <c r="T117" s="1">
        <v>566087.0</v>
      </c>
      <c r="U117" s="1"/>
      <c r="V117" s="1"/>
      <c r="W117" s="1"/>
      <c r="X117" s="1"/>
      <c r="Y117" s="1" t="s">
        <v>596</v>
      </c>
      <c r="Z117" s="1" t="s">
        <v>597</v>
      </c>
      <c r="AA117" s="1" t="s">
        <v>598</v>
      </c>
      <c r="AB117" s="1"/>
      <c r="AC117" s="1"/>
      <c r="AD117" s="1"/>
      <c r="AE117" s="1"/>
      <c r="AG117" s="2" t="str">
        <f>""</f>
        <v/>
      </c>
      <c r="AH117" s="2" t="str">
        <f>"9780919123045"</f>
        <v>9780919123045</v>
      </c>
      <c r="AI117" s="1">
        <v>0.0</v>
      </c>
      <c r="AJ117" s="1">
        <v>4.38</v>
      </c>
      <c r="AK117" s="1" t="s">
        <v>599</v>
      </c>
      <c r="AL117" s="1" t="s">
        <v>28</v>
      </c>
      <c r="AM117" s="1">
        <v>272.0</v>
      </c>
      <c r="AN117" s="1">
        <v>1980.0</v>
      </c>
      <c r="AO117" s="1">
        <v>1981.0</v>
      </c>
      <c r="AQ117" s="3">
        <v>44809.0</v>
      </c>
      <c r="AR117" s="1" t="s">
        <v>419</v>
      </c>
      <c r="AS117" s="1" t="s">
        <v>600</v>
      </c>
      <c r="AT117" s="1" t="s">
        <v>31</v>
      </c>
      <c r="AX117" s="1">
        <v>0.0</v>
      </c>
      <c r="AY117" s="1">
        <v>0.0</v>
      </c>
    </row>
    <row r="118" spans="20:51" ht="15.75" hidden="1">
      <c r="T118" s="1">
        <v>435338.0</v>
      </c>
      <c r="U118" s="1"/>
      <c r="V118" s="1"/>
      <c r="W118" s="1"/>
      <c r="X118" s="1"/>
      <c r="Y118" s="1" t="s">
        <v>601</v>
      </c>
      <c r="Z118" s="1" t="s">
        <v>602</v>
      </c>
      <c r="AA118" s="1" t="s">
        <v>603</v>
      </c>
      <c r="AB118" s="1"/>
      <c r="AC118" s="1"/>
      <c r="AD118" s="1"/>
      <c r="AE118" s="1"/>
      <c r="AF118" s="1" t="s">
        <v>604</v>
      </c>
      <c r="AG118" s="2" t="str">
        <f>"0521655641"</f>
        <v>0521655641</v>
      </c>
      <c r="AH118" s="2" t="str">
        <f>"9780521655644"</f>
        <v>9780521655644</v>
      </c>
      <c r="AI118" s="1">
        <v>0.0</v>
      </c>
      <c r="AJ118" s="1">
        <v>3.93</v>
      </c>
      <c r="AK118" s="1" t="s">
        <v>605</v>
      </c>
      <c r="AL118" s="1" t="s">
        <v>28</v>
      </c>
      <c r="AM118" s="1">
        <v>122.0</v>
      </c>
      <c r="AN118" s="1">
        <v>2001.0</v>
      </c>
      <c r="AO118" s="1">
        <v>-440.0</v>
      </c>
      <c r="AQ118" s="3">
        <v>43967.0</v>
      </c>
      <c r="AR118" s="1" t="s">
        <v>480</v>
      </c>
      <c r="AS118" s="1" t="s">
        <v>606</v>
      </c>
      <c r="AT118" s="1" t="s">
        <v>31</v>
      </c>
      <c r="AX118" s="1">
        <v>0.0</v>
      </c>
      <c r="AY118" s="1">
        <v>0.0</v>
      </c>
    </row>
    <row r="119" spans="20:51" ht="15.75" hidden="1">
      <c r="T119" s="1">
        <v>188878.0</v>
      </c>
      <c r="U119" s="1"/>
      <c r="V119" s="1"/>
      <c r="W119" s="1"/>
      <c r="X119" s="1"/>
      <c r="Y119" s="1" t="s">
        <v>607</v>
      </c>
      <c r="Z119" s="1" t="s">
        <v>608</v>
      </c>
      <c r="AA119" s="1" t="s">
        <v>609</v>
      </c>
      <c r="AB119" s="1"/>
      <c r="AC119" s="1"/>
      <c r="AD119" s="1"/>
      <c r="AE119" s="1"/>
      <c r="AG119" s="2" t="str">
        <f>"0064301001"</f>
        <v>0064301001</v>
      </c>
      <c r="AH119" s="2" t="str">
        <f>"9780064301008"</f>
        <v>9780064301008</v>
      </c>
      <c r="AI119" s="1">
        <v>0.0</v>
      </c>
      <c r="AJ119" s="1">
        <v>4.26</v>
      </c>
      <c r="AK119" s="1" t="s">
        <v>610</v>
      </c>
      <c r="AL119" s="1" t="s">
        <v>28</v>
      </c>
      <c r="AM119" s="1">
        <v>384.0</v>
      </c>
      <c r="AN119" s="1">
        <v>1979.0</v>
      </c>
      <c r="AO119" s="1">
        <v>1973.0</v>
      </c>
      <c r="AQ119" s="3">
        <v>44808.0</v>
      </c>
      <c r="AR119" s="1" t="s">
        <v>430</v>
      </c>
      <c r="AS119" s="1" t="s">
        <v>611</v>
      </c>
      <c r="AT119" s="1" t="s">
        <v>31</v>
      </c>
      <c r="AX119" s="1">
        <v>0.0</v>
      </c>
      <c r="AY119" s="1">
        <v>0.0</v>
      </c>
    </row>
    <row r="120" spans="20:51" ht="15.75" hidden="1">
      <c r="T120" s="1">
        <v>3.228404E7</v>
      </c>
      <c r="U120" s="1"/>
      <c r="V120" s="1"/>
      <c r="W120" s="1"/>
      <c r="X120" s="1"/>
      <c r="Y120" s="1" t="s">
        <v>612</v>
      </c>
      <c r="Z120" s="1" t="s">
        <v>613</v>
      </c>
      <c r="AA120" s="1" t="s">
        <v>614</v>
      </c>
      <c r="AB120" s="1"/>
      <c r="AC120" s="1"/>
      <c r="AD120" s="1"/>
      <c r="AE120" s="1"/>
      <c r="AG120" s="2" t="str">
        <f>"0738752282"</f>
        <v>0738752282</v>
      </c>
      <c r="AH120" s="2" t="str">
        <f>"9780738752280"</f>
        <v>9780738752280</v>
      </c>
      <c r="AI120" s="1">
        <v>0.0</v>
      </c>
      <c r="AJ120" s="1">
        <v>4.39</v>
      </c>
      <c r="AK120" s="1" t="s">
        <v>615</v>
      </c>
      <c r="AL120" s="1" t="s">
        <v>28</v>
      </c>
      <c r="AM120" s="1">
        <v>384.0</v>
      </c>
      <c r="AN120" s="1">
        <v>2017.0</v>
      </c>
      <c r="AO120" s="1">
        <v>2013.0</v>
      </c>
      <c r="AQ120" s="3">
        <v>44790.0</v>
      </c>
      <c r="AR120" s="1" t="s">
        <v>419</v>
      </c>
      <c r="AS120" s="1" t="s">
        <v>616</v>
      </c>
      <c r="AT120" s="1" t="s">
        <v>31</v>
      </c>
      <c r="AX120" s="1">
        <v>0.0</v>
      </c>
      <c r="AY120" s="1">
        <v>0.0</v>
      </c>
    </row>
    <row r="121" spans="20:51" ht="15.75" hidden="1">
      <c r="T121" s="1">
        <v>621933.0</v>
      </c>
      <c r="U121" s="1"/>
      <c r="V121" s="1"/>
      <c r="W121" s="1"/>
      <c r="X121" s="1"/>
      <c r="Y121" s="1" t="s">
        <v>617</v>
      </c>
      <c r="Z121" s="1" t="s">
        <v>618</v>
      </c>
      <c r="AA121" s="1" t="s">
        <v>619</v>
      </c>
      <c r="AB121" s="1"/>
      <c r="AC121" s="1"/>
      <c r="AD121" s="1"/>
      <c r="AE121" s="1"/>
      <c r="AG121" s="2" t="str">
        <f>"0691086613"</f>
        <v>0691086613</v>
      </c>
      <c r="AH121" s="2" t="str">
        <f>"9780691086613"</f>
        <v>9780691086613</v>
      </c>
      <c r="AI121" s="1">
        <v>0.0</v>
      </c>
      <c r="AJ121" s="1">
        <v>4.0</v>
      </c>
      <c r="AK121" s="1" t="s">
        <v>141</v>
      </c>
      <c r="AL121" s="1" t="s">
        <v>28</v>
      </c>
      <c r="AM121" s="1">
        <v>480.0</v>
      </c>
      <c r="AN121" s="1">
        <v>2001.0</v>
      </c>
      <c r="AO121" s="1">
        <v>1998.0</v>
      </c>
      <c r="AQ121" s="3">
        <v>44803.0</v>
      </c>
      <c r="AR121" s="1" t="s">
        <v>419</v>
      </c>
      <c r="AS121" s="1" t="s">
        <v>620</v>
      </c>
      <c r="AT121" s="1" t="s">
        <v>31</v>
      </c>
      <c r="AX121" s="1">
        <v>0.0</v>
      </c>
      <c r="AY121" s="1">
        <v>0.0</v>
      </c>
    </row>
    <row r="122" spans="20:51" ht="15.75" hidden="1">
      <c r="T122" s="1">
        <v>89271.0</v>
      </c>
      <c r="U122" s="1"/>
      <c r="V122" s="1"/>
      <c r="W122" s="1"/>
      <c r="X122" s="1"/>
      <c r="Y122" s="1" t="s">
        <v>621</v>
      </c>
      <c r="Z122" s="1" t="s">
        <v>622</v>
      </c>
      <c r="AA122" s="1" t="s">
        <v>623</v>
      </c>
      <c r="AB122" s="1"/>
      <c r="AC122" s="1"/>
      <c r="AD122" s="1"/>
      <c r="AE122" s="1"/>
      <c r="AF122" s="1" t="s">
        <v>624</v>
      </c>
      <c r="AG122" s="2" t="str">
        <f>"0140512543"</f>
        <v>0140512543</v>
      </c>
      <c r="AH122" s="2" t="str">
        <f>"9780140512540"</f>
        <v>9780140512540</v>
      </c>
      <c r="AI122" s="1">
        <v>0.0</v>
      </c>
      <c r="AJ122" s="1">
        <v>4.32</v>
      </c>
      <c r="AK122" s="1" t="s">
        <v>151</v>
      </c>
      <c r="AL122" s="1" t="s">
        <v>28</v>
      </c>
      <c r="AM122" s="1">
        <v>1184.0</v>
      </c>
      <c r="AN122" s="1">
        <v>1997.0</v>
      </c>
      <c r="AO122" s="1">
        <v>1982.0</v>
      </c>
      <c r="AQ122" s="3">
        <v>43934.0</v>
      </c>
      <c r="AR122" s="1" t="s">
        <v>430</v>
      </c>
      <c r="AS122" s="1" t="s">
        <v>625</v>
      </c>
      <c r="AT122" s="1" t="s">
        <v>31</v>
      </c>
      <c r="AX122" s="1">
        <v>0.0</v>
      </c>
      <c r="AY122" s="1">
        <v>0.0</v>
      </c>
    </row>
    <row r="123" spans="20:51" ht="15.75">
      <c r="T123" s="1">
        <v>525544.0</v>
      </c>
      <c r="U123" s="1"/>
      <c r="V123" s="1"/>
      <c r="W123" s="1"/>
      <c r="X123" s="1"/>
      <c r="Y123" s="1" t="s">
        <v>626</v>
      </c>
      <c r="Z123" s="1" t="s">
        <v>627</v>
      </c>
      <c r="AA123" s="1" t="s">
        <v>628</v>
      </c>
      <c r="AB123" s="1"/>
      <c r="AC123" s="1"/>
      <c r="AD123" s="1"/>
      <c r="AE123" s="1"/>
      <c r="AG123" s="2" t="str">
        <f t="shared" si="5" ref="AG123:AH123">""</f>
        <v/>
      </c>
      <c r="AH123" s="2" t="str">
        <f t="shared" si="5"/>
        <v/>
      </c>
      <c r="AI123" s="1">
        <v>5.0</v>
      </c>
      <c r="AJ123" s="1">
        <v>3.42</v>
      </c>
      <c r="AK123" s="1" t="s">
        <v>460</v>
      </c>
      <c r="AL123" s="1" t="s">
        <v>28</v>
      </c>
      <c r="AM123" s="1">
        <v>157.0</v>
      </c>
      <c r="AN123" s="1">
        <v>1987.0</v>
      </c>
      <c r="AO123" s="1">
        <v>1986.0</v>
      </c>
      <c r="AP123" s="3">
        <v>44462.0</v>
      </c>
      <c r="AQ123" s="3">
        <v>44441.0</v>
      </c>
      <c r="AR123" s="1" t="s">
        <v>629</v>
      </c>
      <c r="AS123" s="1" t="s">
        <v>630</v>
      </c>
      <c r="AT123" s="1" t="s">
        <v>127</v>
      </c>
      <c r="AX123" s="1">
        <v>1.0</v>
      </c>
      <c r="AY123" s="1">
        <v>1.0</v>
      </c>
    </row>
    <row r="124" spans="20:51" ht="15.75" hidden="1">
      <c r="T124" s="1">
        <v>1.9288207E7</v>
      </c>
      <c r="U124" s="1"/>
      <c r="V124" s="1"/>
      <c r="W124" s="1"/>
      <c r="X124" s="1"/>
      <c r="Y124" s="1" t="s">
        <v>631</v>
      </c>
      <c r="Z124" s="1" t="s">
        <v>632</v>
      </c>
      <c r="AA124" s="1" t="s">
        <v>633</v>
      </c>
      <c r="AB124" s="1"/>
      <c r="AC124" s="1"/>
      <c r="AD124" s="1"/>
      <c r="AE124" s="1"/>
      <c r="AG124" s="2" t="str">
        <f>"0375711767"</f>
        <v>0375711767</v>
      </c>
      <c r="AH124" s="2" t="str">
        <f>"9780375711763"</f>
        <v>9780375711763</v>
      </c>
      <c r="AI124" s="1">
        <v>4.0</v>
      </c>
      <c r="AJ124" s="1">
        <v>4.45</v>
      </c>
      <c r="AK124" s="1" t="s">
        <v>634</v>
      </c>
      <c r="AL124" s="1" t="s">
        <v>28</v>
      </c>
      <c r="AM124" s="1">
        <v>432.0</v>
      </c>
      <c r="AN124" s="1">
        <v>2014.0</v>
      </c>
      <c r="AO124" s="1">
        <v>2012.0</v>
      </c>
      <c r="AQ124" s="3">
        <v>43263.0</v>
      </c>
      <c r="AR124" s="1" t="s">
        <v>635</v>
      </c>
      <c r="AS124" s="1" t="s">
        <v>636</v>
      </c>
      <c r="AT124" s="1" t="s">
        <v>127</v>
      </c>
      <c r="AX124" s="1">
        <v>1.0</v>
      </c>
      <c r="AY124" s="1">
        <v>1.0</v>
      </c>
    </row>
    <row r="125" spans="20:51" ht="15.75" hidden="1">
      <c r="T125" s="1">
        <v>61049.0</v>
      </c>
      <c r="U125" s="1"/>
      <c r="V125" s="1"/>
      <c r="W125" s="1"/>
      <c r="X125" s="1"/>
      <c r="Y125" s="1" t="s">
        <v>637</v>
      </c>
      <c r="Z125" s="1" t="s">
        <v>638</v>
      </c>
      <c r="AA125" s="1" t="s">
        <v>639</v>
      </c>
      <c r="AB125" s="1"/>
      <c r="AC125" s="1"/>
      <c r="AD125" s="1"/>
      <c r="AE125" s="1"/>
      <c r="AG125" s="2" t="str">
        <f>"037570129X"</f>
        <v>037570129X</v>
      </c>
      <c r="AH125" s="2" t="str">
        <f>"9780375701290"</f>
        <v>9780375701290</v>
      </c>
      <c r="AI125" s="1">
        <v>5.0</v>
      </c>
      <c r="AJ125" s="1">
        <v>4.28</v>
      </c>
      <c r="AK125" s="1" t="s">
        <v>83</v>
      </c>
      <c r="AL125" s="1" t="s">
        <v>28</v>
      </c>
      <c r="AM125" s="1">
        <v>160.0</v>
      </c>
      <c r="AN125" s="1">
        <v>1998.0</v>
      </c>
      <c r="AO125" s="1">
        <v>1998.0</v>
      </c>
      <c r="AP125" s="3">
        <v>43880.0</v>
      </c>
      <c r="AQ125" s="3">
        <v>43101.0</v>
      </c>
      <c r="AR125" s="1" t="s">
        <v>640</v>
      </c>
      <c r="AS125" s="1" t="s">
        <v>641</v>
      </c>
      <c r="AT125" s="1" t="s">
        <v>127</v>
      </c>
      <c r="AX125" s="1">
        <v>1.0</v>
      </c>
      <c r="AY125" s="1">
        <v>0.0</v>
      </c>
    </row>
    <row r="126" spans="20:51" ht="15.75" hidden="1">
      <c r="T126" s="1">
        <v>2.1532793E7</v>
      </c>
      <c r="U126" s="1"/>
      <c r="V126" s="1"/>
      <c r="W126" s="1"/>
      <c r="X126" s="1"/>
      <c r="Y126" s="1" t="s">
        <v>642</v>
      </c>
      <c r="Z126" s="1" t="s">
        <v>643</v>
      </c>
      <c r="AA126" s="1" t="s">
        <v>644</v>
      </c>
      <c r="AB126" s="1"/>
      <c r="AC126" s="1"/>
      <c r="AD126" s="1"/>
      <c r="AE126" s="1"/>
      <c r="AG126" s="2" t="str">
        <f>"1556594771"</f>
        <v>1556594771</v>
      </c>
      <c r="AH126" s="2" t="str">
        <f>"9781556594779"</f>
        <v>9781556594779</v>
      </c>
      <c r="AI126" s="1">
        <v>5.0</v>
      </c>
      <c r="AJ126" s="1">
        <v>4.15</v>
      </c>
      <c r="AK126" s="1" t="s">
        <v>645</v>
      </c>
      <c r="AL126" s="1" t="s">
        <v>28</v>
      </c>
      <c r="AM126" s="1">
        <v>49.0</v>
      </c>
      <c r="AN126" s="1">
        <v>2015.0</v>
      </c>
      <c r="AO126" s="1">
        <v>2015.0</v>
      </c>
      <c r="AQ126" s="3">
        <v>44087.0</v>
      </c>
      <c r="AR126" s="1" t="s">
        <v>640</v>
      </c>
      <c r="AS126" s="1" t="s">
        <v>646</v>
      </c>
      <c r="AT126" s="1" t="s">
        <v>127</v>
      </c>
      <c r="AX126" s="1">
        <v>1.0</v>
      </c>
      <c r="AY126" s="1">
        <v>0.0</v>
      </c>
    </row>
    <row r="127" spans="20:51" ht="15.75" hidden="1">
      <c r="T127" s="1">
        <v>150252.0</v>
      </c>
      <c r="U127" s="1"/>
      <c r="V127" s="1"/>
      <c r="W127" s="1"/>
      <c r="X127" s="1"/>
      <c r="Y127" s="1" t="s">
        <v>647</v>
      </c>
      <c r="Z127" s="1" t="s">
        <v>638</v>
      </c>
      <c r="AA127" s="1" t="s">
        <v>639</v>
      </c>
      <c r="AB127" s="1"/>
      <c r="AC127" s="1"/>
      <c r="AD127" s="1"/>
      <c r="AE127" s="1"/>
      <c r="AG127" s="2" t="str">
        <f>"0375707573"</f>
        <v>0375707573</v>
      </c>
      <c r="AH127" s="2" t="str">
        <f>"9780375707575"</f>
        <v>9780375707575</v>
      </c>
      <c r="AI127" s="1">
        <v>5.0</v>
      </c>
      <c r="AJ127" s="1">
        <v>4.24</v>
      </c>
      <c r="AK127" s="1" t="s">
        <v>83</v>
      </c>
      <c r="AL127" s="1" t="s">
        <v>28</v>
      </c>
      <c r="AM127" s="1">
        <v>160.0</v>
      </c>
      <c r="AN127" s="1">
        <v>2002.0</v>
      </c>
      <c r="AO127" s="1">
        <v>2001.0</v>
      </c>
      <c r="AP127" s="3">
        <v>44211.0</v>
      </c>
      <c r="AQ127" s="4">
        <v>44193.0</v>
      </c>
      <c r="AR127" s="1" t="s">
        <v>648</v>
      </c>
      <c r="AS127" s="1" t="s">
        <v>649</v>
      </c>
      <c r="AT127" s="1" t="s">
        <v>31</v>
      </c>
      <c r="AX127" s="1">
        <v>2.0</v>
      </c>
      <c r="AY127" s="1">
        <v>1.0</v>
      </c>
    </row>
    <row r="128" spans="20:51" ht="15.75">
      <c r="T128" s="1">
        <v>22290.0</v>
      </c>
      <c r="U128" s="1"/>
      <c r="V128" s="1"/>
      <c r="W128" s="1"/>
      <c r="X128" s="1"/>
      <c r="Y128" s="1" t="s">
        <v>650</v>
      </c>
      <c r="Z128" s="1" t="s">
        <v>651</v>
      </c>
      <c r="AA128" s="1" t="s">
        <v>652</v>
      </c>
      <c r="AB128" s="1"/>
      <c r="AC128" s="1"/>
      <c r="AD128" s="1"/>
      <c r="AE128" s="1"/>
      <c r="AG128" s="2" t="str">
        <f>"0099285444"</f>
        <v>0099285444</v>
      </c>
      <c r="AH128" s="2" t="str">
        <f>"9780099285441"</f>
        <v>9780099285441</v>
      </c>
      <c r="AI128" s="1">
        <v>5.0</v>
      </c>
      <c r="AJ128" s="1">
        <v>4.0</v>
      </c>
      <c r="AK128" s="1" t="s">
        <v>83</v>
      </c>
      <c r="AL128" s="1" t="s">
        <v>28</v>
      </c>
      <c r="AM128" s="1">
        <v>297.0</v>
      </c>
      <c r="AN128" s="1">
        <v>2000.0</v>
      </c>
      <c r="AO128" s="1">
        <v>1999.0</v>
      </c>
      <c r="AP128" s="4">
        <v>40901.0</v>
      </c>
      <c r="AQ128" s="4">
        <v>40888.0</v>
      </c>
      <c r="AR128" s="1" t="s">
        <v>653</v>
      </c>
      <c r="AS128" s="1" t="s">
        <v>654</v>
      </c>
      <c r="AT128" s="1" t="s">
        <v>127</v>
      </c>
      <c r="AX128" s="1">
        <v>1.0</v>
      </c>
      <c r="AY128" s="1">
        <v>0.0</v>
      </c>
    </row>
    <row r="129" spans="20:51" ht="15.75" hidden="1">
      <c r="T129" s="1">
        <v>920696.0</v>
      </c>
      <c r="U129" s="1"/>
      <c r="V129" s="1"/>
      <c r="W129" s="1"/>
      <c r="X129" s="1"/>
      <c r="Y129" s="1" t="s">
        <v>655</v>
      </c>
      <c r="Z129" s="1" t="s">
        <v>656</v>
      </c>
      <c r="AA129" s="1" t="s">
        <v>657</v>
      </c>
      <c r="AB129" s="1"/>
      <c r="AC129" s="1"/>
      <c r="AD129" s="1"/>
      <c r="AE129" s="1"/>
      <c r="AG129" s="2" t="str">
        <f>"0451158237"</f>
        <v>0451158237</v>
      </c>
      <c r="AH129" s="2" t="str">
        <f>"9780451158239"</f>
        <v>9780451158239</v>
      </c>
      <c r="AI129" s="1">
        <v>5.0</v>
      </c>
      <c r="AJ129" s="1">
        <v>3.88</v>
      </c>
      <c r="AK129" s="1" t="s">
        <v>658</v>
      </c>
      <c r="AL129" s="1" t="s">
        <v>315</v>
      </c>
      <c r="AM129" s="1">
        <v>696.0</v>
      </c>
      <c r="AN129" s="1">
        <v>1981.0</v>
      </c>
      <c r="AO129" s="1">
        <v>1943.0</v>
      </c>
      <c r="AP129" s="3">
        <v>41480.0</v>
      </c>
      <c r="AQ129" s="3">
        <v>41456.0</v>
      </c>
      <c r="AR129" s="1" t="s">
        <v>659</v>
      </c>
      <c r="AS129" s="1" t="s">
        <v>660</v>
      </c>
      <c r="AT129" s="1" t="s">
        <v>31</v>
      </c>
      <c r="AX129" s="1">
        <v>1.0</v>
      </c>
      <c r="AY129" s="1">
        <v>1.0</v>
      </c>
    </row>
    <row r="130" spans="20:51" ht="15.75" hidden="1">
      <c r="T130" s="1">
        <v>49552.0</v>
      </c>
      <c r="U130" s="1"/>
      <c r="V130" s="1"/>
      <c r="W130" s="1"/>
      <c r="X130" s="1"/>
      <c r="Y130" s="1" t="s">
        <v>661</v>
      </c>
      <c r="Z130" s="1" t="s">
        <v>250</v>
      </c>
      <c r="AA130" s="1" t="s">
        <v>251</v>
      </c>
      <c r="AB130" s="1"/>
      <c r="AC130" s="1"/>
      <c r="AD130" s="1"/>
      <c r="AE130" s="1"/>
      <c r="AF130" s="1" t="s">
        <v>662</v>
      </c>
      <c r="AG130" s="2" t="str">
        <f t="shared" si="6" ref="AG130:AH130">""</f>
        <v/>
      </c>
      <c r="AH130" s="2" t="str">
        <f t="shared" si="6"/>
        <v/>
      </c>
      <c r="AI130" s="1">
        <v>5.0</v>
      </c>
      <c r="AJ130" s="1">
        <v>4.02</v>
      </c>
      <c r="AK130" s="1" t="s">
        <v>253</v>
      </c>
      <c r="AL130" s="1" t="s">
        <v>28</v>
      </c>
      <c r="AM130" s="1">
        <v>159.0</v>
      </c>
      <c r="AN130" s="1">
        <v>1989.0</v>
      </c>
      <c r="AO130" s="1">
        <v>1942.0</v>
      </c>
      <c r="AP130" s="3">
        <v>41027.0</v>
      </c>
      <c r="AQ130" s="3">
        <v>41027.0</v>
      </c>
      <c r="AR130" s="1" t="s">
        <v>663</v>
      </c>
      <c r="AS130" s="1" t="s">
        <v>664</v>
      </c>
      <c r="AT130" s="1" t="s">
        <v>127</v>
      </c>
      <c r="AX130" s="1">
        <v>1.0</v>
      </c>
      <c r="AY130" s="1">
        <v>0.0</v>
      </c>
    </row>
    <row r="131" spans="20:51" ht="15.75" hidden="1">
      <c r="T131" s="1">
        <v>11990.0</v>
      </c>
      <c r="U131" s="1"/>
      <c r="V131" s="1"/>
      <c r="W131" s="1"/>
      <c r="X131" s="1"/>
      <c r="Y131" s="1" t="s">
        <v>665</v>
      </c>
      <c r="Z131" s="1" t="s">
        <v>250</v>
      </c>
      <c r="AA131" s="1" t="s">
        <v>251</v>
      </c>
      <c r="AB131" s="1"/>
      <c r="AC131" s="1"/>
      <c r="AD131" s="1"/>
      <c r="AE131" s="1"/>
      <c r="AG131" s="2" t="str">
        <f>"0679733841"</f>
        <v>0679733841</v>
      </c>
      <c r="AH131" s="2" t="str">
        <f>"9780679733843"</f>
        <v>9780679733843</v>
      </c>
      <c r="AI131" s="1">
        <v>0.0</v>
      </c>
      <c r="AJ131" s="1">
        <v>4.14</v>
      </c>
      <c r="AK131" s="1" t="s">
        <v>83</v>
      </c>
      <c r="AL131" s="1" t="s">
        <v>28</v>
      </c>
      <c r="AM131" s="1">
        <v>320.0</v>
      </c>
      <c r="AN131" s="1">
        <v>1992.0</v>
      </c>
      <c r="AO131" s="1">
        <v>1951.0</v>
      </c>
      <c r="AQ131" s="3">
        <v>41306.0</v>
      </c>
      <c r="AR131" s="1" t="s">
        <v>31</v>
      </c>
      <c r="AS131" s="1" t="s">
        <v>666</v>
      </c>
      <c r="AT131" s="1" t="s">
        <v>31</v>
      </c>
      <c r="AX131" s="1">
        <v>0.0</v>
      </c>
      <c r="AY131" s="1">
        <v>0.0</v>
      </c>
    </row>
    <row r="132" spans="20:51" ht="15.75">
      <c r="T132" s="1">
        <v>5.3404868E7</v>
      </c>
      <c r="U132" s="1"/>
      <c r="V132" s="1"/>
      <c r="W132" s="1"/>
      <c r="X132" s="1"/>
      <c r="Y132" s="1" t="s">
        <v>667</v>
      </c>
      <c r="Z132" s="1" t="s">
        <v>668</v>
      </c>
      <c r="AA132" s="1" t="s">
        <v>669</v>
      </c>
      <c r="AB132" s="1"/>
      <c r="AC132" s="1"/>
      <c r="AD132" s="1"/>
      <c r="AE132" s="1"/>
      <c r="AF132" s="1" t="s">
        <v>670</v>
      </c>
      <c r="AG132" s="2" t="str">
        <f>""</f>
        <v/>
      </c>
      <c r="AH132" s="2" t="str">
        <f>"9781681374642"</f>
        <v>9781681374642</v>
      </c>
      <c r="AI132" s="1">
        <v>5.0</v>
      </c>
      <c r="AJ132" s="1">
        <v>4.0</v>
      </c>
      <c r="AK132" s="1" t="s">
        <v>671</v>
      </c>
      <c r="AL132" s="1" t="s">
        <v>28</v>
      </c>
      <c r="AM132" s="1">
        <v>210.0</v>
      </c>
      <c r="AN132" s="1">
        <v>2021.0</v>
      </c>
      <c r="AO132" s="1">
        <v>1974.0</v>
      </c>
      <c r="AP132" s="3">
        <v>45059.0</v>
      </c>
      <c r="AQ132" s="3">
        <v>42485.0</v>
      </c>
      <c r="AR132" s="1" t="s">
        <v>672</v>
      </c>
      <c r="AS132" s="1" t="s">
        <v>673</v>
      </c>
      <c r="AT132" s="1" t="s">
        <v>127</v>
      </c>
      <c r="AX132" s="1">
        <v>1.0</v>
      </c>
      <c r="AY132" s="1">
        <v>0.0</v>
      </c>
    </row>
    <row r="133" spans="20:51" ht="15.75">
      <c r="T133" s="1">
        <v>5215.0</v>
      </c>
      <c r="U133" s="1"/>
      <c r="V133" s="1"/>
      <c r="W133" s="1"/>
      <c r="X133" s="1"/>
      <c r="Y133" s="1" t="s">
        <v>674</v>
      </c>
      <c r="Z133" s="1" t="s">
        <v>675</v>
      </c>
      <c r="AA133" s="1" t="s">
        <v>676</v>
      </c>
      <c r="AB133" s="1"/>
      <c r="AC133" s="1"/>
      <c r="AD133" s="1"/>
      <c r="AE133" s="1"/>
      <c r="AF133" s="1" t="s">
        <v>677</v>
      </c>
      <c r="AG133" s="2" t="str">
        <f>"0060740450"</f>
        <v>0060740450</v>
      </c>
      <c r="AH133" s="2" t="str">
        <f>"9780060740450"</f>
        <v>9780060740450</v>
      </c>
      <c r="AI133" s="1">
        <v>5.0</v>
      </c>
      <c r="AJ133" s="1">
        <v>4.11</v>
      </c>
      <c r="AK133" s="1" t="s">
        <v>474</v>
      </c>
      <c r="AL133" s="1" t="s">
        <v>28</v>
      </c>
      <c r="AM133" s="1">
        <v>464.0</v>
      </c>
      <c r="AN133" s="1">
        <v>2004.0</v>
      </c>
      <c r="AO133" s="1">
        <v>1967.0</v>
      </c>
      <c r="AP133" s="3">
        <v>41658.0</v>
      </c>
      <c r="AQ133" s="4">
        <v>41620.0</v>
      </c>
      <c r="AR133" s="1" t="s">
        <v>629</v>
      </c>
      <c r="AS133" s="1" t="s">
        <v>678</v>
      </c>
      <c r="AT133" s="1" t="s">
        <v>127</v>
      </c>
      <c r="AX133" s="1">
        <v>1.0</v>
      </c>
      <c r="AY133" s="1">
        <v>1.0</v>
      </c>
    </row>
    <row r="134" spans="20:51" ht="15.75">
      <c r="T134" s="1">
        <v>1.2384322E7</v>
      </c>
      <c r="U134" s="1"/>
      <c r="V134" s="1"/>
      <c r="W134" s="1"/>
      <c r="X134" s="1"/>
      <c r="Y134" s="1" t="s">
        <v>679</v>
      </c>
      <c r="Z134" s="1" t="s">
        <v>680</v>
      </c>
      <c r="AA134" s="1" t="s">
        <v>681</v>
      </c>
      <c r="AB134" s="1"/>
      <c r="AC134" s="1"/>
      <c r="AD134" s="1"/>
      <c r="AE134" s="1"/>
      <c r="AG134" s="2" t="str">
        <f>"0571275761"</f>
        <v>0571275761</v>
      </c>
      <c r="AH134" s="2" t="str">
        <f>"9780571275762"</f>
        <v>9780571275762</v>
      </c>
      <c r="AI134" s="1">
        <v>5.0</v>
      </c>
      <c r="AJ134" s="1">
        <v>3.43</v>
      </c>
      <c r="AK134" s="1" t="s">
        <v>285</v>
      </c>
      <c r="AL134" s="1" t="s">
        <v>28</v>
      </c>
      <c r="AM134" s="1">
        <v>292.0</v>
      </c>
      <c r="AN134" s="1">
        <v>2012.0</v>
      </c>
      <c r="AO134" s="1">
        <v>2012.0</v>
      </c>
      <c r="AP134" s="3">
        <v>41334.0</v>
      </c>
      <c r="AQ134" s="3">
        <v>41323.0</v>
      </c>
      <c r="AR134" s="1" t="s">
        <v>629</v>
      </c>
      <c r="AS134" s="1" t="s">
        <v>682</v>
      </c>
      <c r="AT134" s="1" t="s">
        <v>127</v>
      </c>
      <c r="AX134" s="1">
        <v>1.0</v>
      </c>
      <c r="AY134" s="1">
        <v>1.0</v>
      </c>
    </row>
    <row r="135" spans="20:51" ht="15.75" hidden="1">
      <c r="T135" s="1">
        <v>2.2822858E7</v>
      </c>
      <c r="U135" s="1"/>
      <c r="V135" s="1"/>
      <c r="W135" s="1"/>
      <c r="X135" s="1"/>
      <c r="Y135" s="1" t="s">
        <v>683</v>
      </c>
      <c r="Z135" s="1" t="s">
        <v>684</v>
      </c>
      <c r="AA135" s="1" t="s">
        <v>685</v>
      </c>
      <c r="AB135" s="1"/>
      <c r="AC135" s="1"/>
      <c r="AD135" s="1"/>
      <c r="AE135" s="1"/>
      <c r="AG135" s="2" t="str">
        <f t="shared" si="7" ref="AG135:AH135">""</f>
        <v/>
      </c>
      <c r="AH135" s="2" t="str">
        <f t="shared" si="7"/>
        <v/>
      </c>
      <c r="AI135" s="1">
        <v>5.0</v>
      </c>
      <c r="AJ135" s="1">
        <v>4.34</v>
      </c>
      <c r="AK135" s="1" t="s">
        <v>686</v>
      </c>
      <c r="AL135" s="1" t="s">
        <v>41</v>
      </c>
      <c r="AM135" s="1">
        <v>720.0</v>
      </c>
      <c r="AN135" s="1">
        <v>2015.0</v>
      </c>
      <c r="AO135" s="1">
        <v>2015.0</v>
      </c>
      <c r="AP135" s="4">
        <v>42338.0</v>
      </c>
      <c r="AQ135" s="4">
        <v>42321.0</v>
      </c>
      <c r="AR135" s="1" t="s">
        <v>687</v>
      </c>
      <c r="AS135" s="1" t="s">
        <v>688</v>
      </c>
      <c r="AT135" s="1" t="s">
        <v>127</v>
      </c>
      <c r="AU135" s="1" t="s">
        <v>689</v>
      </c>
      <c r="AX135" s="1">
        <v>1.0</v>
      </c>
      <c r="AY135" s="1">
        <v>1.0</v>
      </c>
    </row>
    <row r="136" spans="20:51" ht="15.75" hidden="1">
      <c r="T136" s="1">
        <v>1.6000664E7</v>
      </c>
      <c r="U136" s="1"/>
      <c r="V136" s="1"/>
      <c r="W136" s="1"/>
      <c r="X136" s="1"/>
      <c r="Y136" s="1" t="s">
        <v>690</v>
      </c>
      <c r="Z136" s="1" t="s">
        <v>691</v>
      </c>
      <c r="AA136" s="1" t="s">
        <v>692</v>
      </c>
      <c r="AB136" s="1"/>
      <c r="AC136" s="1"/>
      <c r="AD136" s="1"/>
      <c r="AE136" s="1"/>
      <c r="AG136" s="2" t="str">
        <f>"0141192151"</f>
        <v>0141192151</v>
      </c>
      <c r="AH136" s="2" t="str">
        <f>"9780141192154"</f>
        <v>9780141192154</v>
      </c>
      <c r="AI136" s="1">
        <v>0.0</v>
      </c>
      <c r="AJ136" s="1">
        <v>3.83</v>
      </c>
      <c r="AK136" s="1" t="s">
        <v>232</v>
      </c>
      <c r="AL136" s="1" t="s">
        <v>28</v>
      </c>
      <c r="AM136" s="1">
        <v>144.0</v>
      </c>
      <c r="AN136" s="1">
        <v>2012.0</v>
      </c>
      <c r="AO136" s="1">
        <v>1958.0</v>
      </c>
      <c r="AQ136" s="3">
        <v>45094.0</v>
      </c>
      <c r="AR136" s="1" t="s">
        <v>693</v>
      </c>
      <c r="AS136" s="1" t="s">
        <v>694</v>
      </c>
      <c r="AT136" s="1" t="s">
        <v>31</v>
      </c>
      <c r="AX136" s="1">
        <v>0.0</v>
      </c>
      <c r="AY136" s="1">
        <v>0.0</v>
      </c>
    </row>
    <row r="137" spans="20:51" ht="15.75" hidden="1">
      <c r="T137" s="1">
        <v>16842.0</v>
      </c>
      <c r="U137" s="1"/>
      <c r="V137" s="1"/>
      <c r="W137" s="1"/>
      <c r="X137" s="1"/>
      <c r="Y137" s="1" t="s">
        <v>695</v>
      </c>
      <c r="Z137" s="1" t="s">
        <v>696</v>
      </c>
      <c r="AA137" s="1" t="s">
        <v>697</v>
      </c>
      <c r="AB137" s="1"/>
      <c r="AC137" s="1"/>
      <c r="AD137" s="1"/>
      <c r="AE137" s="1"/>
      <c r="AG137" s="2" t="str">
        <f>"0816638624"</f>
        <v>0816638624</v>
      </c>
      <c r="AH137" s="2" t="str">
        <f>"9780816638628"</f>
        <v>9780816638628</v>
      </c>
      <c r="AI137" s="1">
        <v>0.0</v>
      </c>
      <c r="AJ137" s="1">
        <v>4.07</v>
      </c>
      <c r="AK137" s="1" t="s">
        <v>698</v>
      </c>
      <c r="AL137" s="1" t="s">
        <v>28</v>
      </c>
      <c r="AM137" s="1">
        <v>186.0</v>
      </c>
      <c r="AN137" s="1">
        <v>2001.0</v>
      </c>
      <c r="AO137" s="1">
        <v>1964.0</v>
      </c>
      <c r="AQ137" s="3">
        <v>44256.0</v>
      </c>
      <c r="AR137" s="1" t="s">
        <v>693</v>
      </c>
      <c r="AS137" s="1" t="s">
        <v>699</v>
      </c>
      <c r="AT137" s="1" t="s">
        <v>31</v>
      </c>
      <c r="AX137" s="1">
        <v>0.0</v>
      </c>
      <c r="AY137" s="1">
        <v>0.0</v>
      </c>
    </row>
    <row r="138" spans="20:51" ht="15.75" hidden="1">
      <c r="T138" s="1">
        <v>6.2337366E7</v>
      </c>
      <c r="U138" s="1"/>
      <c r="V138" s="1"/>
      <c r="W138" s="1"/>
      <c r="X138" s="1"/>
      <c r="Y138" s="1" t="s">
        <v>700</v>
      </c>
      <c r="Z138" s="1" t="s">
        <v>701</v>
      </c>
      <c r="AA138" s="1" t="s">
        <v>702</v>
      </c>
      <c r="AB138" s="1"/>
      <c r="AC138" s="1"/>
      <c r="AD138" s="1"/>
      <c r="AE138" s="1"/>
      <c r="AG138" s="2" t="str">
        <f>"164622146X"</f>
        <v>164622146X</v>
      </c>
      <c r="AH138" s="2" t="str">
        <f>"9781646221462"</f>
        <v>9781646221462</v>
      </c>
      <c r="AI138" s="1">
        <v>0.0</v>
      </c>
      <c r="AJ138" s="1">
        <v>3.67</v>
      </c>
      <c r="AK138" s="1" t="s">
        <v>703</v>
      </c>
      <c r="AL138" s="1" t="s">
        <v>41</v>
      </c>
      <c r="AM138" s="1">
        <v>208.0</v>
      </c>
      <c r="AN138" s="1">
        <v>2023.0</v>
      </c>
      <c r="AO138" s="1">
        <v>2023.0</v>
      </c>
      <c r="AQ138" s="3">
        <v>45088.0</v>
      </c>
      <c r="AR138" s="1" t="s">
        <v>704</v>
      </c>
      <c r="AS138" s="1" t="s">
        <v>705</v>
      </c>
      <c r="AT138" s="1" t="s">
        <v>31</v>
      </c>
      <c r="AX138" s="1">
        <v>0.0</v>
      </c>
      <c r="AY138" s="1">
        <v>0.0</v>
      </c>
    </row>
    <row r="139" spans="20:51" ht="15.75" hidden="1">
      <c r="T139" s="1">
        <v>5.8950685E7</v>
      </c>
      <c r="U139" s="1"/>
      <c r="V139" s="1"/>
      <c r="W139" s="1"/>
      <c r="X139" s="1"/>
      <c r="Y139" s="1" t="s">
        <v>706</v>
      </c>
      <c r="Z139" s="1" t="s">
        <v>707</v>
      </c>
      <c r="AA139" s="1" t="s">
        <v>708</v>
      </c>
      <c r="AB139" s="1"/>
      <c r="AC139" s="1"/>
      <c r="AD139" s="1"/>
      <c r="AE139" s="1"/>
      <c r="AG139" s="2" t="str">
        <f>"1668605031"</f>
        <v>1668605031</v>
      </c>
      <c r="AH139" s="2" t="str">
        <f>"9781668605035"</f>
        <v>9781668605035</v>
      </c>
      <c r="AI139" s="1">
        <v>0.0</v>
      </c>
      <c r="AJ139" s="1">
        <v>4.43</v>
      </c>
      <c r="AK139" s="1" t="s">
        <v>709</v>
      </c>
      <c r="AL139" s="1" t="s">
        <v>710</v>
      </c>
      <c r="AN139" s="1">
        <v>2022.0</v>
      </c>
      <c r="AO139" s="1">
        <v>2022.0</v>
      </c>
      <c r="AQ139" s="4">
        <v>44852.0</v>
      </c>
      <c r="AR139" s="1" t="s">
        <v>711</v>
      </c>
      <c r="AS139" s="1" t="s">
        <v>712</v>
      </c>
      <c r="AT139" s="1" t="s">
        <v>31</v>
      </c>
      <c r="AX139" s="1">
        <v>0.0</v>
      </c>
      <c r="AY139" s="1">
        <v>0.0</v>
      </c>
    </row>
    <row r="140" spans="20:51" ht="15.75">
      <c r="T140" s="1">
        <v>5.8891551E7</v>
      </c>
      <c r="U140" s="1"/>
      <c r="V140" s="1"/>
      <c r="W140" s="1"/>
      <c r="X140" s="1"/>
      <c r="Y140" s="1" t="s">
        <v>713</v>
      </c>
      <c r="Z140" s="1" t="s">
        <v>714</v>
      </c>
      <c r="AA140" s="1" t="s">
        <v>715</v>
      </c>
      <c r="AB140" s="1"/>
      <c r="AC140" s="1"/>
      <c r="AD140" s="1"/>
      <c r="AE140" s="1"/>
      <c r="AG140" s="2" t="str">
        <f>"0802159559"</f>
        <v>0802159559</v>
      </c>
      <c r="AH140" s="2" t="str">
        <f>"9780802159557"</f>
        <v>9780802159557</v>
      </c>
      <c r="AI140" s="1">
        <v>0.0</v>
      </c>
      <c r="AJ140" s="1">
        <v>4.38</v>
      </c>
      <c r="AK140" s="1" t="s">
        <v>35</v>
      </c>
      <c r="AL140" s="1" t="s">
        <v>41</v>
      </c>
      <c r="AM140" s="1">
        <v>390.0</v>
      </c>
      <c r="AN140" s="1">
        <v>2022.0</v>
      </c>
      <c r="AO140" s="1">
        <v>2022.0</v>
      </c>
      <c r="AQ140" s="3">
        <v>44808.0</v>
      </c>
      <c r="AR140" s="1" t="s">
        <v>716</v>
      </c>
      <c r="AS140" s="1" t="s">
        <v>717</v>
      </c>
      <c r="AT140" s="1" t="s">
        <v>31</v>
      </c>
      <c r="AX140" s="1">
        <v>0.0</v>
      </c>
      <c r="AY140" s="1">
        <v>0.0</v>
      </c>
    </row>
    <row r="141" spans="20:51" ht="15.75">
      <c r="T141" s="1">
        <v>1107872.0</v>
      </c>
      <c r="U141" s="1"/>
      <c r="V141" s="1"/>
      <c r="W141" s="1"/>
      <c r="X141" s="1"/>
      <c r="Y141" s="1" t="s">
        <v>718</v>
      </c>
      <c r="Z141" s="1" t="s">
        <v>719</v>
      </c>
      <c r="AA141" s="1" t="s">
        <v>720</v>
      </c>
      <c r="AB141" s="1"/>
      <c r="AC141" s="1"/>
      <c r="AD141" s="1"/>
      <c r="AE141" s="1"/>
      <c r="AG141" s="2" t="str">
        <f>"0452258855"</f>
        <v>0452258855</v>
      </c>
      <c r="AH141" s="2" t="str">
        <f>"9780452258853"</f>
        <v>9780452258853</v>
      </c>
      <c r="AI141" s="1">
        <v>0.0</v>
      </c>
      <c r="AJ141" s="1">
        <v>4.0</v>
      </c>
      <c r="AK141" s="1" t="s">
        <v>721</v>
      </c>
      <c r="AL141" s="1" t="s">
        <v>28</v>
      </c>
      <c r="AM141" s="1">
        <v>344.0</v>
      </c>
      <c r="AN141" s="1">
        <v>1986.0</v>
      </c>
      <c r="AO141" s="1">
        <v>1979.0</v>
      </c>
      <c r="AQ141" s="3">
        <v>44254.0</v>
      </c>
      <c r="AR141" s="1" t="s">
        <v>716</v>
      </c>
      <c r="AS141" s="1" t="s">
        <v>722</v>
      </c>
      <c r="AT141" s="1" t="s">
        <v>31</v>
      </c>
      <c r="AX141" s="1">
        <v>0.0</v>
      </c>
      <c r="AY141" s="1">
        <v>0.0</v>
      </c>
    </row>
    <row r="142" spans="20:51" ht="15.75" hidden="1">
      <c r="T142" s="1">
        <v>5.3317498E7</v>
      </c>
      <c r="U142" s="1"/>
      <c r="V142" s="1"/>
      <c r="W142" s="1"/>
      <c r="X142" s="1"/>
      <c r="Y142" s="1" t="s">
        <v>723</v>
      </c>
      <c r="Z142" s="1" t="s">
        <v>724</v>
      </c>
      <c r="AA142" s="1" t="s">
        <v>725</v>
      </c>
      <c r="AB142" s="1"/>
      <c r="AC142" s="1"/>
      <c r="AD142" s="1"/>
      <c r="AE142" s="1"/>
      <c r="AG142" s="2" t="str">
        <f>"0374538980"</f>
        <v>0374538980</v>
      </c>
      <c r="AH142" s="2" t="str">
        <f>"9780374538989"</f>
        <v>9780374538989</v>
      </c>
      <c r="AI142" s="1">
        <v>0.0</v>
      </c>
      <c r="AJ142" s="1">
        <v>3.77</v>
      </c>
      <c r="AK142" s="1" t="s">
        <v>726</v>
      </c>
      <c r="AL142" s="1" t="s">
        <v>28</v>
      </c>
      <c r="AM142" s="1">
        <v>192.0</v>
      </c>
      <c r="AN142" s="1">
        <v>2021.0</v>
      </c>
      <c r="AO142" s="1">
        <v>2021.0</v>
      </c>
      <c r="AQ142" s="3">
        <v>44216.0</v>
      </c>
      <c r="AR142" s="1" t="s">
        <v>727</v>
      </c>
      <c r="AS142" s="1" t="s">
        <v>728</v>
      </c>
      <c r="AT142" s="1" t="s">
        <v>31</v>
      </c>
      <c r="AX142" s="1">
        <v>0.0</v>
      </c>
      <c r="AY142" s="1">
        <v>0.0</v>
      </c>
    </row>
    <row r="143" spans="20:51" ht="15.75" hidden="1">
      <c r="T143" s="1">
        <v>5.6080246E7</v>
      </c>
      <c r="U143" s="1"/>
      <c r="V143" s="1"/>
      <c r="W143" s="1"/>
      <c r="X143" s="1"/>
      <c r="Y143" s="1" t="s">
        <v>729</v>
      </c>
      <c r="Z143" s="1" t="s">
        <v>730</v>
      </c>
      <c r="AA143" s="1" t="s">
        <v>731</v>
      </c>
      <c r="AB143" s="1"/>
      <c r="AC143" s="1"/>
      <c r="AD143" s="1"/>
      <c r="AE143" s="1"/>
      <c r="AG143" s="2" t="str">
        <f>"1999058879"</f>
        <v>1999058879</v>
      </c>
      <c r="AH143" s="2" t="str">
        <f>"9781999058876"</f>
        <v>9781999058876</v>
      </c>
      <c r="AI143" s="1">
        <v>0.0</v>
      </c>
      <c r="AJ143" s="1">
        <v>4.25</v>
      </c>
      <c r="AK143" s="1" t="s">
        <v>732</v>
      </c>
      <c r="AL143" s="1" t="s">
        <v>28</v>
      </c>
      <c r="AM143" s="1">
        <v>200.0</v>
      </c>
      <c r="AN143" s="1">
        <v>2021.0</v>
      </c>
      <c r="AO143" s="1">
        <v>2021.0</v>
      </c>
      <c r="AQ143" s="3">
        <v>44216.0</v>
      </c>
      <c r="AR143" s="1" t="s">
        <v>727</v>
      </c>
      <c r="AS143" s="1" t="s">
        <v>733</v>
      </c>
      <c r="AT143" s="1" t="s">
        <v>31</v>
      </c>
      <c r="AX143" s="1">
        <v>0.0</v>
      </c>
      <c r="AY143" s="1">
        <v>0.0</v>
      </c>
    </row>
    <row r="144" spans="20:51" ht="15.75" hidden="1">
      <c r="T144" s="1">
        <v>85862.0</v>
      </c>
      <c r="U144" s="1"/>
      <c r="V144" s="1"/>
      <c r="W144" s="1"/>
      <c r="X144" s="1"/>
      <c r="Y144" s="1" t="s">
        <v>734</v>
      </c>
      <c r="Z144" s="1" t="s">
        <v>735</v>
      </c>
      <c r="AA144" s="1" t="s">
        <v>736</v>
      </c>
      <c r="AB144" s="1"/>
      <c r="AC144" s="1"/>
      <c r="AD144" s="1"/>
      <c r="AE144" s="1"/>
      <c r="AG144" s="2" t="str">
        <f>"0814719201"</f>
        <v>0814719201</v>
      </c>
      <c r="AH144" s="2" t="str">
        <f>"9780814719206"</f>
        <v>9780814719206</v>
      </c>
      <c r="AI144" s="1">
        <v>0.0</v>
      </c>
      <c r="AJ144" s="1">
        <v>4.18</v>
      </c>
      <c r="AK144" s="1" t="s">
        <v>737</v>
      </c>
      <c r="AL144" s="1" t="s">
        <v>28</v>
      </c>
      <c r="AM144" s="1">
        <v>203.0</v>
      </c>
      <c r="AN144" s="1">
        <v>2001.0</v>
      </c>
      <c r="AO144" s="1">
        <v>1999.0</v>
      </c>
      <c r="AQ144" s="3">
        <v>44216.0</v>
      </c>
      <c r="AR144" s="1" t="s">
        <v>693</v>
      </c>
      <c r="AS144" s="1" t="s">
        <v>738</v>
      </c>
      <c r="AT144" s="1" t="s">
        <v>31</v>
      </c>
      <c r="AX144" s="1">
        <v>0.0</v>
      </c>
      <c r="AY144" s="1">
        <v>0.0</v>
      </c>
    </row>
    <row r="145" spans="20:51" ht="15.75" hidden="1">
      <c r="T145" s="1">
        <v>8613193.0</v>
      </c>
      <c r="U145" s="1"/>
      <c r="V145" s="1"/>
      <c r="W145" s="1"/>
      <c r="X145" s="1"/>
      <c r="Y145" s="1" t="s">
        <v>739</v>
      </c>
      <c r="Z145" s="1" t="s">
        <v>740</v>
      </c>
      <c r="AA145" s="1" t="s">
        <v>741</v>
      </c>
      <c r="AB145" s="1"/>
      <c r="AC145" s="1"/>
      <c r="AD145" s="1"/>
      <c r="AE145" s="1"/>
      <c r="AF145" s="1" t="s">
        <v>742</v>
      </c>
      <c r="AG145" s="2" t="str">
        <f>"081667101X"</f>
        <v>081667101X</v>
      </c>
      <c r="AH145" s="2" t="str">
        <f>"9780816671014"</f>
        <v>9780816671014</v>
      </c>
      <c r="AI145" s="1">
        <v>0.0</v>
      </c>
      <c r="AJ145" s="1">
        <v>4.08</v>
      </c>
      <c r="AK145" s="1" t="s">
        <v>698</v>
      </c>
      <c r="AL145" s="1" t="s">
        <v>28</v>
      </c>
      <c r="AM145" s="1">
        <v>230.0</v>
      </c>
      <c r="AN145" s="1">
        <v>2010.0</v>
      </c>
      <c r="AO145" s="1">
        <v>1921.0</v>
      </c>
      <c r="AQ145" s="3">
        <v>44252.0</v>
      </c>
      <c r="AR145" s="1" t="s">
        <v>743</v>
      </c>
      <c r="AS145" s="1" t="s">
        <v>744</v>
      </c>
      <c r="AT145" s="1" t="s">
        <v>31</v>
      </c>
      <c r="AX145" s="1">
        <v>0.0</v>
      </c>
      <c r="AY145" s="1">
        <v>0.0</v>
      </c>
    </row>
    <row r="146" spans="20:51" ht="15.75" hidden="1">
      <c r="T146" s="1">
        <v>6361516.0</v>
      </c>
      <c r="U146" s="1"/>
      <c r="V146" s="1"/>
      <c r="W146" s="1"/>
      <c r="X146" s="1"/>
      <c r="Y146" s="1" t="s">
        <v>745</v>
      </c>
      <c r="Z146" s="1" t="s">
        <v>746</v>
      </c>
      <c r="AA146" s="1" t="s">
        <v>747</v>
      </c>
      <c r="AB146" s="1"/>
      <c r="AC146" s="1"/>
      <c r="AD146" s="1"/>
      <c r="AE146" s="1"/>
      <c r="AF146" s="1" t="s">
        <v>297</v>
      </c>
      <c r="AG146" s="2" t="str">
        <f>"1593501196"</f>
        <v>1593501196</v>
      </c>
      <c r="AH146" s="2" t="str">
        <f>"9781593501198"</f>
        <v>9781593501198</v>
      </c>
      <c r="AI146" s="1">
        <v>0.0</v>
      </c>
      <c r="AJ146" s="1">
        <v>3.65</v>
      </c>
      <c r="AK146" s="1" t="s">
        <v>748</v>
      </c>
      <c r="AL146" s="1" t="s">
        <v>28</v>
      </c>
      <c r="AM146" s="1">
        <v>342.0</v>
      </c>
      <c r="AN146" s="1">
        <v>2009.0</v>
      </c>
      <c r="AO146" s="1">
        <v>2009.0</v>
      </c>
      <c r="AQ146" s="3">
        <v>44214.0</v>
      </c>
      <c r="AR146" s="1" t="s">
        <v>693</v>
      </c>
      <c r="AS146" s="1" t="s">
        <v>749</v>
      </c>
      <c r="AT146" s="1" t="s">
        <v>31</v>
      </c>
      <c r="AX146" s="1">
        <v>0.0</v>
      </c>
      <c r="AY146" s="1">
        <v>0.0</v>
      </c>
    </row>
    <row r="147" spans="20:51" ht="15.75" hidden="1">
      <c r="T147" s="1">
        <v>3.8923635E7</v>
      </c>
      <c r="U147" s="1"/>
      <c r="V147" s="1"/>
      <c r="W147" s="1"/>
      <c r="X147" s="1"/>
      <c r="Y147" s="1" t="s">
        <v>750</v>
      </c>
      <c r="Z147" s="1" t="s">
        <v>751</v>
      </c>
      <c r="AA147" s="1" t="s">
        <v>752</v>
      </c>
      <c r="AB147" s="1"/>
      <c r="AC147" s="1"/>
      <c r="AD147" s="1"/>
      <c r="AE147" s="1"/>
      <c r="AG147" s="2" t="str">
        <f>"022657668X"</f>
        <v>022657668X</v>
      </c>
      <c r="AH147" s="2" t="str">
        <f>"9780226576688"</f>
        <v>9780226576688</v>
      </c>
      <c r="AI147" s="1">
        <v>0.0</v>
      </c>
      <c r="AJ147" s="1">
        <v>4.5</v>
      </c>
      <c r="AK147" s="1" t="s">
        <v>224</v>
      </c>
      <c r="AL147" s="1" t="s">
        <v>28</v>
      </c>
      <c r="AM147" s="1">
        <v>272.0</v>
      </c>
      <c r="AN147" s="1">
        <v>2018.0</v>
      </c>
      <c r="AQ147" s="4">
        <v>44192.0</v>
      </c>
      <c r="AR147" s="1" t="s">
        <v>711</v>
      </c>
      <c r="AS147" s="1" t="s">
        <v>753</v>
      </c>
      <c r="AT147" s="1" t="s">
        <v>31</v>
      </c>
      <c r="AX147" s="1">
        <v>0.0</v>
      </c>
      <c r="AY147" s="1">
        <v>0.0</v>
      </c>
    </row>
    <row r="148" spans="20:51" ht="15.75" hidden="1">
      <c r="T148" s="1">
        <v>179028.0</v>
      </c>
      <c r="U148" s="1"/>
      <c r="V148" s="1"/>
      <c r="W148" s="1"/>
      <c r="X148" s="1"/>
      <c r="Y148" s="1" t="s">
        <v>754</v>
      </c>
      <c r="Z148" s="1" t="s">
        <v>755</v>
      </c>
      <c r="AA148" s="1" t="s">
        <v>756</v>
      </c>
      <c r="AB148" s="1"/>
      <c r="AC148" s="1"/>
      <c r="AD148" s="1"/>
      <c r="AE148" s="1"/>
      <c r="AG148" s="2" t="str">
        <f>"0226426165"</f>
        <v>0226426165</v>
      </c>
      <c r="AH148" s="2" t="str">
        <f>"9780226426167"</f>
        <v>9780226426167</v>
      </c>
      <c r="AI148" s="1">
        <v>0.0</v>
      </c>
      <c r="AJ148" s="1">
        <v>3.92</v>
      </c>
      <c r="AK148" s="1" t="s">
        <v>224</v>
      </c>
      <c r="AL148" s="1" t="s">
        <v>28</v>
      </c>
      <c r="AM148" s="1">
        <v>426.0</v>
      </c>
      <c r="AN148" s="1">
        <v>2003.0</v>
      </c>
      <c r="AO148" s="1">
        <v>2001.0</v>
      </c>
      <c r="AQ148" s="4">
        <v>44192.0</v>
      </c>
      <c r="AR148" s="1" t="s">
        <v>757</v>
      </c>
      <c r="AS148" s="1" t="s">
        <v>758</v>
      </c>
      <c r="AT148" s="1" t="s">
        <v>31</v>
      </c>
      <c r="AX148" s="1">
        <v>0.0</v>
      </c>
      <c r="AY148" s="1">
        <v>0.0</v>
      </c>
    </row>
    <row r="149" spans="20:51" ht="15.75">
      <c r="T149" s="1">
        <v>5.2576333E7</v>
      </c>
      <c r="U149" s="1"/>
      <c r="V149" s="1"/>
      <c r="W149" s="1"/>
      <c r="X149" s="1"/>
      <c r="Y149" s="1" t="s">
        <v>759</v>
      </c>
      <c r="Z149" s="1" t="s">
        <v>760</v>
      </c>
      <c r="AA149" s="1" t="s">
        <v>761</v>
      </c>
      <c r="AB149" s="1"/>
      <c r="AC149" s="1"/>
      <c r="AD149" s="1"/>
      <c r="AE149" s="1"/>
      <c r="AG149" s="2" t="str">
        <f t="shared" si="8" ref="AG149:AH149">""</f>
        <v/>
      </c>
      <c r="AH149" s="2" t="str">
        <f t="shared" si="8"/>
        <v/>
      </c>
      <c r="AI149" s="1">
        <v>0.0</v>
      </c>
      <c r="AJ149" s="1">
        <v>3.93</v>
      </c>
      <c r="AK149" s="1" t="s">
        <v>762</v>
      </c>
      <c r="AL149" s="1" t="s">
        <v>41</v>
      </c>
      <c r="AM149" s="1">
        <v>400.0</v>
      </c>
      <c r="AN149" s="1">
        <v>2021.0</v>
      </c>
      <c r="AO149" s="1">
        <v>2021.0</v>
      </c>
      <c r="AQ149" s="3">
        <v>44199.0</v>
      </c>
      <c r="AR149" s="1" t="s">
        <v>716</v>
      </c>
      <c r="AS149" s="1" t="s">
        <v>763</v>
      </c>
      <c r="AT149" s="1" t="s">
        <v>31</v>
      </c>
      <c r="AX149" s="1">
        <v>0.0</v>
      </c>
      <c r="AY149" s="1">
        <v>0.0</v>
      </c>
    </row>
    <row r="150" spans="20:51" ht="15.75" hidden="1">
      <c r="T150" s="1">
        <v>4.4179374E7</v>
      </c>
      <c r="U150" s="1"/>
      <c r="V150" s="1"/>
      <c r="W150" s="1"/>
      <c r="X150" s="1"/>
      <c r="Y150" s="1" t="s">
        <v>764</v>
      </c>
      <c r="Z150" s="1" t="s">
        <v>751</v>
      </c>
      <c r="AA150" s="1" t="s">
        <v>752</v>
      </c>
      <c r="AB150" s="1"/>
      <c r="AC150" s="1"/>
      <c r="AD150" s="1"/>
      <c r="AE150" s="1"/>
      <c r="AG150" s="2" t="str">
        <f>"022665608X"</f>
        <v>022665608X</v>
      </c>
      <c r="AH150" s="2" t="str">
        <f>"9780226656083"</f>
        <v>9780226656083</v>
      </c>
      <c r="AI150" s="1">
        <v>0.0</v>
      </c>
      <c r="AJ150" s="1">
        <v>3.17</v>
      </c>
      <c r="AK150" s="1" t="s">
        <v>224</v>
      </c>
      <c r="AL150" s="1" t="s">
        <v>41</v>
      </c>
      <c r="AM150" s="1">
        <v>176.0</v>
      </c>
      <c r="AN150" s="1">
        <v>2019.0</v>
      </c>
      <c r="AQ150" s="4">
        <v>44192.0</v>
      </c>
      <c r="AR150" s="1" t="s">
        <v>711</v>
      </c>
      <c r="AS150" s="1" t="s">
        <v>765</v>
      </c>
      <c r="AT150" s="1" t="s">
        <v>31</v>
      </c>
      <c r="AX150" s="1">
        <v>0.0</v>
      </c>
      <c r="AY150" s="1">
        <v>0.0</v>
      </c>
    </row>
    <row r="151" spans="20:51" ht="15.75" hidden="1">
      <c r="T151" s="1">
        <v>85357.0</v>
      </c>
      <c r="U151" s="1"/>
      <c r="V151" s="1"/>
      <c r="W151" s="1"/>
      <c r="X151" s="1"/>
      <c r="Y151" s="1" t="s">
        <v>766</v>
      </c>
      <c r="Z151" s="1" t="s">
        <v>755</v>
      </c>
      <c r="AA151" s="1" t="s">
        <v>756</v>
      </c>
      <c r="AB151" s="1"/>
      <c r="AC151" s="1"/>
      <c r="AD151" s="1"/>
      <c r="AE151" s="1"/>
      <c r="AF151" s="1" t="s">
        <v>767</v>
      </c>
      <c r="AG151" s="2" t="str">
        <f>"0452275423"</f>
        <v>0452275423</v>
      </c>
      <c r="AH151" s="2" t="str">
        <f>"9780452275423"</f>
        <v>9780452275423</v>
      </c>
      <c r="AI151" s="1">
        <v>0.0</v>
      </c>
      <c r="AJ151" s="1">
        <v>3.93</v>
      </c>
      <c r="AK151" s="1" t="s">
        <v>721</v>
      </c>
      <c r="AL151" s="1" t="s">
        <v>315</v>
      </c>
      <c r="AM151" s="1">
        <v>304.0</v>
      </c>
      <c r="AN151" s="1">
        <v>1996.0</v>
      </c>
      <c r="AO151" s="1">
        <v>1995.0</v>
      </c>
      <c r="AQ151" s="4">
        <v>44192.0</v>
      </c>
      <c r="AR151" s="1" t="s">
        <v>768</v>
      </c>
      <c r="AS151" s="1" t="s">
        <v>769</v>
      </c>
      <c r="AT151" s="1" t="s">
        <v>31</v>
      </c>
      <c r="AX151" s="1">
        <v>0.0</v>
      </c>
      <c r="AY151" s="1">
        <v>0.0</v>
      </c>
    </row>
    <row r="152" spans="20:51" ht="15.75" hidden="1">
      <c r="T152" s="1">
        <v>1643712.0</v>
      </c>
      <c r="U152" s="1"/>
      <c r="V152" s="1"/>
      <c r="W152" s="1"/>
      <c r="X152" s="1"/>
      <c r="Y152" s="1" t="s">
        <v>770</v>
      </c>
      <c r="Z152" s="1" t="s">
        <v>771</v>
      </c>
      <c r="AA152" s="1" t="s">
        <v>772</v>
      </c>
      <c r="AB152" s="1"/>
      <c r="AC152" s="1"/>
      <c r="AD152" s="1"/>
      <c r="AE152" s="1"/>
      <c r="AG152" s="2" t="str">
        <f>"0226314472"</f>
        <v>0226314472</v>
      </c>
      <c r="AH152" s="2" t="str">
        <f>"9780226314471"</f>
        <v>9780226314471</v>
      </c>
      <c r="AI152" s="1">
        <v>0.0</v>
      </c>
      <c r="AJ152" s="1">
        <v>4.19</v>
      </c>
      <c r="AK152" s="1" t="s">
        <v>224</v>
      </c>
      <c r="AL152" s="1" t="s">
        <v>41</v>
      </c>
      <c r="AM152" s="1">
        <v>208.0</v>
      </c>
      <c r="AN152" s="1">
        <v>2002.0</v>
      </c>
      <c r="AO152" s="1">
        <v>2002.0</v>
      </c>
      <c r="AQ152" s="4">
        <v>44192.0</v>
      </c>
      <c r="AR152" s="1" t="s">
        <v>693</v>
      </c>
      <c r="AS152" s="1" t="s">
        <v>773</v>
      </c>
      <c r="AT152" s="1" t="s">
        <v>31</v>
      </c>
      <c r="AX152" s="1">
        <v>0.0</v>
      </c>
      <c r="AY152" s="1">
        <v>0.0</v>
      </c>
    </row>
    <row r="153" spans="20:51" ht="15.75" hidden="1">
      <c r="T153" s="1">
        <v>1344593.0</v>
      </c>
      <c r="U153" s="1"/>
      <c r="V153" s="1"/>
      <c r="W153" s="1"/>
      <c r="X153" s="1"/>
      <c r="Y153" s="1" t="s">
        <v>774</v>
      </c>
      <c r="Z153" s="1" t="s">
        <v>775</v>
      </c>
      <c r="AA153" s="1" t="s">
        <v>776</v>
      </c>
      <c r="AB153" s="1"/>
      <c r="AC153" s="1"/>
      <c r="AD153" s="1"/>
      <c r="AE153" s="1"/>
      <c r="AG153" s="2" t="str">
        <f>"0814756743"</f>
        <v>0814756743</v>
      </c>
      <c r="AH153" s="2" t="str">
        <f>"9780814756744"</f>
        <v>9780814756744</v>
      </c>
      <c r="AI153" s="1">
        <v>0.0</v>
      </c>
      <c r="AJ153" s="1">
        <v>4.0</v>
      </c>
      <c r="AK153" s="1" t="s">
        <v>777</v>
      </c>
      <c r="AL153" s="1" t="s">
        <v>28</v>
      </c>
      <c r="AM153" s="1">
        <v>216.0</v>
      </c>
      <c r="AN153" s="1">
        <v>2002.0</v>
      </c>
      <c r="AO153" s="1">
        <v>2002.0</v>
      </c>
      <c r="AQ153" s="3">
        <v>43984.0</v>
      </c>
      <c r="AR153" s="1" t="s">
        <v>778</v>
      </c>
      <c r="AS153" s="1" t="s">
        <v>779</v>
      </c>
      <c r="AT153" s="1" t="s">
        <v>31</v>
      </c>
      <c r="AX153" s="1">
        <v>0.0</v>
      </c>
      <c r="AY153" s="1">
        <v>0.0</v>
      </c>
    </row>
    <row r="154" spans="20:51" ht="15.75" hidden="1">
      <c r="T154" s="1">
        <v>1126732.0</v>
      </c>
      <c r="U154" s="1"/>
      <c r="V154" s="1"/>
      <c r="W154" s="1"/>
      <c r="X154" s="1"/>
      <c r="Y154" s="1" t="s">
        <v>780</v>
      </c>
      <c r="Z154" s="1" t="s">
        <v>781</v>
      </c>
      <c r="AA154" s="1" t="s">
        <v>782</v>
      </c>
      <c r="AB154" s="1"/>
      <c r="AC154" s="1"/>
      <c r="AD154" s="1"/>
      <c r="AE154" s="1"/>
      <c r="AG154" s="2" t="str">
        <f>"0674406206"</f>
        <v>0674406206</v>
      </c>
      <c r="AH154" s="2" t="str">
        <f>"9780674406209"</f>
        <v>9780674406209</v>
      </c>
      <c r="AI154" s="1">
        <v>0.0</v>
      </c>
      <c r="AJ154" s="1">
        <v>3.79</v>
      </c>
      <c r="AK154" s="1" t="s">
        <v>107</v>
      </c>
      <c r="AL154" s="1" t="s">
        <v>28</v>
      </c>
      <c r="AM154" s="1">
        <v>208.0</v>
      </c>
      <c r="AN154" s="1">
        <v>1996.0</v>
      </c>
      <c r="AO154" s="1">
        <v>1995.0</v>
      </c>
      <c r="AQ154" s="3">
        <v>43949.0</v>
      </c>
      <c r="AR154" s="1" t="s">
        <v>693</v>
      </c>
      <c r="AS154" s="1" t="s">
        <v>783</v>
      </c>
      <c r="AT154" s="1" t="s">
        <v>31</v>
      </c>
      <c r="AX154" s="1">
        <v>0.0</v>
      </c>
      <c r="AY154" s="1">
        <v>0.0</v>
      </c>
    </row>
    <row r="155" spans="20:51" ht="15.75">
      <c r="T155" s="1">
        <v>1028853.0</v>
      </c>
      <c r="U155" s="1"/>
      <c r="V155" s="1"/>
      <c r="W155" s="1"/>
      <c r="X155" s="1"/>
      <c r="Y155" s="1" t="s">
        <v>784</v>
      </c>
      <c r="Z155" s="1" t="s">
        <v>785</v>
      </c>
      <c r="AA155" s="1" t="s">
        <v>786</v>
      </c>
      <c r="AB155" s="1"/>
      <c r="AC155" s="1"/>
      <c r="AD155" s="1"/>
      <c r="AE155" s="1"/>
      <c r="AF155" s="1" t="s">
        <v>787</v>
      </c>
      <c r="AG155" s="2" t="str">
        <f>"1551522306"</f>
        <v>1551522306</v>
      </c>
      <c r="AH155" s="2" t="str">
        <f>"9781551522302"</f>
        <v>9781551522302</v>
      </c>
      <c r="AI155" s="1">
        <v>0.0</v>
      </c>
      <c r="AJ155" s="1">
        <v>4.28</v>
      </c>
      <c r="AK155" s="1" t="s">
        <v>788</v>
      </c>
      <c r="AL155" s="1" t="s">
        <v>28</v>
      </c>
      <c r="AM155" s="1">
        <v>288.0</v>
      </c>
      <c r="AN155" s="1">
        <v>2007.0</v>
      </c>
      <c r="AO155" s="1">
        <v>1975.0</v>
      </c>
      <c r="AQ155" s="3">
        <v>43926.0</v>
      </c>
      <c r="AR155" s="1" t="s">
        <v>716</v>
      </c>
      <c r="AS155" s="1" t="s">
        <v>789</v>
      </c>
      <c r="AT155" s="1" t="s">
        <v>31</v>
      </c>
      <c r="AX155" s="1">
        <v>0.0</v>
      </c>
      <c r="AY155" s="1">
        <v>0.0</v>
      </c>
    </row>
    <row r="156" spans="20:51" ht="15.75" hidden="1">
      <c r="T156" s="1">
        <v>2.5429331E7</v>
      </c>
      <c r="U156" s="1"/>
      <c r="V156" s="1"/>
      <c r="W156" s="1"/>
      <c r="X156" s="1"/>
      <c r="Y156" s="1" t="s">
        <v>790</v>
      </c>
      <c r="Z156" s="1" t="s">
        <v>791</v>
      </c>
      <c r="AA156" s="1" t="s">
        <v>792</v>
      </c>
      <c r="AB156" s="1"/>
      <c r="AC156" s="1"/>
      <c r="AD156" s="1"/>
      <c r="AE156" s="1"/>
      <c r="AG156" s="2" t="str">
        <f t="shared" si="9" ref="AG156:AH156">""</f>
        <v/>
      </c>
      <c r="AH156" s="2" t="str">
        <f t="shared" si="9"/>
        <v/>
      </c>
      <c r="AI156" s="1">
        <v>0.0</v>
      </c>
      <c r="AJ156" s="1">
        <v>4.5</v>
      </c>
      <c r="AK156" s="1" t="s">
        <v>793</v>
      </c>
      <c r="AM156" s="1">
        <v>20.0</v>
      </c>
      <c r="AN156" s="1">
        <v>2015.0</v>
      </c>
      <c r="AO156" s="1">
        <v>2015.0</v>
      </c>
      <c r="AQ156" s="3">
        <v>43952.0</v>
      </c>
      <c r="AR156" s="1" t="s">
        <v>743</v>
      </c>
      <c r="AS156" s="1" t="s">
        <v>794</v>
      </c>
      <c r="AT156" s="1" t="s">
        <v>31</v>
      </c>
      <c r="AX156" s="1">
        <v>0.0</v>
      </c>
      <c r="AY156" s="1">
        <v>0.0</v>
      </c>
    </row>
    <row r="157" spans="20:51" ht="15.75" hidden="1">
      <c r="T157" s="1">
        <v>5.5773286E7</v>
      </c>
      <c r="U157" s="1"/>
      <c r="V157" s="1"/>
      <c r="W157" s="1"/>
      <c r="X157" s="1"/>
      <c r="Y157" s="1" t="s">
        <v>795</v>
      </c>
      <c r="Z157" s="1" t="s">
        <v>796</v>
      </c>
      <c r="AA157" s="1" t="s">
        <v>797</v>
      </c>
      <c r="AB157" s="1"/>
      <c r="AC157" s="1"/>
      <c r="AD157" s="1"/>
      <c r="AE157" s="1"/>
      <c r="AF157" s="1" t="s">
        <v>798</v>
      </c>
      <c r="AG157" s="2" t="str">
        <f t="shared" si="10" ref="AG157:AH157">""</f>
        <v/>
      </c>
      <c r="AH157" s="2" t="str">
        <f t="shared" si="10"/>
        <v/>
      </c>
      <c r="AI157" s="1">
        <v>0.0</v>
      </c>
      <c r="AJ157" s="1">
        <v>4.73</v>
      </c>
      <c r="AK157" s="1" t="s">
        <v>799</v>
      </c>
      <c r="AN157" s="1">
        <v>2020.0</v>
      </c>
      <c r="AO157" s="1">
        <v>2020.0</v>
      </c>
      <c r="AQ157" s="4">
        <v>44131.0</v>
      </c>
      <c r="AR157" s="1" t="s">
        <v>800</v>
      </c>
      <c r="AS157" s="1" t="s">
        <v>801</v>
      </c>
      <c r="AT157" s="1" t="s">
        <v>31</v>
      </c>
      <c r="AX157" s="1">
        <v>0.0</v>
      </c>
      <c r="AY157" s="1">
        <v>0.0</v>
      </c>
    </row>
    <row r="158" spans="20:51" ht="15.75" hidden="1">
      <c r="T158" s="1">
        <v>1098368.0</v>
      </c>
      <c r="U158" s="1"/>
      <c r="V158" s="1"/>
      <c r="W158" s="1"/>
      <c r="X158" s="1"/>
      <c r="Y158" s="1" t="s">
        <v>802</v>
      </c>
      <c r="Z158" s="1" t="s">
        <v>803</v>
      </c>
      <c r="AA158" s="1" t="s">
        <v>804</v>
      </c>
      <c r="AB158" s="1"/>
      <c r="AC158" s="1"/>
      <c r="AD158" s="1"/>
      <c r="AE158" s="1"/>
      <c r="AG158" s="2" t="str">
        <f>"0415223768"</f>
        <v>0415223768</v>
      </c>
      <c r="AH158" s="2" t="str">
        <f>"9780415223768"</f>
        <v>9780415223768</v>
      </c>
      <c r="AI158" s="1">
        <v>0.0</v>
      </c>
      <c r="AJ158" s="1">
        <v>3.67</v>
      </c>
      <c r="AK158" s="1" t="s">
        <v>132</v>
      </c>
      <c r="AL158" s="1" t="s">
        <v>28</v>
      </c>
      <c r="AN158" s="1">
        <v>2001.0</v>
      </c>
      <c r="AO158" s="1">
        <v>2001.0</v>
      </c>
      <c r="AQ158" s="3">
        <v>43926.0</v>
      </c>
      <c r="AR158" s="1" t="s">
        <v>693</v>
      </c>
      <c r="AS158" s="1" t="s">
        <v>805</v>
      </c>
      <c r="AT158" s="1" t="s">
        <v>31</v>
      </c>
      <c r="AX158" s="1">
        <v>0.0</v>
      </c>
      <c r="AY158" s="1">
        <v>0.0</v>
      </c>
    </row>
    <row r="159" spans="20:51" ht="15.75">
      <c r="T159" s="1">
        <v>271487.0</v>
      </c>
      <c r="U159" s="1"/>
      <c r="V159" s="1"/>
      <c r="W159" s="1"/>
      <c r="X159" s="1"/>
      <c r="Y159" s="1" t="s">
        <v>806</v>
      </c>
      <c r="Z159" s="1" t="s">
        <v>807</v>
      </c>
      <c r="AA159" s="1" t="s">
        <v>808</v>
      </c>
      <c r="AB159" s="1"/>
      <c r="AC159" s="1"/>
      <c r="AD159" s="1"/>
      <c r="AE159" s="1"/>
      <c r="AG159" s="2" t="str">
        <f>"015601226X"</f>
        <v>015601226X</v>
      </c>
      <c r="AH159" s="2" t="str">
        <f>"9780156012263"</f>
        <v>9780156012263</v>
      </c>
      <c r="AI159" s="1">
        <v>0.0</v>
      </c>
      <c r="AJ159" s="1">
        <v>3.91</v>
      </c>
      <c r="AK159" s="1" t="s">
        <v>809</v>
      </c>
      <c r="AL159" s="1" t="s">
        <v>28</v>
      </c>
      <c r="AM159" s="1">
        <v>565.0</v>
      </c>
      <c r="AN159" s="1">
        <v>2003.0</v>
      </c>
      <c r="AO159" s="1">
        <v>2001.0</v>
      </c>
      <c r="AQ159" s="3">
        <v>43922.0</v>
      </c>
      <c r="AR159" s="1" t="s">
        <v>716</v>
      </c>
      <c r="AS159" s="1" t="s">
        <v>810</v>
      </c>
      <c r="AT159" s="1" t="s">
        <v>31</v>
      </c>
      <c r="AX159" s="1">
        <v>0.0</v>
      </c>
      <c r="AY159" s="1">
        <v>0.0</v>
      </c>
    </row>
    <row r="160" spans="20:51" ht="15.75" hidden="1">
      <c r="T160" s="1">
        <v>3.5721123E7</v>
      </c>
      <c r="U160" s="1"/>
      <c r="V160" s="1"/>
      <c r="W160" s="1"/>
      <c r="X160" s="1"/>
      <c r="Y160" s="1" t="s">
        <v>811</v>
      </c>
      <c r="Z160" s="1" t="s">
        <v>812</v>
      </c>
      <c r="AA160" s="1" t="s">
        <v>813</v>
      </c>
      <c r="AB160" s="1"/>
      <c r="AC160" s="1"/>
      <c r="AD160" s="1"/>
      <c r="AE160" s="1"/>
      <c r="AG160" s="2" t="str">
        <f>"1328764524"</f>
        <v>1328764524</v>
      </c>
      <c r="AH160" s="2" t="str">
        <f>"9781328764522"</f>
        <v>9781328764522</v>
      </c>
      <c r="AI160" s="1">
        <v>4.0</v>
      </c>
      <c r="AJ160" s="1">
        <v>4.41</v>
      </c>
      <c r="AK160" s="1" t="s">
        <v>403</v>
      </c>
      <c r="AL160" s="1" t="s">
        <v>28</v>
      </c>
      <c r="AM160" s="1">
        <v>277.0</v>
      </c>
      <c r="AN160" s="1">
        <v>2018.0</v>
      </c>
      <c r="AO160" s="1">
        <v>2018.0</v>
      </c>
      <c r="AP160" s="3">
        <v>43932.0</v>
      </c>
      <c r="AQ160" s="3">
        <v>43919.0</v>
      </c>
      <c r="AR160" s="1" t="s">
        <v>814</v>
      </c>
      <c r="AS160" s="1" t="s">
        <v>815</v>
      </c>
      <c r="AT160" s="1" t="s">
        <v>127</v>
      </c>
      <c r="AX160" s="1">
        <v>1.0</v>
      </c>
      <c r="AY160" s="1">
        <v>0.0</v>
      </c>
    </row>
    <row r="161" spans="20:51" ht="15.75" hidden="1">
      <c r="T161" s="1">
        <v>200686.0</v>
      </c>
      <c r="U161" s="1"/>
      <c r="V161" s="1"/>
      <c r="W161" s="1"/>
      <c r="X161" s="1"/>
      <c r="Y161" s="1" t="s">
        <v>816</v>
      </c>
      <c r="Z161" s="1" t="s">
        <v>817</v>
      </c>
      <c r="AA161" s="1" t="s">
        <v>818</v>
      </c>
      <c r="AB161" s="1"/>
      <c r="AC161" s="1"/>
      <c r="AD161" s="1"/>
      <c r="AE161" s="1"/>
      <c r="AF161" s="1" t="s">
        <v>819</v>
      </c>
      <c r="AG161" s="2" t="str">
        <f>"0394508211"</f>
        <v>0394508211</v>
      </c>
      <c r="AH161" s="2" t="str">
        <f>"9780394508214"</f>
        <v>9780394508214</v>
      </c>
      <c r="AI161" s="1">
        <v>0.0</v>
      </c>
      <c r="AJ161" s="1">
        <v>3.77</v>
      </c>
      <c r="AK161" s="1" t="s">
        <v>820</v>
      </c>
      <c r="AL161" s="1" t="s">
        <v>28</v>
      </c>
      <c r="AM161" s="1">
        <v>219.0</v>
      </c>
      <c r="AN161" s="1">
        <v>1980.0</v>
      </c>
      <c r="AO161" s="1">
        <v>1978.0</v>
      </c>
      <c r="AQ161" s="4">
        <v>43423.0</v>
      </c>
      <c r="AR161" s="1" t="s">
        <v>821</v>
      </c>
      <c r="AS161" s="1" t="s">
        <v>822</v>
      </c>
      <c r="AT161" s="1" t="s">
        <v>31</v>
      </c>
      <c r="AX161" s="1">
        <v>0.0</v>
      </c>
      <c r="AY161" s="1">
        <v>0.0</v>
      </c>
    </row>
    <row r="162" spans="20:51" ht="15.75">
      <c r="T162" s="1">
        <v>6016851.0</v>
      </c>
      <c r="U162" s="1"/>
      <c r="V162" s="1"/>
      <c r="W162" s="1"/>
      <c r="X162" s="1"/>
      <c r="Y162" s="1" t="s">
        <v>823</v>
      </c>
      <c r="Z162" s="1" t="s">
        <v>824</v>
      </c>
      <c r="AA162" s="1" t="s">
        <v>825</v>
      </c>
      <c r="AB162" s="1"/>
      <c r="AC162" s="1"/>
      <c r="AD162" s="1"/>
      <c r="AE162" s="1"/>
      <c r="AG162" s="2" t="str">
        <f>"1595691030"</f>
        <v>1595691030</v>
      </c>
      <c r="AH162" s="2" t="str">
        <f>"9781595691033"</f>
        <v>9781595691033</v>
      </c>
      <c r="AI162" s="1">
        <v>0.0</v>
      </c>
      <c r="AJ162" s="1">
        <v>3.69</v>
      </c>
      <c r="AK162" s="1" t="s">
        <v>826</v>
      </c>
      <c r="AL162" s="1" t="s">
        <v>28</v>
      </c>
      <c r="AM162" s="1">
        <v>192.0</v>
      </c>
      <c r="AN162" s="1">
        <v>2008.0</v>
      </c>
      <c r="AO162" s="1">
        <v>1965.0</v>
      </c>
      <c r="AQ162" s="3">
        <v>43926.0</v>
      </c>
      <c r="AR162" s="1" t="s">
        <v>716</v>
      </c>
      <c r="AS162" s="1" t="s">
        <v>827</v>
      </c>
      <c r="AT162" s="1" t="s">
        <v>31</v>
      </c>
      <c r="AX162" s="1">
        <v>0.0</v>
      </c>
      <c r="AY162" s="1">
        <v>0.0</v>
      </c>
    </row>
    <row r="163" spans="20:51" ht="15.75" hidden="1">
      <c r="T163" s="1">
        <v>1344316.0</v>
      </c>
      <c r="U163" s="1"/>
      <c r="V163" s="1"/>
      <c r="W163" s="1"/>
      <c r="X163" s="1"/>
      <c r="Y163" s="1" t="s">
        <v>828</v>
      </c>
      <c r="Z163" s="1" t="s">
        <v>829</v>
      </c>
      <c r="AA163" s="1" t="s">
        <v>830</v>
      </c>
      <c r="AB163" s="1"/>
      <c r="AC163" s="1"/>
      <c r="AD163" s="1"/>
      <c r="AE163" s="1"/>
      <c r="AG163" s="2" t="str">
        <f>"080707957X"</f>
        <v>080707957X</v>
      </c>
      <c r="AH163" s="2" t="str">
        <f>"9780807079577"</f>
        <v>9780807079577</v>
      </c>
      <c r="AI163" s="1">
        <v>0.0</v>
      </c>
      <c r="AJ163" s="1">
        <v>3.9</v>
      </c>
      <c r="AK163" s="1" t="s">
        <v>831</v>
      </c>
      <c r="AL163" s="1" t="s">
        <v>28</v>
      </c>
      <c r="AM163" s="1">
        <v>264.0</v>
      </c>
      <c r="AN163" s="1">
        <v>2004.0</v>
      </c>
      <c r="AO163" s="1">
        <v>2004.0</v>
      </c>
      <c r="AQ163" s="3">
        <v>43046.0</v>
      </c>
      <c r="AR163" s="1" t="s">
        <v>693</v>
      </c>
      <c r="AS163" s="1" t="s">
        <v>832</v>
      </c>
      <c r="AT163" s="1" t="s">
        <v>31</v>
      </c>
      <c r="AX163" s="1">
        <v>0.0</v>
      </c>
      <c r="AY163" s="1">
        <v>0.0</v>
      </c>
    </row>
    <row r="164" spans="20:51" ht="15.75" hidden="1">
      <c r="T164" s="1">
        <v>459733.0</v>
      </c>
      <c r="U164" s="1"/>
      <c r="V164" s="1"/>
      <c r="W164" s="1"/>
      <c r="X164" s="1"/>
      <c r="Y164" s="1" t="s">
        <v>833</v>
      </c>
      <c r="Z164" s="1" t="s">
        <v>834</v>
      </c>
      <c r="AA164" s="1" t="s">
        <v>835</v>
      </c>
      <c r="AB164" s="1"/>
      <c r="AC164" s="1"/>
      <c r="AD164" s="1"/>
      <c r="AE164" s="1"/>
      <c r="AF164" s="1" t="s">
        <v>836</v>
      </c>
      <c r="AG164" s="2" t="str">
        <f>"156024724X"</f>
        <v>156024724X</v>
      </c>
      <c r="AH164" s="2" t="str">
        <f>"9781560247241"</f>
        <v>9781560247241</v>
      </c>
      <c r="AI164" s="1">
        <v>0.0</v>
      </c>
      <c r="AJ164" s="1">
        <v>5.0</v>
      </c>
      <c r="AK164" s="1" t="s">
        <v>132</v>
      </c>
      <c r="AL164" s="1" t="s">
        <v>41</v>
      </c>
      <c r="AM164" s="1">
        <v>408.0</v>
      </c>
      <c r="AN164" s="1">
        <v>1995.0</v>
      </c>
      <c r="AO164" s="1">
        <v>1995.0</v>
      </c>
      <c r="AQ164" s="3">
        <v>43046.0</v>
      </c>
      <c r="AR164" s="1" t="s">
        <v>711</v>
      </c>
      <c r="AS164" s="1" t="s">
        <v>837</v>
      </c>
      <c r="AT164" s="1" t="s">
        <v>31</v>
      </c>
      <c r="AX164" s="1">
        <v>0.0</v>
      </c>
      <c r="AY164" s="1">
        <v>0.0</v>
      </c>
    </row>
    <row r="165" spans="20:51" ht="15.75" hidden="1">
      <c r="T165" s="1">
        <v>3.1573608E7</v>
      </c>
      <c r="U165" s="1"/>
      <c r="V165" s="1"/>
      <c r="W165" s="1"/>
      <c r="X165" s="1"/>
      <c r="Y165" s="1" t="s">
        <v>838</v>
      </c>
      <c r="Z165" s="1" t="s">
        <v>839</v>
      </c>
      <c r="AA165" s="1" t="s">
        <v>840</v>
      </c>
      <c r="AB165" s="1"/>
      <c r="AC165" s="1"/>
      <c r="AD165" s="1"/>
      <c r="AE165" s="1"/>
      <c r="AF165" s="1" t="s">
        <v>841</v>
      </c>
      <c r="AG165" s="2" t="str">
        <f>"0745399525"</f>
        <v>0745399525</v>
      </c>
      <c r="AH165" s="2" t="str">
        <f>"9780745399522"</f>
        <v>9780745399522</v>
      </c>
      <c r="AI165" s="1">
        <v>0.0</v>
      </c>
      <c r="AJ165" s="1">
        <v>4.0</v>
      </c>
      <c r="AK165" s="1" t="s">
        <v>842</v>
      </c>
      <c r="AL165" s="1" t="s">
        <v>41</v>
      </c>
      <c r="AM165" s="1">
        <v>272.0</v>
      </c>
      <c r="AN165" s="1">
        <v>2018.0</v>
      </c>
      <c r="AO165" s="1">
        <v>1977.0</v>
      </c>
      <c r="AQ165" s="3">
        <v>43139.0</v>
      </c>
      <c r="AR165" s="1" t="s">
        <v>693</v>
      </c>
      <c r="AS165" s="1" t="s">
        <v>843</v>
      </c>
      <c r="AT165" s="1" t="s">
        <v>31</v>
      </c>
      <c r="AX165" s="1">
        <v>0.0</v>
      </c>
      <c r="AY165" s="1">
        <v>0.0</v>
      </c>
    </row>
    <row r="166" spans="20:51" ht="15.75" hidden="1">
      <c r="T166" s="1">
        <v>370065.0</v>
      </c>
      <c r="U166" s="1"/>
      <c r="V166" s="1"/>
      <c r="W166" s="1"/>
      <c r="X166" s="1"/>
      <c r="Y166" s="1" t="s">
        <v>844</v>
      </c>
      <c r="Z166" s="1" t="s">
        <v>845</v>
      </c>
      <c r="AA166" s="1" t="s">
        <v>846</v>
      </c>
      <c r="AB166" s="1"/>
      <c r="AC166" s="1"/>
      <c r="AD166" s="1"/>
      <c r="AE166" s="1"/>
      <c r="AG166" s="2" t="str">
        <f>"0226577600"</f>
        <v>0226577600</v>
      </c>
      <c r="AH166" s="2" t="str">
        <f>"9780226577609"</f>
        <v>9780226577609</v>
      </c>
      <c r="AI166" s="1">
        <v>0.0</v>
      </c>
      <c r="AJ166" s="1">
        <v>3.94</v>
      </c>
      <c r="AK166" s="1" t="s">
        <v>224</v>
      </c>
      <c r="AL166" s="1" t="s">
        <v>28</v>
      </c>
      <c r="AM166" s="1">
        <v>158.0</v>
      </c>
      <c r="AN166" s="1">
        <v>1979.0</v>
      </c>
      <c r="AO166" s="1">
        <v>1972.0</v>
      </c>
      <c r="AQ166" s="4">
        <v>43422.0</v>
      </c>
      <c r="AR166" s="1" t="s">
        <v>693</v>
      </c>
      <c r="AS166" s="1" t="s">
        <v>847</v>
      </c>
      <c r="AT166" s="1" t="s">
        <v>31</v>
      </c>
      <c r="AX166" s="1">
        <v>0.0</v>
      </c>
      <c r="AY166" s="1">
        <v>0.0</v>
      </c>
    </row>
    <row r="167" spans="20:51" ht="15.75">
      <c r="T167" s="1">
        <v>2.565102E7</v>
      </c>
      <c r="U167" s="1"/>
      <c r="V167" s="1"/>
      <c r="W167" s="1"/>
      <c r="X167" s="1"/>
      <c r="Y167" s="1" t="s">
        <v>848</v>
      </c>
      <c r="Z167" s="1" t="s">
        <v>849</v>
      </c>
      <c r="AA167" s="1" t="s">
        <v>850</v>
      </c>
      <c r="AB167" s="1"/>
      <c r="AC167" s="1"/>
      <c r="AD167" s="1"/>
      <c r="AE167" s="1"/>
      <c r="AG167" s="2" t="str">
        <f>"1632863383"</f>
        <v>1632863383</v>
      </c>
      <c r="AH167" s="2" t="str">
        <f>"9781632863386"</f>
        <v>9781632863386</v>
      </c>
      <c r="AI167" s="1">
        <v>0.0</v>
      </c>
      <c r="AJ167" s="1">
        <v>3.72</v>
      </c>
      <c r="AK167" s="1" t="s">
        <v>851</v>
      </c>
      <c r="AL167" s="1" t="s">
        <v>41</v>
      </c>
      <c r="AM167" s="1">
        <v>252.0</v>
      </c>
      <c r="AN167" s="1">
        <v>2016.0</v>
      </c>
      <c r="AO167" s="1">
        <v>2016.0</v>
      </c>
      <c r="AQ167" s="3">
        <v>43139.0</v>
      </c>
      <c r="AR167" s="1" t="s">
        <v>716</v>
      </c>
      <c r="AS167" s="1" t="s">
        <v>852</v>
      </c>
      <c r="AT167" s="1" t="s">
        <v>31</v>
      </c>
      <c r="AX167" s="1">
        <v>0.0</v>
      </c>
      <c r="AY167" s="1">
        <v>0.0</v>
      </c>
    </row>
    <row r="168" spans="20:51" ht="15.75" hidden="1">
      <c r="T168" s="1">
        <v>3.0968235E7</v>
      </c>
      <c r="U168" s="1"/>
      <c r="V168" s="1"/>
      <c r="W168" s="1"/>
      <c r="X168" s="1"/>
      <c r="Y168" s="1" t="s">
        <v>853</v>
      </c>
      <c r="Z168" s="1" t="s">
        <v>854</v>
      </c>
      <c r="AA168" s="1" t="s">
        <v>855</v>
      </c>
      <c r="AB168" s="1"/>
      <c r="AC168" s="1"/>
      <c r="AD168" s="1"/>
      <c r="AE168" s="1"/>
      <c r="AG168" s="2" t="str">
        <f>"0991429869"</f>
        <v>0991429869</v>
      </c>
      <c r="AH168" s="2" t="str">
        <f>"9780991429868"</f>
        <v>9780991429868</v>
      </c>
      <c r="AI168" s="1">
        <v>0.0</v>
      </c>
      <c r="AJ168" s="1">
        <v>4.27</v>
      </c>
      <c r="AK168" s="1" t="s">
        <v>856</v>
      </c>
      <c r="AL168" s="1" t="s">
        <v>28</v>
      </c>
      <c r="AM168" s="1">
        <v>98.0</v>
      </c>
      <c r="AN168" s="1">
        <v>2016.0</v>
      </c>
      <c r="AO168" s="1">
        <v>2016.0</v>
      </c>
      <c r="AQ168" s="3">
        <v>42816.0</v>
      </c>
      <c r="AR168" s="1" t="s">
        <v>693</v>
      </c>
      <c r="AS168" s="1" t="s">
        <v>857</v>
      </c>
      <c r="AT168" s="1" t="s">
        <v>31</v>
      </c>
      <c r="AX168" s="1">
        <v>0.0</v>
      </c>
      <c r="AY168" s="1">
        <v>0.0</v>
      </c>
    </row>
    <row r="169" spans="20:51" ht="15.75" hidden="1">
      <c r="T169" s="1">
        <v>109713.0</v>
      </c>
      <c r="U169" s="1"/>
      <c r="V169" s="1"/>
      <c r="W169" s="1"/>
      <c r="X169" s="1"/>
      <c r="Y169" s="1" t="s">
        <v>858</v>
      </c>
      <c r="Z169" s="1" t="s">
        <v>859</v>
      </c>
      <c r="AA169" s="1" t="s">
        <v>860</v>
      </c>
      <c r="AB169" s="1"/>
      <c r="AC169" s="1"/>
      <c r="AD169" s="1"/>
      <c r="AE169" s="1"/>
      <c r="AG169" s="2" t="str">
        <f>"0802130836"</f>
        <v>0802130836</v>
      </c>
      <c r="AH169" s="2" t="str">
        <f>"9780802130839"</f>
        <v>9780802130839</v>
      </c>
      <c r="AI169" s="1">
        <v>0.0</v>
      </c>
      <c r="AJ169" s="1">
        <v>3.92</v>
      </c>
      <c r="AK169" s="1" t="s">
        <v>861</v>
      </c>
      <c r="AL169" s="1" t="s">
        <v>28</v>
      </c>
      <c r="AM169" s="1">
        <v>400.0</v>
      </c>
      <c r="AN169" s="1">
        <v>1994.0</v>
      </c>
      <c r="AO169" s="1">
        <v>1963.0</v>
      </c>
      <c r="AQ169" s="3">
        <v>42806.0</v>
      </c>
      <c r="AR169" s="1" t="s">
        <v>693</v>
      </c>
      <c r="AS169" s="1" t="s">
        <v>862</v>
      </c>
      <c r="AT169" s="1" t="s">
        <v>31</v>
      </c>
      <c r="AX169" s="1">
        <v>0.0</v>
      </c>
      <c r="AY169" s="1">
        <v>0.0</v>
      </c>
    </row>
    <row r="170" spans="20:51" ht="15.75" hidden="1">
      <c r="T170" s="1">
        <v>503672.0</v>
      </c>
      <c r="U170" s="1"/>
      <c r="V170" s="1"/>
      <c r="W170" s="1"/>
      <c r="X170" s="1"/>
      <c r="Y170" s="1" t="s">
        <v>863</v>
      </c>
      <c r="Z170" s="1" t="s">
        <v>864</v>
      </c>
      <c r="AA170" s="1" t="s">
        <v>865</v>
      </c>
      <c r="AB170" s="1"/>
      <c r="AC170" s="1"/>
      <c r="AD170" s="1"/>
      <c r="AE170" s="1"/>
      <c r="AG170" s="2" t="str">
        <f>"0195126602"</f>
        <v>0195126602</v>
      </c>
      <c r="AH170" s="2" t="str">
        <f>"9780195126600"</f>
        <v>9780195126600</v>
      </c>
      <c r="AI170" s="1">
        <v>0.0</v>
      </c>
      <c r="AJ170" s="1">
        <v>3.96</v>
      </c>
      <c r="AK170" s="1" t="s">
        <v>214</v>
      </c>
      <c r="AL170" s="1" t="s">
        <v>28</v>
      </c>
      <c r="AM170" s="1">
        <v>240.0</v>
      </c>
      <c r="AN170" s="1">
        <v>1998.0</v>
      </c>
      <c r="AO170" s="1">
        <v>1996.0</v>
      </c>
      <c r="AQ170" s="3">
        <v>42647.0</v>
      </c>
      <c r="AR170" s="1" t="s">
        <v>693</v>
      </c>
      <c r="AS170" s="1" t="s">
        <v>866</v>
      </c>
      <c r="AT170" s="1" t="s">
        <v>31</v>
      </c>
      <c r="AX170" s="1">
        <v>0.0</v>
      </c>
      <c r="AY170" s="1">
        <v>0.0</v>
      </c>
    </row>
    <row r="171" spans="20:51" ht="15.75" hidden="1">
      <c r="T171" s="1">
        <v>1295517.0</v>
      </c>
      <c r="U171" s="1"/>
      <c r="V171" s="1"/>
      <c r="W171" s="1"/>
      <c r="X171" s="1"/>
      <c r="Y171" s="1" t="s">
        <v>867</v>
      </c>
      <c r="Z171" s="1" t="s">
        <v>868</v>
      </c>
      <c r="AA171" s="1" t="s">
        <v>869</v>
      </c>
      <c r="AB171" s="1"/>
      <c r="AC171" s="1"/>
      <c r="AD171" s="1"/>
      <c r="AE171" s="1"/>
      <c r="AF171" s="1" t="s">
        <v>870</v>
      </c>
      <c r="AG171" s="2" t="str">
        <f>"0814746950"</f>
        <v>0814746950</v>
      </c>
      <c r="AH171" s="2" t="str">
        <f>"9780814746950"</f>
        <v>9780814746950</v>
      </c>
      <c r="AI171" s="1">
        <v>0.0</v>
      </c>
      <c r="AJ171" s="1">
        <v>3.72</v>
      </c>
      <c r="AK171" s="1" t="s">
        <v>777</v>
      </c>
      <c r="AL171" s="1" t="s">
        <v>28</v>
      </c>
      <c r="AM171" s="1">
        <v>274.0</v>
      </c>
      <c r="AN171" s="1">
        <v>1998.0</v>
      </c>
      <c r="AO171" s="1">
        <v>1988.0</v>
      </c>
      <c r="AQ171" s="4">
        <v>43039.0</v>
      </c>
      <c r="AR171" s="1" t="s">
        <v>693</v>
      </c>
      <c r="AS171" s="1" t="s">
        <v>871</v>
      </c>
      <c r="AT171" s="1" t="s">
        <v>31</v>
      </c>
      <c r="AX171" s="1">
        <v>0.0</v>
      </c>
      <c r="AY171" s="1">
        <v>0.0</v>
      </c>
    </row>
    <row r="172" spans="20:51" ht="15.75" hidden="1">
      <c r="T172" s="1">
        <v>999506.0</v>
      </c>
      <c r="U172" s="1"/>
      <c r="V172" s="1"/>
      <c r="W172" s="1"/>
      <c r="X172" s="1"/>
      <c r="Y172" s="1" t="s">
        <v>872</v>
      </c>
      <c r="Z172" s="1" t="s">
        <v>873</v>
      </c>
      <c r="AA172" s="1" t="s">
        <v>874</v>
      </c>
      <c r="AB172" s="1"/>
      <c r="AC172" s="1"/>
      <c r="AD172" s="1"/>
      <c r="AE172" s="1"/>
      <c r="AG172" s="2" t="str">
        <f>"0674022335"</f>
        <v>0674022335</v>
      </c>
      <c r="AH172" s="2" t="str">
        <f>"9780674022331"</f>
        <v>9780674022331</v>
      </c>
      <c r="AI172" s="1">
        <v>0.0</v>
      </c>
      <c r="AJ172" s="1">
        <v>4.17</v>
      </c>
      <c r="AK172" s="1" t="s">
        <v>875</v>
      </c>
      <c r="AL172" s="1" t="s">
        <v>28</v>
      </c>
      <c r="AM172" s="1">
        <v>648.0</v>
      </c>
      <c r="AN172" s="1">
        <v>2006.0</v>
      </c>
      <c r="AO172" s="1">
        <v>2003.0</v>
      </c>
      <c r="AQ172" s="3">
        <v>42603.0</v>
      </c>
      <c r="AR172" s="1" t="s">
        <v>693</v>
      </c>
      <c r="AS172" s="1" t="s">
        <v>876</v>
      </c>
      <c r="AT172" s="1" t="s">
        <v>31</v>
      </c>
      <c r="AX172" s="1">
        <v>0.0</v>
      </c>
      <c r="AY172" s="1">
        <v>0.0</v>
      </c>
    </row>
    <row r="173" spans="20:51" ht="15.75" hidden="1">
      <c r="T173" s="1">
        <v>1.0065595E7</v>
      </c>
      <c r="U173" s="1"/>
      <c r="V173" s="1"/>
      <c r="W173" s="1"/>
      <c r="X173" s="1"/>
      <c r="Y173" s="1" t="s">
        <v>877</v>
      </c>
      <c r="Z173" s="1" t="s">
        <v>878</v>
      </c>
      <c r="AA173" s="1" t="s">
        <v>879</v>
      </c>
      <c r="AB173" s="1"/>
      <c r="AC173" s="1"/>
      <c r="AD173" s="1"/>
      <c r="AE173" s="1"/>
      <c r="AG173" s="2" t="str">
        <f>"0807044393"</f>
        <v>0807044393</v>
      </c>
      <c r="AH173" s="2" t="str">
        <f>"9780807044391"</f>
        <v>9780807044391</v>
      </c>
      <c r="AI173" s="1">
        <v>0.0</v>
      </c>
      <c r="AJ173" s="1">
        <v>3.87</v>
      </c>
      <c r="AK173" s="1" t="s">
        <v>831</v>
      </c>
      <c r="AL173" s="1" t="s">
        <v>41</v>
      </c>
      <c r="AM173" s="1">
        <v>312.0</v>
      </c>
      <c r="AN173" s="1">
        <v>2011.0</v>
      </c>
      <c r="AO173" s="1">
        <v>2011.0</v>
      </c>
      <c r="AQ173" s="3">
        <v>42603.0</v>
      </c>
      <c r="AR173" s="1" t="s">
        <v>768</v>
      </c>
      <c r="AS173" s="1" t="s">
        <v>880</v>
      </c>
      <c r="AT173" s="1" t="s">
        <v>31</v>
      </c>
      <c r="AX173" s="1">
        <v>0.0</v>
      </c>
      <c r="AY173" s="1">
        <v>0.0</v>
      </c>
    </row>
    <row r="174" spans="20:51" ht="15.75" hidden="1">
      <c r="T174" s="1">
        <v>53003.0</v>
      </c>
      <c r="U174" s="1"/>
      <c r="V174" s="1"/>
      <c r="W174" s="1"/>
      <c r="X174" s="1"/>
      <c r="Y174" s="1" t="s">
        <v>881</v>
      </c>
      <c r="Z174" s="1" t="s">
        <v>882</v>
      </c>
      <c r="AA174" s="1" t="s">
        <v>883</v>
      </c>
      <c r="AB174" s="1"/>
      <c r="AC174" s="1"/>
      <c r="AD174" s="1"/>
      <c r="AE174" s="1"/>
      <c r="AF174" s="1" t="s">
        <v>884</v>
      </c>
      <c r="AG174" s="2" t="str">
        <f>"1596541369"</f>
        <v>1596541369</v>
      </c>
      <c r="AH174" s="2" t="str">
        <f>"9781596541368"</f>
        <v>9781596541368</v>
      </c>
      <c r="AI174" s="1">
        <v>0.0</v>
      </c>
      <c r="AJ174" s="1">
        <v>4.02</v>
      </c>
      <c r="AK174" s="5" t="s">
        <v>885</v>
      </c>
      <c r="AL174" s="1" t="s">
        <v>28</v>
      </c>
      <c r="AM174" s="1">
        <v>216.0</v>
      </c>
      <c r="AN174" s="1">
        <v>2004.0</v>
      </c>
      <c r="AO174" s="1">
        <v>1943.0</v>
      </c>
      <c r="AQ174" s="3">
        <v>42573.0</v>
      </c>
      <c r="AR174" s="1" t="s">
        <v>693</v>
      </c>
      <c r="AS174" s="1" t="s">
        <v>886</v>
      </c>
      <c r="AT174" s="1" t="s">
        <v>31</v>
      </c>
      <c r="AX174" s="1">
        <v>0.0</v>
      </c>
      <c r="AY174" s="1">
        <v>0.0</v>
      </c>
    </row>
    <row r="175" spans="20:51" ht="15.75" hidden="1">
      <c r="T175" s="1">
        <v>1.2651419E7</v>
      </c>
      <c r="U175" s="1"/>
      <c r="V175" s="1"/>
      <c r="W175" s="1"/>
      <c r="X175" s="1"/>
      <c r="Y175" s="1" t="s">
        <v>887</v>
      </c>
      <c r="Z175" s="1" t="s">
        <v>888</v>
      </c>
      <c r="AA175" s="1" t="s">
        <v>889</v>
      </c>
      <c r="AB175" s="1"/>
      <c r="AC175" s="1"/>
      <c r="AD175" s="1"/>
      <c r="AE175" s="1"/>
      <c r="AG175" s="2" t="str">
        <f>"0807001651"</f>
        <v>0807001651</v>
      </c>
      <c r="AH175" s="2" t="str">
        <f>"9780807001653"</f>
        <v>9780807001653</v>
      </c>
      <c r="AI175" s="1">
        <v>0.0</v>
      </c>
      <c r="AJ175" s="1">
        <v>3.94</v>
      </c>
      <c r="AK175" s="1" t="s">
        <v>831</v>
      </c>
      <c r="AL175" s="1" t="s">
        <v>41</v>
      </c>
      <c r="AM175" s="1">
        <v>258.0</v>
      </c>
      <c r="AN175" s="1">
        <v>2012.0</v>
      </c>
      <c r="AO175" s="1">
        <v>2012.0</v>
      </c>
      <c r="AQ175" s="3">
        <v>42559.0</v>
      </c>
      <c r="AR175" s="1" t="s">
        <v>693</v>
      </c>
      <c r="AS175" s="1" t="s">
        <v>890</v>
      </c>
      <c r="AT175" s="1" t="s">
        <v>31</v>
      </c>
      <c r="AX175" s="1">
        <v>0.0</v>
      </c>
      <c r="AY175" s="1">
        <v>0.0</v>
      </c>
    </row>
    <row r="176" spans="20:51" ht="15.75" hidden="1">
      <c r="T176" s="1">
        <v>4.3501412E7</v>
      </c>
      <c r="U176" s="1"/>
      <c r="V176" s="1"/>
      <c r="W176" s="1"/>
      <c r="X176" s="1"/>
      <c r="Y176" s="1" t="s">
        <v>891</v>
      </c>
      <c r="Z176" s="1" t="s">
        <v>755</v>
      </c>
      <c r="AA176" s="1" t="s">
        <v>756</v>
      </c>
      <c r="AB176" s="1"/>
      <c r="AC176" s="1"/>
      <c r="AD176" s="1"/>
      <c r="AE176" s="1"/>
      <c r="AG176" s="2" t="str">
        <f t="shared" si="11" ref="AG176:AH176">""</f>
        <v/>
      </c>
      <c r="AH176" s="2" t="str">
        <f t="shared" si="11"/>
        <v/>
      </c>
      <c r="AI176" s="1">
        <v>0.0</v>
      </c>
      <c r="AJ176" s="1">
        <v>4.29</v>
      </c>
      <c r="AK176" s="1" t="s">
        <v>721</v>
      </c>
      <c r="AL176" s="1" t="s">
        <v>28</v>
      </c>
      <c r="AM176" s="1">
        <v>720.0</v>
      </c>
      <c r="AN176" s="1">
        <v>1992.0</v>
      </c>
      <c r="AO176" s="1">
        <v>1975.0</v>
      </c>
      <c r="AQ176" s="3">
        <v>42544.0</v>
      </c>
      <c r="AR176" s="1" t="s">
        <v>768</v>
      </c>
      <c r="AS176" s="1" t="s">
        <v>892</v>
      </c>
      <c r="AT176" s="1" t="s">
        <v>31</v>
      </c>
      <c r="AX176" s="1">
        <v>0.0</v>
      </c>
      <c r="AY176" s="1">
        <v>0.0</v>
      </c>
    </row>
    <row r="177" spans="20:51" ht="15.75" hidden="1">
      <c r="T177" s="1">
        <v>306941.0</v>
      </c>
      <c r="U177" s="1"/>
      <c r="V177" s="1"/>
      <c r="W177" s="1"/>
      <c r="X177" s="1"/>
      <c r="Y177" s="1" t="s">
        <v>893</v>
      </c>
      <c r="Z177" s="1" t="s">
        <v>894</v>
      </c>
      <c r="AA177" s="1" t="s">
        <v>895</v>
      </c>
      <c r="AB177" s="1"/>
      <c r="AC177" s="1"/>
      <c r="AD177" s="1"/>
      <c r="AE177" s="1"/>
      <c r="AG177" s="2" t="str">
        <f>"0822333694"</f>
        <v>0822333694</v>
      </c>
      <c r="AH177" s="2" t="str">
        <f>"9780822333692"</f>
        <v>9780822333692</v>
      </c>
      <c r="AI177" s="1">
        <v>0.0</v>
      </c>
      <c r="AJ177" s="1">
        <v>3.71</v>
      </c>
      <c r="AK177" s="1" t="s">
        <v>896</v>
      </c>
      <c r="AL177" s="1" t="s">
        <v>28</v>
      </c>
      <c r="AM177" s="1">
        <v>208.0</v>
      </c>
      <c r="AN177" s="1">
        <v>2004.0</v>
      </c>
      <c r="AO177" s="1">
        <v>2004.0</v>
      </c>
      <c r="AQ177" s="3">
        <v>42561.0</v>
      </c>
      <c r="AR177" s="1" t="s">
        <v>693</v>
      </c>
      <c r="AS177" s="1" t="s">
        <v>897</v>
      </c>
      <c r="AT177" s="1" t="s">
        <v>31</v>
      </c>
      <c r="AX177" s="1">
        <v>0.0</v>
      </c>
      <c r="AY177" s="1">
        <v>0.0</v>
      </c>
    </row>
    <row r="178" spans="20:51" ht="15.75" hidden="1">
      <c r="T178" s="1">
        <v>883195.0</v>
      </c>
      <c r="U178" s="1"/>
      <c r="V178" s="1"/>
      <c r="W178" s="1"/>
      <c r="X178" s="1"/>
      <c r="Y178" s="1" t="s">
        <v>898</v>
      </c>
      <c r="Z178" s="1" t="s">
        <v>899</v>
      </c>
      <c r="AA178" s="1" t="s">
        <v>900</v>
      </c>
      <c r="AB178" s="1"/>
      <c r="AC178" s="1"/>
      <c r="AD178" s="1"/>
      <c r="AE178" s="1"/>
      <c r="AG178" s="2" t="str">
        <f>"0241143950"</f>
        <v>0241143950</v>
      </c>
      <c r="AH178" s="2" t="str">
        <f>"9780241143957"</f>
        <v>9780241143957</v>
      </c>
      <c r="AI178" s="1">
        <v>0.0</v>
      </c>
      <c r="AJ178" s="1">
        <v>3.68</v>
      </c>
      <c r="AK178" s="1" t="s">
        <v>901</v>
      </c>
      <c r="AL178" s="1" t="s">
        <v>41</v>
      </c>
      <c r="AM178" s="1">
        <v>207.0</v>
      </c>
      <c r="AN178" s="1">
        <v>2007.0</v>
      </c>
      <c r="AO178" s="1">
        <v>2007.0</v>
      </c>
      <c r="AQ178" s="3">
        <v>42573.0</v>
      </c>
      <c r="AR178" s="1" t="s">
        <v>693</v>
      </c>
      <c r="AS178" s="1" t="s">
        <v>902</v>
      </c>
      <c r="AT178" s="1" t="s">
        <v>31</v>
      </c>
      <c r="AX178" s="1">
        <v>0.0</v>
      </c>
      <c r="AY178" s="1">
        <v>0.0</v>
      </c>
    </row>
    <row r="179" spans="20:51" ht="15.75" hidden="1">
      <c r="T179" s="1">
        <v>1.7571124E7</v>
      </c>
      <c r="U179" s="1"/>
      <c r="V179" s="1"/>
      <c r="W179" s="1"/>
      <c r="X179" s="1"/>
      <c r="Y179" s="1" t="s">
        <v>903</v>
      </c>
      <c r="Z179" s="1" t="s">
        <v>904</v>
      </c>
      <c r="AA179" s="1" t="s">
        <v>905</v>
      </c>
      <c r="AB179" s="1"/>
      <c r="AC179" s="1"/>
      <c r="AD179" s="1"/>
      <c r="AE179" s="1"/>
      <c r="AG179" s="2" t="str">
        <f>"1451661975"</f>
        <v>1451661975</v>
      </c>
      <c r="AH179" s="2" t="str">
        <f>"9781451661972"</f>
        <v>9781451661972</v>
      </c>
      <c r="AI179" s="1">
        <v>0.0</v>
      </c>
      <c r="AJ179" s="1">
        <v>4.23</v>
      </c>
      <c r="AK179" s="1" t="s">
        <v>101</v>
      </c>
      <c r="AL179" s="1" t="s">
        <v>65</v>
      </c>
      <c r="AM179" s="1">
        <v>432.0</v>
      </c>
      <c r="AN179" s="1">
        <v>2014.0</v>
      </c>
      <c r="AO179" s="1">
        <v>2014.0</v>
      </c>
      <c r="AQ179" s="3">
        <v>41667.0</v>
      </c>
      <c r="AR179" s="1" t="s">
        <v>693</v>
      </c>
      <c r="AS179" s="1" t="s">
        <v>906</v>
      </c>
      <c r="AT179" s="1" t="s">
        <v>31</v>
      </c>
      <c r="AX179" s="1">
        <v>0.0</v>
      </c>
      <c r="AY179" s="1">
        <v>0.0</v>
      </c>
    </row>
    <row r="180" spans="20:51" ht="15.75" hidden="1">
      <c r="T180" s="1">
        <v>903861.0</v>
      </c>
      <c r="U180" s="1"/>
      <c r="V180" s="1"/>
      <c r="W180" s="1"/>
      <c r="X180" s="1"/>
      <c r="Y180" s="1" t="s">
        <v>907</v>
      </c>
      <c r="Z180" s="1" t="s">
        <v>908</v>
      </c>
      <c r="AA180" s="1" t="s">
        <v>909</v>
      </c>
      <c r="AB180" s="1"/>
      <c r="AC180" s="1"/>
      <c r="AD180" s="1"/>
      <c r="AE180" s="1"/>
      <c r="AG180" s="2" t="str">
        <f>"0915480018"</f>
        <v>0915480018</v>
      </c>
      <c r="AH180" s="2" t="str">
        <f>"9780915480012"</f>
        <v>9780915480012</v>
      </c>
      <c r="AI180" s="1">
        <v>0.0</v>
      </c>
      <c r="AJ180" s="1">
        <v>4.11</v>
      </c>
      <c r="AK180" s="1" t="s">
        <v>910</v>
      </c>
      <c r="AL180" s="1" t="s">
        <v>28</v>
      </c>
      <c r="AM180" s="1">
        <v>180.0</v>
      </c>
      <c r="AN180" s="1">
        <v>1978.0</v>
      </c>
      <c r="AO180" s="1">
        <v>1978.0</v>
      </c>
      <c r="AQ180" s="3">
        <v>41384.0</v>
      </c>
      <c r="AR180" s="1" t="s">
        <v>693</v>
      </c>
      <c r="AS180" s="1" t="s">
        <v>911</v>
      </c>
      <c r="AT180" s="1" t="s">
        <v>31</v>
      </c>
      <c r="AX180" s="1">
        <v>0.0</v>
      </c>
      <c r="AY180" s="1">
        <v>0.0</v>
      </c>
    </row>
    <row r="181" spans="20:51" ht="15.75" hidden="1">
      <c r="T181" s="1">
        <v>1.7165961E7</v>
      </c>
      <c r="U181" s="1"/>
      <c r="V181" s="1"/>
      <c r="W181" s="1"/>
      <c r="X181" s="1"/>
      <c r="Y181" s="1" t="s">
        <v>912</v>
      </c>
      <c r="Z181" s="1" t="s">
        <v>913</v>
      </c>
      <c r="AA181" s="1" t="s">
        <v>914</v>
      </c>
      <c r="AB181" s="1"/>
      <c r="AC181" s="1"/>
      <c r="AD181" s="1"/>
      <c r="AE181" s="1"/>
      <c r="AG181" s="2" t="str">
        <f>"0544034724"</f>
        <v>0544034724</v>
      </c>
      <c r="AH181" s="2" t="str">
        <f>"9780544034723"</f>
        <v>9780544034723</v>
      </c>
      <c r="AI181" s="1">
        <v>0.0</v>
      </c>
      <c r="AJ181" s="1">
        <v>3.76</v>
      </c>
      <c r="AK181" s="1" t="s">
        <v>915</v>
      </c>
      <c r="AL181" s="1" t="s">
        <v>41</v>
      </c>
      <c r="AM181" s="1">
        <v>256.0</v>
      </c>
      <c r="AN181" s="1">
        <v>2014.0</v>
      </c>
      <c r="AO181" s="1">
        <v>2014.0</v>
      </c>
      <c r="AQ181" s="3">
        <v>41665.0</v>
      </c>
      <c r="AR181" s="1" t="s">
        <v>693</v>
      </c>
      <c r="AS181" s="1" t="s">
        <v>916</v>
      </c>
      <c r="AT181" s="1" t="s">
        <v>31</v>
      </c>
      <c r="AX181" s="1">
        <v>0.0</v>
      </c>
      <c r="AY181" s="1">
        <v>0.0</v>
      </c>
    </row>
    <row r="182" spans="20:51" ht="15.75" hidden="1">
      <c r="T182" s="1">
        <v>4.5688229E7</v>
      </c>
      <c r="U182" s="1"/>
      <c r="V182" s="1"/>
      <c r="W182" s="1"/>
      <c r="X182" s="1"/>
      <c r="Y182" s="1" t="s">
        <v>917</v>
      </c>
      <c r="Z182" s="1" t="s">
        <v>918</v>
      </c>
      <c r="AA182" s="1" t="s">
        <v>919</v>
      </c>
      <c r="AB182" s="1"/>
      <c r="AC182" s="1"/>
      <c r="AD182" s="1"/>
      <c r="AE182" s="1"/>
      <c r="AF182" s="1" t="s">
        <v>920</v>
      </c>
      <c r="AG182" s="2" t="str">
        <f>"1681373637"</f>
        <v>1681373637</v>
      </c>
      <c r="AH182" s="2" t="str">
        <f>"9781681373638"</f>
        <v>9781681373638</v>
      </c>
      <c r="AI182" s="1">
        <v>0.0</v>
      </c>
      <c r="AJ182" s="1">
        <v>3.77</v>
      </c>
      <c r="AK182" s="1" t="s">
        <v>671</v>
      </c>
      <c r="AL182" s="1" t="s">
        <v>28</v>
      </c>
      <c r="AM182" s="1">
        <v>492.0</v>
      </c>
      <c r="AN182" s="1">
        <v>2019.0</v>
      </c>
      <c r="AO182" s="1">
        <v>2019.0</v>
      </c>
      <c r="AQ182" s="3">
        <v>45129.0</v>
      </c>
      <c r="AR182" s="1" t="s">
        <v>921</v>
      </c>
      <c r="AS182" s="1" t="s">
        <v>922</v>
      </c>
      <c r="AT182" s="1" t="s">
        <v>31</v>
      </c>
      <c r="AX182" s="1">
        <v>0.0</v>
      </c>
      <c r="AY182" s="1">
        <v>0.0</v>
      </c>
    </row>
    <row r="183" spans="20:51" ht="15.75" hidden="1">
      <c r="T183" s="1">
        <v>1049299.0</v>
      </c>
      <c r="U183" s="1"/>
      <c r="V183" s="1"/>
      <c r="W183" s="1"/>
      <c r="X183" s="1"/>
      <c r="Y183" s="1" t="s">
        <v>923</v>
      </c>
      <c r="Z183" s="1" t="s">
        <v>924</v>
      </c>
      <c r="AA183" s="1" t="s">
        <v>925</v>
      </c>
      <c r="AB183" s="1"/>
      <c r="AC183" s="1"/>
      <c r="AD183" s="1"/>
      <c r="AE183" s="1"/>
      <c r="AG183" s="2" t="str">
        <f>"1582344639"</f>
        <v>1582344639</v>
      </c>
      <c r="AH183" s="2" t="str">
        <f>"9781582344638"</f>
        <v>9781582344638</v>
      </c>
      <c r="AI183" s="1">
        <v>0.0</v>
      </c>
      <c r="AJ183" s="1">
        <v>4.0</v>
      </c>
      <c r="AK183" s="1" t="s">
        <v>851</v>
      </c>
      <c r="AL183" s="1" t="s">
        <v>41</v>
      </c>
      <c r="AM183" s="1">
        <v>304.0</v>
      </c>
      <c r="AN183" s="1">
        <v>2004.0</v>
      </c>
      <c r="AO183" s="1">
        <v>2004.0</v>
      </c>
      <c r="AQ183" s="3">
        <v>45127.0</v>
      </c>
      <c r="AR183" s="1" t="s">
        <v>921</v>
      </c>
      <c r="AS183" s="1" t="s">
        <v>926</v>
      </c>
      <c r="AT183" s="1" t="s">
        <v>31</v>
      </c>
      <c r="AX183" s="1">
        <v>0.0</v>
      </c>
      <c r="AY183" s="1">
        <v>0.0</v>
      </c>
    </row>
    <row r="184" spans="20:51" ht="15.75" hidden="1">
      <c r="T184" s="1">
        <v>3.2853566E7</v>
      </c>
      <c r="U184" s="1"/>
      <c r="V184" s="1"/>
      <c r="W184" s="1"/>
      <c r="X184" s="1"/>
      <c r="Y184" s="1" t="s">
        <v>927</v>
      </c>
      <c r="Z184" s="1" t="s">
        <v>928</v>
      </c>
      <c r="AA184" s="1" t="s">
        <v>929</v>
      </c>
      <c r="AB184" s="1"/>
      <c r="AC184" s="1"/>
      <c r="AD184" s="1"/>
      <c r="AE184" s="1"/>
      <c r="AG184" s="2" t="str">
        <f t="shared" si="12" ref="AG184:AH184">""</f>
        <v/>
      </c>
      <c r="AH184" s="2" t="str">
        <f t="shared" si="12"/>
        <v/>
      </c>
      <c r="AI184" s="1">
        <v>0.0</v>
      </c>
      <c r="AJ184" s="1">
        <v>4.21</v>
      </c>
      <c r="AK184" s="1" t="s">
        <v>930</v>
      </c>
      <c r="AL184" s="1" t="s">
        <v>28</v>
      </c>
      <c r="AM184" s="1">
        <v>272.0</v>
      </c>
      <c r="AN184" s="1">
        <v>2011.0</v>
      </c>
      <c r="AO184" s="1">
        <v>1988.0</v>
      </c>
      <c r="AQ184" s="3">
        <v>45123.0</v>
      </c>
      <c r="AR184" s="1" t="s">
        <v>921</v>
      </c>
      <c r="AS184" s="1" t="s">
        <v>931</v>
      </c>
      <c r="AT184" s="1" t="s">
        <v>31</v>
      </c>
      <c r="AX184" s="1">
        <v>0.0</v>
      </c>
      <c r="AY184" s="1">
        <v>0.0</v>
      </c>
    </row>
    <row r="185" spans="20:51" ht="15.75" hidden="1">
      <c r="T185" s="1">
        <v>1343403.0</v>
      </c>
      <c r="U185" s="1"/>
      <c r="V185" s="1"/>
      <c r="W185" s="1"/>
      <c r="X185" s="1"/>
      <c r="Y185" s="1" t="s">
        <v>932</v>
      </c>
      <c r="Z185" s="1" t="s">
        <v>933</v>
      </c>
      <c r="AA185" s="1" t="s">
        <v>934</v>
      </c>
      <c r="AB185" s="1"/>
      <c r="AC185" s="1"/>
      <c r="AD185" s="1"/>
      <c r="AE185" s="1"/>
      <c r="AF185" s="1" t="s">
        <v>935</v>
      </c>
      <c r="AG185" s="2" t="str">
        <f>"1416531742"</f>
        <v>1416531742</v>
      </c>
      <c r="AH185" s="2" t="str">
        <f>"9781416531746"</f>
        <v>9781416531746</v>
      </c>
      <c r="AI185" s="1">
        <v>0.0</v>
      </c>
      <c r="AJ185" s="1">
        <v>4.16</v>
      </c>
      <c r="AK185" s="1" t="s">
        <v>936</v>
      </c>
      <c r="AL185" s="1" t="s">
        <v>28</v>
      </c>
      <c r="AM185" s="1">
        <v>552.0</v>
      </c>
      <c r="AN185" s="1">
        <v>2007.0</v>
      </c>
      <c r="AO185" s="1">
        <v>2007.0</v>
      </c>
      <c r="AQ185" s="3">
        <v>45102.0</v>
      </c>
      <c r="AR185" s="1" t="s">
        <v>921</v>
      </c>
      <c r="AS185" s="1" t="s">
        <v>937</v>
      </c>
      <c r="AT185" s="1" t="s">
        <v>31</v>
      </c>
      <c r="AX185" s="1">
        <v>0.0</v>
      </c>
      <c r="AY185" s="1">
        <v>0.0</v>
      </c>
    </row>
    <row r="186" spans="20:51" ht="15.75" hidden="1">
      <c r="T186" s="1">
        <v>6.1212756E7</v>
      </c>
      <c r="U186" s="1"/>
      <c r="V186" s="1"/>
      <c r="W186" s="1"/>
      <c r="X186" s="1"/>
      <c r="Y186" s="1" t="s">
        <v>938</v>
      </c>
      <c r="Z186" s="1" t="s">
        <v>939</v>
      </c>
      <c r="AA186" s="1" t="s">
        <v>940</v>
      </c>
      <c r="AB186" s="1"/>
      <c r="AC186" s="1"/>
      <c r="AD186" s="1"/>
      <c r="AE186" s="1"/>
      <c r="AG186" s="2" t="str">
        <f>"1681377063"</f>
        <v>1681377063</v>
      </c>
      <c r="AH186" s="2" t="str">
        <f>"9781681377063"</f>
        <v>9781681377063</v>
      </c>
      <c r="AI186" s="1">
        <v>0.0</v>
      </c>
      <c r="AJ186" s="1">
        <v>3.87</v>
      </c>
      <c r="AK186" s="1" t="s">
        <v>671</v>
      </c>
      <c r="AL186" s="1" t="s">
        <v>28</v>
      </c>
      <c r="AM186" s="1">
        <v>192.0</v>
      </c>
      <c r="AN186" s="1">
        <v>2022.0</v>
      </c>
      <c r="AO186" s="1">
        <v>2022.0</v>
      </c>
      <c r="AQ186" s="3">
        <v>45102.0</v>
      </c>
      <c r="AR186" s="1" t="s">
        <v>921</v>
      </c>
      <c r="AS186" s="1" t="s">
        <v>941</v>
      </c>
      <c r="AT186" s="1" t="s">
        <v>31</v>
      </c>
      <c r="AX186" s="1">
        <v>0.0</v>
      </c>
      <c r="AY186" s="1">
        <v>0.0</v>
      </c>
    </row>
    <row r="187" spans="20:51" ht="15.75" hidden="1">
      <c r="T187" s="1">
        <v>114809.0</v>
      </c>
      <c r="U187" s="1"/>
      <c r="V187" s="1"/>
      <c r="W187" s="1"/>
      <c r="X187" s="1"/>
      <c r="Y187" s="1" t="s">
        <v>942</v>
      </c>
      <c r="Z187" s="1" t="s">
        <v>943</v>
      </c>
      <c r="AA187" s="1" t="s">
        <v>944</v>
      </c>
      <c r="AB187" s="1"/>
      <c r="AC187" s="1"/>
      <c r="AD187" s="1"/>
      <c r="AE187" s="1"/>
      <c r="AG187" s="2" t="str">
        <f>"0312425325"</f>
        <v>0312425325</v>
      </c>
      <c r="AH187" s="2" t="str">
        <f>"9780312425326"</f>
        <v>9780312425326</v>
      </c>
      <c r="AI187" s="1">
        <v>0.0</v>
      </c>
      <c r="AJ187" s="1">
        <v>4.11</v>
      </c>
      <c r="AK187" s="1" t="s">
        <v>945</v>
      </c>
      <c r="AL187" s="1" t="s">
        <v>28</v>
      </c>
      <c r="AM187" s="1">
        <v>263.0</v>
      </c>
      <c r="AN187" s="1">
        <v>2005.0</v>
      </c>
      <c r="AO187" s="1">
        <v>1998.0</v>
      </c>
      <c r="AQ187" s="3">
        <v>45059.0</v>
      </c>
      <c r="AR187" s="1" t="s">
        <v>921</v>
      </c>
      <c r="AS187" s="1" t="s">
        <v>946</v>
      </c>
      <c r="AT187" s="1" t="s">
        <v>31</v>
      </c>
      <c r="AX187" s="1">
        <v>0.0</v>
      </c>
      <c r="AY187" s="1">
        <v>0.0</v>
      </c>
    </row>
    <row r="188" spans="20:51" ht="15.75" hidden="1">
      <c r="T188" s="1">
        <v>1.8050216E7</v>
      </c>
      <c r="U188" s="1"/>
      <c r="V188" s="1"/>
      <c r="W188" s="1"/>
      <c r="X188" s="1"/>
      <c r="Y188" s="1" t="s">
        <v>947</v>
      </c>
      <c r="Z188" s="1" t="s">
        <v>948</v>
      </c>
      <c r="AA188" s="1" t="s">
        <v>949</v>
      </c>
      <c r="AB188" s="1"/>
      <c r="AC188" s="1"/>
      <c r="AD188" s="1"/>
      <c r="AE188" s="1"/>
      <c r="AG188" s="2" t="str">
        <f>"1590177134"</f>
        <v>1590177134</v>
      </c>
      <c r="AH188" s="2" t="str">
        <f>"9781590177136"</f>
        <v>9781590177136</v>
      </c>
      <c r="AI188" s="1">
        <v>0.0</v>
      </c>
      <c r="AJ188" s="1">
        <v>3.88</v>
      </c>
      <c r="AK188" s="1" t="s">
        <v>671</v>
      </c>
      <c r="AL188" s="1" t="s">
        <v>28</v>
      </c>
      <c r="AM188" s="1">
        <v>432.0</v>
      </c>
      <c r="AN188" s="1">
        <v>2014.0</v>
      </c>
      <c r="AO188" s="1">
        <v>2012.0</v>
      </c>
      <c r="AQ188" s="3">
        <v>45102.0</v>
      </c>
      <c r="AR188" s="1" t="s">
        <v>921</v>
      </c>
      <c r="AS188" s="1" t="s">
        <v>950</v>
      </c>
      <c r="AT188" s="1" t="s">
        <v>31</v>
      </c>
      <c r="AX188" s="1">
        <v>0.0</v>
      </c>
      <c r="AY188" s="1">
        <v>0.0</v>
      </c>
    </row>
    <row r="189" spans="20:51" ht="15.75" hidden="1">
      <c r="T189" s="1">
        <v>438547.0</v>
      </c>
      <c r="U189" s="1"/>
      <c r="V189" s="1"/>
      <c r="W189" s="1"/>
      <c r="X189" s="1"/>
      <c r="Y189" s="1" t="s">
        <v>951</v>
      </c>
      <c r="Z189" s="1" t="s">
        <v>489</v>
      </c>
      <c r="AA189" s="1" t="s">
        <v>490</v>
      </c>
      <c r="AB189" s="1"/>
      <c r="AC189" s="1"/>
      <c r="AD189" s="1"/>
      <c r="AE189" s="1"/>
      <c r="AF189" s="1" t="s">
        <v>952</v>
      </c>
      <c r="AG189" s="2" t="str">
        <f>"0816630984"</f>
        <v>0816630984</v>
      </c>
      <c r="AH189" s="2" t="str">
        <f>"9780816630981"</f>
        <v>9780816630981</v>
      </c>
      <c r="AI189" s="1">
        <v>0.0</v>
      </c>
      <c r="AJ189" s="1">
        <v>3.79</v>
      </c>
      <c r="AK189" s="1" t="s">
        <v>953</v>
      </c>
      <c r="AL189" s="1" t="s">
        <v>41</v>
      </c>
      <c r="AM189" s="1">
        <v>304.0</v>
      </c>
      <c r="AN189" s="1">
        <v>2001.0</v>
      </c>
      <c r="AO189" s="1">
        <v>1991.0</v>
      </c>
      <c r="AQ189" s="3">
        <v>45101.0</v>
      </c>
      <c r="AR189" s="1" t="s">
        <v>921</v>
      </c>
      <c r="AS189" s="1" t="s">
        <v>954</v>
      </c>
      <c r="AT189" s="1" t="s">
        <v>31</v>
      </c>
      <c r="AX189" s="1">
        <v>0.0</v>
      </c>
      <c r="AY189" s="1">
        <v>0.0</v>
      </c>
    </row>
    <row r="190" spans="20:51" ht="15.75" hidden="1">
      <c r="T190" s="1">
        <v>6.1089544E7</v>
      </c>
      <c r="U190" s="1"/>
      <c r="V190" s="1"/>
      <c r="W190" s="1"/>
      <c r="X190" s="1"/>
      <c r="Y190" s="1" t="s">
        <v>955</v>
      </c>
      <c r="Z190" s="1" t="s">
        <v>956</v>
      </c>
      <c r="AA190" s="1" t="s">
        <v>957</v>
      </c>
      <c r="AB190" s="1"/>
      <c r="AC190" s="1"/>
      <c r="AD190" s="1"/>
      <c r="AE190" s="1"/>
      <c r="AG190" s="2" t="str">
        <f>"1324091738"</f>
        <v>1324091738</v>
      </c>
      <c r="AH190" s="2" t="str">
        <f>"9781324091738"</f>
        <v>9781324091738</v>
      </c>
      <c r="AI190" s="1">
        <v>0.0</v>
      </c>
      <c r="AJ190" s="1">
        <v>4.03</v>
      </c>
      <c r="AK190" s="1" t="s">
        <v>958</v>
      </c>
      <c r="AL190" s="1" t="s">
        <v>41</v>
      </c>
      <c r="AM190" s="1">
        <v>240.0</v>
      </c>
      <c r="AN190" s="1">
        <v>2023.0</v>
      </c>
      <c r="AO190" s="1">
        <v>2023.0</v>
      </c>
      <c r="AQ190" s="3">
        <v>45044.0</v>
      </c>
      <c r="AR190" s="1" t="s">
        <v>921</v>
      </c>
      <c r="AS190" s="1" t="s">
        <v>959</v>
      </c>
      <c r="AT190" s="1" t="s">
        <v>31</v>
      </c>
      <c r="AX190" s="1">
        <v>0.0</v>
      </c>
      <c r="AY190" s="1">
        <v>0.0</v>
      </c>
    </row>
    <row r="191" spans="20:51" ht="15.75" hidden="1">
      <c r="T191" s="1">
        <v>6.1685822E7</v>
      </c>
      <c r="U191" s="1"/>
      <c r="V191" s="1"/>
      <c r="W191" s="1"/>
      <c r="X191" s="1"/>
      <c r="Y191" s="1" t="s">
        <v>960</v>
      </c>
      <c r="Z191" s="1" t="s">
        <v>961</v>
      </c>
      <c r="AA191" s="1" t="s">
        <v>962</v>
      </c>
      <c r="AB191" s="1"/>
      <c r="AC191" s="1"/>
      <c r="AD191" s="1"/>
      <c r="AE191" s="1"/>
      <c r="AG191" s="2" t="str">
        <f>"0525655115"</f>
        <v>0525655115</v>
      </c>
      <c r="AH191" s="2" t="str">
        <f>"9780525655114"</f>
        <v>9780525655114</v>
      </c>
      <c r="AI191" s="1">
        <v>0.0</v>
      </c>
      <c r="AJ191" s="1">
        <v>3.9</v>
      </c>
      <c r="AK191" s="1" t="s">
        <v>634</v>
      </c>
      <c r="AL191" s="1" t="s">
        <v>41</v>
      </c>
      <c r="AM191" s="1">
        <v>257.0</v>
      </c>
      <c r="AN191" s="1">
        <v>2023.0</v>
      </c>
      <c r="AO191" s="1">
        <v>2023.0</v>
      </c>
      <c r="AQ191" s="3">
        <v>45096.0</v>
      </c>
      <c r="AR191" s="1" t="s">
        <v>921</v>
      </c>
      <c r="AS191" s="1" t="s">
        <v>963</v>
      </c>
      <c r="AT191" s="1" t="s">
        <v>31</v>
      </c>
      <c r="AX191" s="1">
        <v>0.0</v>
      </c>
      <c r="AY191" s="1">
        <v>0.0</v>
      </c>
    </row>
    <row r="192" spans="20:51" ht="15.75" hidden="1">
      <c r="T192" s="1">
        <v>5.6463363E7</v>
      </c>
      <c r="U192" s="1"/>
      <c r="V192" s="1"/>
      <c r="W192" s="1"/>
      <c r="X192" s="1"/>
      <c r="Y192" s="1" t="s">
        <v>964</v>
      </c>
      <c r="Z192" s="1" t="s">
        <v>965</v>
      </c>
      <c r="AA192" s="1" t="s">
        <v>966</v>
      </c>
      <c r="AB192" s="1"/>
      <c r="AC192" s="1"/>
      <c r="AD192" s="1"/>
      <c r="AE192" s="1"/>
      <c r="AG192" s="2" t="str">
        <f>"0807006564"</f>
        <v>0807006564</v>
      </c>
      <c r="AH192" s="2" t="str">
        <f>"9780807006566"</f>
        <v>9780807006566</v>
      </c>
      <c r="AI192" s="1">
        <v>0.0</v>
      </c>
      <c r="AJ192" s="1">
        <v>4.67</v>
      </c>
      <c r="AK192" s="1" t="s">
        <v>831</v>
      </c>
      <c r="AL192" s="1" t="s">
        <v>28</v>
      </c>
      <c r="AM192" s="1">
        <v>704.0</v>
      </c>
      <c r="AN192" s="1">
        <v>2021.0</v>
      </c>
      <c r="AO192" s="1">
        <v>1985.0</v>
      </c>
      <c r="AQ192" s="3">
        <v>44416.0</v>
      </c>
      <c r="AR192" s="1" t="s">
        <v>921</v>
      </c>
      <c r="AS192" s="1" t="s">
        <v>967</v>
      </c>
      <c r="AT192" s="1" t="s">
        <v>31</v>
      </c>
      <c r="AX192" s="1">
        <v>0.0</v>
      </c>
      <c r="AY192" s="1">
        <v>0.0</v>
      </c>
    </row>
    <row r="193" spans="20:51" ht="15.75" hidden="1">
      <c r="T193" s="1">
        <v>216125.0</v>
      </c>
      <c r="U193" s="1"/>
      <c r="V193" s="1"/>
      <c r="W193" s="1"/>
      <c r="X193" s="1"/>
      <c r="Y193" s="1" t="s">
        <v>968</v>
      </c>
      <c r="Z193" s="1" t="s">
        <v>969</v>
      </c>
      <c r="AA193" s="1" t="s">
        <v>970</v>
      </c>
      <c r="AB193" s="1"/>
      <c r="AC193" s="1"/>
      <c r="AD193" s="1"/>
      <c r="AE193" s="1"/>
      <c r="AG193" s="2" t="str">
        <f>"1555973213"</f>
        <v>1555973213</v>
      </c>
      <c r="AH193" s="2" t="str">
        <f>"9781555973216"</f>
        <v>9781555973216</v>
      </c>
      <c r="AI193" s="1">
        <v>0.0</v>
      </c>
      <c r="AJ193" s="1">
        <v>4.44</v>
      </c>
      <c r="AK193" s="1" t="s">
        <v>971</v>
      </c>
      <c r="AL193" s="1" t="s">
        <v>28</v>
      </c>
      <c r="AM193" s="1">
        <v>276.0</v>
      </c>
      <c r="AN193" s="1">
        <v>2001.0</v>
      </c>
      <c r="AO193" s="1">
        <v>2001.0</v>
      </c>
      <c r="AQ193" s="3">
        <v>43984.0</v>
      </c>
      <c r="AR193" s="1" t="s">
        <v>921</v>
      </c>
      <c r="AS193" s="1" t="s">
        <v>972</v>
      </c>
      <c r="AT193" s="1" t="s">
        <v>31</v>
      </c>
      <c r="AX193" s="1">
        <v>0.0</v>
      </c>
      <c r="AY193" s="1">
        <v>0.0</v>
      </c>
    </row>
    <row r="194" spans="20:51" ht="15.75" hidden="1">
      <c r="T194" s="1">
        <v>5.4112567E7</v>
      </c>
      <c r="U194" s="1"/>
      <c r="V194" s="1"/>
      <c r="W194" s="1"/>
      <c r="X194" s="1"/>
      <c r="Y194" s="1" t="s">
        <v>973</v>
      </c>
      <c r="Z194" s="1" t="s">
        <v>974</v>
      </c>
      <c r="AA194" s="1" t="s">
        <v>975</v>
      </c>
      <c r="AB194" s="1"/>
      <c r="AC194" s="1"/>
      <c r="AD194" s="1"/>
      <c r="AE194" s="1"/>
      <c r="AG194" s="2" t="str">
        <f>"195114239X"</f>
        <v>195114239X</v>
      </c>
      <c r="AH194" s="2" t="str">
        <f>"9781951142391"</f>
        <v>9781951142391</v>
      </c>
      <c r="AI194" s="1">
        <v>0.0</v>
      </c>
      <c r="AJ194" s="1">
        <v>3.81</v>
      </c>
      <c r="AK194" s="1" t="s">
        <v>976</v>
      </c>
      <c r="AL194" s="1" t="s">
        <v>41</v>
      </c>
      <c r="AM194" s="1">
        <v>432.0</v>
      </c>
      <c r="AN194" s="1">
        <v>2021.0</v>
      </c>
      <c r="AO194" s="1">
        <v>2021.0</v>
      </c>
      <c r="AQ194" s="3">
        <v>44216.0</v>
      </c>
      <c r="AR194" s="1" t="s">
        <v>921</v>
      </c>
      <c r="AS194" s="1" t="s">
        <v>977</v>
      </c>
      <c r="AT194" s="1" t="s">
        <v>31</v>
      </c>
      <c r="AX194" s="1">
        <v>0.0</v>
      </c>
      <c r="AY194" s="1">
        <v>0.0</v>
      </c>
    </row>
    <row r="195" spans="20:51" ht="15.75" hidden="1">
      <c r="T195" s="1">
        <v>322929.0</v>
      </c>
      <c r="U195" s="1"/>
      <c r="V195" s="1"/>
      <c r="W195" s="1"/>
      <c r="X195" s="1"/>
      <c r="Y195" s="1" t="s">
        <v>978</v>
      </c>
      <c r="Z195" s="1" t="s">
        <v>979</v>
      </c>
      <c r="AA195" s="1" t="s">
        <v>980</v>
      </c>
      <c r="AB195" s="1"/>
      <c r="AC195" s="1"/>
      <c r="AD195" s="1"/>
      <c r="AE195" s="1"/>
      <c r="AF195" s="1" t="s">
        <v>981</v>
      </c>
      <c r="AG195" s="2" t="str">
        <f>"0918825016"</f>
        <v>0918825016</v>
      </c>
      <c r="AH195" s="2" t="str">
        <f>"9780918825018"</f>
        <v>9780918825018</v>
      </c>
      <c r="AI195" s="1">
        <v>0.0</v>
      </c>
      <c r="AJ195" s="1">
        <v>4.34</v>
      </c>
      <c r="AK195" s="1" t="s">
        <v>982</v>
      </c>
      <c r="AL195" s="1" t="s">
        <v>28</v>
      </c>
      <c r="AM195" s="1">
        <v>576.0</v>
      </c>
      <c r="AN195" s="1">
        <v>2007.0</v>
      </c>
      <c r="AO195" s="1">
        <v>1977.0</v>
      </c>
      <c r="AQ195" s="4">
        <v>43419.0</v>
      </c>
      <c r="AR195" s="1" t="s">
        <v>983</v>
      </c>
      <c r="AS195" s="1" t="s">
        <v>984</v>
      </c>
      <c r="AT195" s="1" t="s">
        <v>31</v>
      </c>
      <c r="AX195" s="1">
        <v>0.0</v>
      </c>
      <c r="AY195" s="1">
        <v>0.0</v>
      </c>
    </row>
    <row r="196" spans="20:51" ht="15.75" hidden="1">
      <c r="T196" s="1">
        <v>4.3126457E7</v>
      </c>
      <c r="U196" s="1"/>
      <c r="V196" s="1"/>
      <c r="W196" s="1"/>
      <c r="X196" s="1"/>
      <c r="Y196" s="1" t="s">
        <v>985</v>
      </c>
      <c r="Z196" s="1" t="s">
        <v>986</v>
      </c>
      <c r="AA196" s="1" t="s">
        <v>987</v>
      </c>
      <c r="AB196" s="1"/>
      <c r="AC196" s="1"/>
      <c r="AD196" s="1"/>
      <c r="AE196" s="1"/>
      <c r="AG196" s="2" t="str">
        <f>"0525510540"</f>
        <v>0525510540</v>
      </c>
      <c r="AH196" s="2" t="str">
        <f>"9780525510543"</f>
        <v>9780525510543</v>
      </c>
      <c r="AI196" s="1">
        <v>0.0</v>
      </c>
      <c r="AJ196" s="1">
        <v>4.06</v>
      </c>
      <c r="AK196" s="1" t="s">
        <v>988</v>
      </c>
      <c r="AL196" s="1" t="s">
        <v>41</v>
      </c>
      <c r="AM196" s="1">
        <v>303.0</v>
      </c>
      <c r="AN196" s="1">
        <v>2019.0</v>
      </c>
      <c r="AO196" s="1">
        <v>2019.0</v>
      </c>
      <c r="AQ196" s="3">
        <v>43921.0</v>
      </c>
      <c r="AR196" s="1" t="s">
        <v>921</v>
      </c>
      <c r="AS196" s="1" t="s">
        <v>989</v>
      </c>
      <c r="AT196" s="1" t="s">
        <v>31</v>
      </c>
      <c r="AX196" s="1">
        <v>0.0</v>
      </c>
      <c r="AY196" s="1">
        <v>0.0</v>
      </c>
    </row>
    <row r="197" spans="20:51" ht="15.75" hidden="1">
      <c r="T197" s="1">
        <v>3.7969722E7</v>
      </c>
      <c r="U197" s="1"/>
      <c r="V197" s="1"/>
      <c r="W197" s="1"/>
      <c r="X197" s="1"/>
      <c r="Y197" s="1" t="s">
        <v>990</v>
      </c>
      <c r="Z197" s="1" t="s">
        <v>991</v>
      </c>
      <c r="AA197" s="1" t="s">
        <v>992</v>
      </c>
      <c r="AB197" s="1"/>
      <c r="AC197" s="1"/>
      <c r="AD197" s="1"/>
      <c r="AE197" s="1"/>
      <c r="AG197" s="2" t="str">
        <f>"0385542887"</f>
        <v>0385542887</v>
      </c>
      <c r="AH197" s="2" t="str">
        <f>"9780385542883"</f>
        <v>9780385542883</v>
      </c>
      <c r="AI197" s="1">
        <v>0.0</v>
      </c>
      <c r="AJ197" s="1">
        <v>3.65</v>
      </c>
      <c r="AK197" s="1" t="s">
        <v>686</v>
      </c>
      <c r="AL197" s="1" t="s">
        <v>41</v>
      </c>
      <c r="AM197" s="1">
        <v>240.0</v>
      </c>
      <c r="AN197" s="1">
        <v>2018.0</v>
      </c>
      <c r="AO197" s="1">
        <v>2018.0</v>
      </c>
      <c r="AQ197" s="3">
        <v>43919.0</v>
      </c>
      <c r="AR197" s="1" t="s">
        <v>921</v>
      </c>
      <c r="AS197" s="1" t="s">
        <v>993</v>
      </c>
      <c r="AT197" s="1" t="s">
        <v>31</v>
      </c>
      <c r="AX197" s="1">
        <v>0.0</v>
      </c>
      <c r="AY197" s="1">
        <v>0.0</v>
      </c>
    </row>
    <row r="198" spans="20:51" ht="15.75" hidden="1">
      <c r="T198" s="1">
        <v>826084.0</v>
      </c>
      <c r="U198" s="1"/>
      <c r="V198" s="1"/>
      <c r="W198" s="1"/>
      <c r="X198" s="1"/>
      <c r="Y198" s="1" t="s">
        <v>994</v>
      </c>
      <c r="Z198" s="1" t="s">
        <v>995</v>
      </c>
      <c r="AA198" s="1" t="s">
        <v>996</v>
      </c>
      <c r="AB198" s="1"/>
      <c r="AC198" s="1"/>
      <c r="AD198" s="1"/>
      <c r="AE198" s="1"/>
      <c r="AF198" s="1" t="s">
        <v>997</v>
      </c>
      <c r="AG198" s="2" t="str">
        <f>"0873488229"</f>
        <v>0873488229</v>
      </c>
      <c r="AH198" s="2" t="str">
        <f>"9780873488228"</f>
        <v>9780873488228</v>
      </c>
      <c r="AI198" s="1">
        <v>0.0</v>
      </c>
      <c r="AJ198" s="1">
        <v>4.09</v>
      </c>
      <c r="AK198" s="1" t="s">
        <v>998</v>
      </c>
      <c r="AL198" s="1" t="s">
        <v>28</v>
      </c>
      <c r="AM198" s="1">
        <v>756.0</v>
      </c>
      <c r="AN198" s="1">
        <v>1978.0</v>
      </c>
      <c r="AO198" s="1">
        <v>1986.0</v>
      </c>
      <c r="AQ198" s="3">
        <v>43969.0</v>
      </c>
      <c r="AR198" s="1" t="s">
        <v>921</v>
      </c>
      <c r="AS198" s="1" t="s">
        <v>999</v>
      </c>
      <c r="AT198" s="1" t="s">
        <v>31</v>
      </c>
      <c r="AX198" s="1">
        <v>0.0</v>
      </c>
      <c r="AY198" s="1">
        <v>0.0</v>
      </c>
    </row>
    <row r="199" spans="20:51" ht="15.75" hidden="1">
      <c r="T199" s="1">
        <v>4.0121987E7</v>
      </c>
      <c r="U199" s="1"/>
      <c r="V199" s="1"/>
      <c r="W199" s="1"/>
      <c r="X199" s="1"/>
      <c r="Y199" s="1" t="s">
        <v>1000</v>
      </c>
      <c r="Z199" s="1" t="s">
        <v>1001</v>
      </c>
      <c r="AA199" s="1" t="s">
        <v>1002</v>
      </c>
      <c r="AB199" s="1"/>
      <c r="AC199" s="1"/>
      <c r="AD199" s="1"/>
      <c r="AE199" s="1"/>
      <c r="AG199" s="2" t="str">
        <f>"0374279497"</f>
        <v>0374279497</v>
      </c>
      <c r="AH199" s="2" t="str">
        <f>"9780374279493"</f>
        <v>9780374279493</v>
      </c>
      <c r="AI199" s="1">
        <v>0.0</v>
      </c>
      <c r="AJ199" s="1">
        <v>3.57</v>
      </c>
      <c r="AK199" s="1" t="s">
        <v>89</v>
      </c>
      <c r="AL199" s="1" t="s">
        <v>41</v>
      </c>
      <c r="AM199" s="1">
        <v>304.0</v>
      </c>
      <c r="AN199" s="1">
        <v>2019.0</v>
      </c>
      <c r="AO199" s="1">
        <v>2019.0</v>
      </c>
      <c r="AQ199" s="3">
        <v>43952.0</v>
      </c>
      <c r="AR199" s="1" t="s">
        <v>921</v>
      </c>
      <c r="AS199" s="1" t="s">
        <v>1003</v>
      </c>
      <c r="AT199" s="1" t="s">
        <v>31</v>
      </c>
      <c r="AX199" s="1">
        <v>0.0</v>
      </c>
      <c r="AY199" s="1">
        <v>0.0</v>
      </c>
    </row>
    <row r="200" spans="20:51" ht="15.75" hidden="1">
      <c r="T200" s="1">
        <v>52373.0</v>
      </c>
      <c r="U200" s="1"/>
      <c r="V200" s="1"/>
      <c r="W200" s="1"/>
      <c r="X200" s="1"/>
      <c r="Y200" s="1" t="s">
        <v>1004</v>
      </c>
      <c r="Z200" s="1" t="s">
        <v>1005</v>
      </c>
      <c r="AA200" s="1" t="s">
        <v>1006</v>
      </c>
      <c r="AB200" s="1"/>
      <c r="AC200" s="1"/>
      <c r="AD200" s="1"/>
      <c r="AE200" s="1"/>
      <c r="AG200" s="2" t="str">
        <f>"0141012374"</f>
        <v>0141012374</v>
      </c>
      <c r="AH200" s="2" t="str">
        <f>"9780141012377"</f>
        <v>9780141012377</v>
      </c>
      <c r="AI200" s="1">
        <v>0.0</v>
      </c>
      <c r="AJ200" s="1">
        <v>4.08</v>
      </c>
      <c r="AK200" s="1" t="s">
        <v>1007</v>
      </c>
      <c r="AL200" s="1" t="s">
        <v>28</v>
      </c>
      <c r="AM200" s="1">
        <v>117.0</v>
      </c>
      <c r="AN200" s="1">
        <v>2004.0</v>
      </c>
      <c r="AO200" s="1">
        <v>2003.0</v>
      </c>
      <c r="AQ200" s="3">
        <v>42822.0</v>
      </c>
      <c r="AR200" s="1" t="s">
        <v>1008</v>
      </c>
      <c r="AS200" s="1" t="s">
        <v>1009</v>
      </c>
      <c r="AT200" s="1" t="s">
        <v>31</v>
      </c>
      <c r="AX200" s="1">
        <v>0.0</v>
      </c>
      <c r="AY200" s="1">
        <v>0.0</v>
      </c>
    </row>
    <row r="201" spans="20:51" ht="15.75">
      <c r="T201" s="1">
        <v>89231.0</v>
      </c>
      <c r="U201" s="1"/>
      <c r="V201" s="1"/>
      <c r="W201" s="1"/>
      <c r="X201" s="1"/>
      <c r="Y201" s="1" t="s">
        <v>1010</v>
      </c>
      <c r="Z201" s="1" t="s">
        <v>1011</v>
      </c>
      <c r="AA201" s="1" t="s">
        <v>1012</v>
      </c>
      <c r="AB201" s="1"/>
      <c r="AC201" s="1"/>
      <c r="AD201" s="1"/>
      <c r="AE201" s="1"/>
      <c r="AG201" s="2" t="str">
        <f>"1400076730"</f>
        <v>1400076730</v>
      </c>
      <c r="AH201" s="2" t="str">
        <f>"9781400076734"</f>
        <v>9781400076734</v>
      </c>
      <c r="AI201" s="1">
        <v>0.0</v>
      </c>
      <c r="AJ201" s="1">
        <v>4.23</v>
      </c>
      <c r="AK201" s="1" t="s">
        <v>83</v>
      </c>
      <c r="AL201" s="1" t="s">
        <v>28</v>
      </c>
      <c r="AM201" s="1">
        <v>336.0</v>
      </c>
      <c r="AN201" s="1">
        <v>2004.0</v>
      </c>
      <c r="AO201" s="1">
        <v>1972.0</v>
      </c>
      <c r="AQ201" s="3">
        <v>45088.0</v>
      </c>
      <c r="AR201" s="1" t="s">
        <v>1013</v>
      </c>
      <c r="AS201" s="1" t="s">
        <v>1014</v>
      </c>
      <c r="AT201" s="1" t="s">
        <v>31</v>
      </c>
      <c r="AX201" s="1">
        <v>0.0</v>
      </c>
      <c r="AY201" s="1">
        <v>0.0</v>
      </c>
    </row>
    <row r="202" spans="20:51" ht="15.75" hidden="1">
      <c r="T202" s="1">
        <v>4.3811348E7</v>
      </c>
      <c r="U202" s="1"/>
      <c r="V202" s="1"/>
      <c r="W202" s="1"/>
      <c r="X202" s="1"/>
      <c r="Y202" s="1" t="s">
        <v>1015</v>
      </c>
      <c r="Z202" s="1" t="s">
        <v>1016</v>
      </c>
      <c r="AA202" s="1" t="s">
        <v>1017</v>
      </c>
      <c r="AB202" s="1"/>
      <c r="AC202" s="1"/>
      <c r="AD202" s="1"/>
      <c r="AE202" s="1"/>
      <c r="AF202" s="1" t="s">
        <v>1018</v>
      </c>
      <c r="AG202" s="2" t="str">
        <f>"0811228959"</f>
        <v>0811228959</v>
      </c>
      <c r="AH202" s="2" t="str">
        <f>"9780811228954"</f>
        <v>9780811228954</v>
      </c>
      <c r="AI202" s="1">
        <v>0.0</v>
      </c>
      <c r="AJ202" s="1">
        <v>3.61</v>
      </c>
      <c r="AK202" s="1" t="s">
        <v>95</v>
      </c>
      <c r="AL202" s="1" t="s">
        <v>41</v>
      </c>
      <c r="AM202" s="1">
        <v>96.0</v>
      </c>
      <c r="AN202" s="1">
        <v>2019.0</v>
      </c>
      <c r="AO202" s="1">
        <v>1983.0</v>
      </c>
      <c r="AQ202" s="3">
        <v>45078.0</v>
      </c>
      <c r="AR202" s="1" t="s">
        <v>1019</v>
      </c>
      <c r="AS202" s="1" t="s">
        <v>1020</v>
      </c>
      <c r="AT202" s="1" t="s">
        <v>31</v>
      </c>
      <c r="AX202" s="1">
        <v>0.0</v>
      </c>
      <c r="AY202" s="1">
        <v>0.0</v>
      </c>
    </row>
    <row r="203" spans="20:51" ht="15.75" hidden="1">
      <c r="T203" s="1">
        <v>264221.0</v>
      </c>
      <c r="U203" s="1"/>
      <c r="V203" s="1"/>
      <c r="W203" s="1"/>
      <c r="X203" s="1"/>
      <c r="Y203" s="1" t="s">
        <v>1021</v>
      </c>
      <c r="Z203" s="1" t="s">
        <v>1022</v>
      </c>
      <c r="AA203" s="1" t="s">
        <v>1023</v>
      </c>
      <c r="AB203" s="1"/>
      <c r="AC203" s="1"/>
      <c r="AD203" s="1"/>
      <c r="AE203" s="1"/>
      <c r="AF203" s="1" t="s">
        <v>1024</v>
      </c>
      <c r="AG203" s="2" t="str">
        <f>"0912647094"</f>
        <v>0912647094</v>
      </c>
      <c r="AH203" s="2" t="str">
        <f>"9780912647098"</f>
        <v>9780912647098</v>
      </c>
      <c r="AI203" s="1">
        <v>0.0</v>
      </c>
      <c r="AJ203" s="1">
        <v>3.35</v>
      </c>
      <c r="AK203" s="1" t="s">
        <v>1025</v>
      </c>
      <c r="AL203" s="1" t="s">
        <v>41</v>
      </c>
      <c r="AM203" s="1">
        <v>439.0</v>
      </c>
      <c r="AN203" s="1">
        <v>1992.0</v>
      </c>
      <c r="AO203" s="1">
        <v>1992.0</v>
      </c>
      <c r="AQ203" s="3">
        <v>44831.0</v>
      </c>
      <c r="AR203" s="1" t="s">
        <v>1019</v>
      </c>
      <c r="AS203" s="1" t="s">
        <v>1026</v>
      </c>
      <c r="AT203" s="1" t="s">
        <v>31</v>
      </c>
      <c r="AX203" s="1">
        <v>0.0</v>
      </c>
      <c r="AY203" s="1">
        <v>0.0</v>
      </c>
    </row>
    <row r="204" spans="20:51" ht="15.75" hidden="1">
      <c r="T204" s="1">
        <v>164006.0</v>
      </c>
      <c r="U204" s="1"/>
      <c r="V204" s="1"/>
      <c r="W204" s="1"/>
      <c r="X204" s="1"/>
      <c r="Y204" s="1" t="s">
        <v>1027</v>
      </c>
      <c r="Z204" s="1" t="s">
        <v>1028</v>
      </c>
      <c r="AA204" s="1" t="s">
        <v>1029</v>
      </c>
      <c r="AB204" s="1"/>
      <c r="AC204" s="1"/>
      <c r="AD204" s="1"/>
      <c r="AE204" s="1"/>
      <c r="AF204" s="1" t="s">
        <v>1030</v>
      </c>
      <c r="AG204" s="2" t="str">
        <f>"0060825197"</f>
        <v>0060825197</v>
      </c>
      <c r="AH204" s="2" t="str">
        <f>"9780060825195"</f>
        <v>9780060825195</v>
      </c>
      <c r="AI204" s="1">
        <v>0.0</v>
      </c>
      <c r="AJ204" s="1">
        <v>4.12</v>
      </c>
      <c r="AK204" s="1" t="s">
        <v>1031</v>
      </c>
      <c r="AL204" s="1" t="s">
        <v>28</v>
      </c>
      <c r="AM204" s="1">
        <v>359.0</v>
      </c>
      <c r="AN204" s="1">
        <v>2005.0</v>
      </c>
      <c r="AO204" s="1">
        <v>1958.0</v>
      </c>
      <c r="AQ204" s="3">
        <v>44237.0</v>
      </c>
      <c r="AR204" s="1" t="s">
        <v>161</v>
      </c>
      <c r="AS204" s="1" t="s">
        <v>1032</v>
      </c>
      <c r="AT204" s="1" t="s">
        <v>31</v>
      </c>
      <c r="AX204" s="1">
        <v>0.0</v>
      </c>
      <c r="AY204" s="1">
        <v>0.0</v>
      </c>
    </row>
    <row r="205" spans="20:51" ht="15.75" hidden="1">
      <c r="T205" s="1">
        <v>151390.0</v>
      </c>
      <c r="U205" s="1"/>
      <c r="V205" s="1"/>
      <c r="W205" s="1"/>
      <c r="X205" s="1"/>
      <c r="Y205" s="1" t="s">
        <v>1033</v>
      </c>
      <c r="Z205" s="1" t="s">
        <v>1034</v>
      </c>
      <c r="AA205" s="1" t="s">
        <v>1035</v>
      </c>
      <c r="AB205" s="1"/>
      <c r="AC205" s="1"/>
      <c r="AD205" s="1"/>
      <c r="AE205" s="1"/>
      <c r="AF205" s="1" t="s">
        <v>1036</v>
      </c>
      <c r="AG205" s="2" t="str">
        <f>"0140448993"</f>
        <v>0140448993</v>
      </c>
      <c r="AH205" s="2" t="str">
        <f>"9780140448993"</f>
        <v>9780140448993</v>
      </c>
      <c r="AI205" s="1">
        <v>0.0</v>
      </c>
      <c r="AJ205" s="1">
        <v>3.73</v>
      </c>
      <c r="AK205" s="1" t="s">
        <v>460</v>
      </c>
      <c r="AL205" s="1" t="s">
        <v>28</v>
      </c>
      <c r="AM205" s="1">
        <v>383.0</v>
      </c>
      <c r="AN205" s="1">
        <v>2003.0</v>
      </c>
      <c r="AO205" s="1">
        <v>1133.0</v>
      </c>
      <c r="AQ205" s="3">
        <v>44808.0</v>
      </c>
      <c r="AR205" s="1" t="s">
        <v>161</v>
      </c>
      <c r="AS205" s="1" t="s">
        <v>1037</v>
      </c>
      <c r="AT205" s="1" t="s">
        <v>31</v>
      </c>
      <c r="AX205" s="1">
        <v>0.0</v>
      </c>
      <c r="AY205" s="1">
        <v>0.0</v>
      </c>
    </row>
    <row r="206" spans="20:51" ht="15.75" hidden="1">
      <c r="T206" s="1">
        <v>3.9948648E7</v>
      </c>
      <c r="U206" s="1"/>
      <c r="V206" s="1"/>
      <c r="W206" s="1"/>
      <c r="X206" s="1"/>
      <c r="Y206" s="1" t="s">
        <v>1038</v>
      </c>
      <c r="Z206" s="1" t="s">
        <v>1039</v>
      </c>
      <c r="AA206" s="1" t="s">
        <v>1040</v>
      </c>
      <c r="AB206" s="1"/>
      <c r="AC206" s="1"/>
      <c r="AD206" s="1"/>
      <c r="AE206" s="1"/>
      <c r="AG206" s="2" t="str">
        <f t="shared" si="13" ref="AG206:AH206">""</f>
        <v/>
      </c>
      <c r="AH206" s="2" t="str">
        <f t="shared" si="13"/>
        <v/>
      </c>
      <c r="AI206" s="1">
        <v>0.0</v>
      </c>
      <c r="AJ206" s="1">
        <v>4.31</v>
      </c>
      <c r="AK206" s="1" t="s">
        <v>58</v>
      </c>
      <c r="AL206" s="1" t="s">
        <v>59</v>
      </c>
      <c r="AM206" s="1">
        <v>62.0</v>
      </c>
      <c r="AN206" s="1">
        <v>2014.0</v>
      </c>
      <c r="AO206" s="1">
        <v>1992.0</v>
      </c>
      <c r="AQ206" s="3">
        <v>44254.0</v>
      </c>
      <c r="AR206" s="1" t="s">
        <v>1019</v>
      </c>
      <c r="AS206" s="1" t="s">
        <v>1041</v>
      </c>
      <c r="AT206" s="1" t="s">
        <v>31</v>
      </c>
      <c r="AX206" s="1">
        <v>0.0</v>
      </c>
      <c r="AY206" s="1">
        <v>0.0</v>
      </c>
    </row>
    <row r="207" spans="20:51" ht="15.75" hidden="1">
      <c r="T207" s="1">
        <v>4.5186565E7</v>
      </c>
      <c r="U207" s="1"/>
      <c r="V207" s="1"/>
      <c r="W207" s="1"/>
      <c r="X207" s="1"/>
      <c r="Y207" s="1" t="s">
        <v>1042</v>
      </c>
      <c r="Z207" s="1" t="s">
        <v>1043</v>
      </c>
      <c r="AA207" s="1" t="s">
        <v>1044</v>
      </c>
      <c r="AB207" s="1"/>
      <c r="AC207" s="1"/>
      <c r="AD207" s="1"/>
      <c r="AE207" s="1"/>
      <c r="AG207" s="2" t="str">
        <f>"0374278016"</f>
        <v>0374278016</v>
      </c>
      <c r="AH207" s="2" t="str">
        <f>"9780374278014"</f>
        <v>9780374278014</v>
      </c>
      <c r="AI207" s="1">
        <v>0.0</v>
      </c>
      <c r="AJ207" s="1">
        <v>3.65</v>
      </c>
      <c r="AK207" s="1" t="s">
        <v>1045</v>
      </c>
      <c r="AL207" s="1" t="s">
        <v>41</v>
      </c>
      <c r="AM207" s="1">
        <v>281.0</v>
      </c>
      <c r="AN207" s="1">
        <v>2020.0</v>
      </c>
      <c r="AO207" s="1">
        <v>2020.0</v>
      </c>
      <c r="AQ207" s="3">
        <v>43999.0</v>
      </c>
      <c r="AR207" s="1" t="s">
        <v>1019</v>
      </c>
      <c r="AS207" s="1" t="s">
        <v>1046</v>
      </c>
      <c r="AT207" s="1" t="s">
        <v>31</v>
      </c>
      <c r="AX207" s="1">
        <v>0.0</v>
      </c>
      <c r="AY207" s="1">
        <v>0.0</v>
      </c>
    </row>
    <row r="208" spans="20:51" ht="15.75" hidden="1">
      <c r="T208" s="1">
        <v>43961.0</v>
      </c>
      <c r="U208" s="1"/>
      <c r="V208" s="1"/>
      <c r="W208" s="1"/>
      <c r="X208" s="1"/>
      <c r="Y208" s="1" t="s">
        <v>1047</v>
      </c>
      <c r="Z208" s="1" t="s">
        <v>1048</v>
      </c>
      <c r="AA208" s="1" t="s">
        <v>1049</v>
      </c>
      <c r="AB208" s="1"/>
      <c r="AC208" s="1"/>
      <c r="AD208" s="1"/>
      <c r="AE208" s="1"/>
      <c r="AF208" s="1" t="s">
        <v>1050</v>
      </c>
      <c r="AG208" s="2" t="str">
        <f>"1573441961"</f>
        <v>1573441961</v>
      </c>
      <c r="AH208" s="2" t="str">
        <f>"9781573441964"</f>
        <v>9781573441964</v>
      </c>
      <c r="AI208" s="1">
        <v>0.0</v>
      </c>
      <c r="AJ208" s="1">
        <v>4.43</v>
      </c>
      <c r="AK208" s="1" t="s">
        <v>1051</v>
      </c>
      <c r="AL208" s="1" t="s">
        <v>28</v>
      </c>
      <c r="AM208" s="1">
        <v>480.0</v>
      </c>
      <c r="AN208" s="1">
        <v>2004.0</v>
      </c>
      <c r="AO208" s="1">
        <v>1926.0</v>
      </c>
      <c r="AQ208" s="3">
        <v>44237.0</v>
      </c>
      <c r="AR208" s="1" t="s">
        <v>1019</v>
      </c>
      <c r="AS208" s="1" t="s">
        <v>1052</v>
      </c>
      <c r="AT208" s="1" t="s">
        <v>31</v>
      </c>
      <c r="AX208" s="1">
        <v>0.0</v>
      </c>
      <c r="AY208" s="1">
        <v>0.0</v>
      </c>
    </row>
    <row r="209" spans="20:51" ht="15.75" hidden="1">
      <c r="T209" s="1">
        <v>361459.0</v>
      </c>
      <c r="U209" s="1"/>
      <c r="V209" s="1"/>
      <c r="W209" s="1"/>
      <c r="X209" s="1"/>
      <c r="Y209" s="1" t="s">
        <v>1053</v>
      </c>
      <c r="Z209" s="1" t="s">
        <v>1054</v>
      </c>
      <c r="AA209" s="1" t="s">
        <v>1055</v>
      </c>
      <c r="AB209" s="1"/>
      <c r="AC209" s="1"/>
      <c r="AD209" s="1"/>
      <c r="AE209" s="1"/>
      <c r="AG209" s="2" t="str">
        <f>"0679763309"</f>
        <v>0679763309</v>
      </c>
      <c r="AH209" s="2" t="str">
        <f>"9780679763307"</f>
        <v>9780679763307</v>
      </c>
      <c r="AI209" s="1">
        <v>0.0</v>
      </c>
      <c r="AJ209" s="1">
        <v>4.05</v>
      </c>
      <c r="AK209" s="1" t="s">
        <v>83</v>
      </c>
      <c r="AL209" s="1" t="s">
        <v>28</v>
      </c>
      <c r="AM209" s="1">
        <v>223.0</v>
      </c>
      <c r="AN209" s="1">
        <v>1996.0</v>
      </c>
      <c r="AO209" s="1">
        <v>1995.0</v>
      </c>
      <c r="AQ209" s="3">
        <v>44238.0</v>
      </c>
      <c r="AR209" s="1" t="s">
        <v>161</v>
      </c>
      <c r="AS209" s="1" t="s">
        <v>1056</v>
      </c>
      <c r="AT209" s="1" t="s">
        <v>31</v>
      </c>
      <c r="AX209" s="1">
        <v>0.0</v>
      </c>
      <c r="AY209" s="1">
        <v>0.0</v>
      </c>
    </row>
    <row r="210" spans="20:51" ht="15.75" hidden="1">
      <c r="T210" s="1">
        <v>657371.0</v>
      </c>
      <c r="U210" s="1"/>
      <c r="V210" s="1"/>
      <c r="W210" s="1"/>
      <c r="X210" s="1"/>
      <c r="Y210" s="1" t="s">
        <v>1057</v>
      </c>
      <c r="Z210" s="1" t="s">
        <v>1058</v>
      </c>
      <c r="AA210" s="1" t="s">
        <v>1059</v>
      </c>
      <c r="AB210" s="1"/>
      <c r="AC210" s="1"/>
      <c r="AD210" s="1"/>
      <c r="AE210" s="1"/>
      <c r="AG210" s="2" t="str">
        <f>"1416913629"</f>
        <v>1416913629</v>
      </c>
      <c r="AH210" s="2" t="str">
        <f>"9781416913627"</f>
        <v>9781416913627</v>
      </c>
      <c r="AI210" s="1">
        <v>0.0</v>
      </c>
      <c r="AJ210" s="1">
        <v>3.97</v>
      </c>
      <c r="AK210" s="1" t="s">
        <v>1060</v>
      </c>
      <c r="AL210" s="1" t="s">
        <v>41</v>
      </c>
      <c r="AM210" s="1">
        <v>336.0</v>
      </c>
      <c r="AN210" s="1">
        <v>2008.0</v>
      </c>
      <c r="AO210" s="1">
        <v>2008.0</v>
      </c>
      <c r="AQ210" s="3">
        <v>41035.0</v>
      </c>
      <c r="AR210" s="1" t="s">
        <v>1019</v>
      </c>
      <c r="AS210" s="1" t="s">
        <v>1061</v>
      </c>
      <c r="AT210" s="1" t="s">
        <v>31</v>
      </c>
      <c r="AX210" s="1">
        <v>0.0</v>
      </c>
      <c r="AY210" s="1">
        <v>0.0</v>
      </c>
    </row>
    <row r="211" spans="20:51" ht="15.75" hidden="1">
      <c r="T211" s="1">
        <v>4069.0</v>
      </c>
      <c r="U211" s="1"/>
      <c r="V211" s="1"/>
      <c r="W211" s="1"/>
      <c r="X211" s="1"/>
      <c r="Y211" s="1" t="s">
        <v>1062</v>
      </c>
      <c r="Z211" s="1" t="s">
        <v>1063</v>
      </c>
      <c r="AA211" s="1" t="s">
        <v>1064</v>
      </c>
      <c r="AB211" s="1"/>
      <c r="AC211" s="1"/>
      <c r="AD211" s="1"/>
      <c r="AE211" s="1"/>
      <c r="AF211" s="1" t="s">
        <v>1065</v>
      </c>
      <c r="AG211" s="2" t="str">
        <f>"080701429X"</f>
        <v>080701429X</v>
      </c>
      <c r="AH211" s="2" t="str">
        <f>"9780807014295"</f>
        <v>9780807014295</v>
      </c>
      <c r="AI211" s="1">
        <v>0.0</v>
      </c>
      <c r="AJ211" s="1">
        <v>4.37</v>
      </c>
      <c r="AK211" s="1" t="s">
        <v>831</v>
      </c>
      <c r="AL211" s="1" t="s">
        <v>28</v>
      </c>
      <c r="AM211" s="1">
        <v>165.0</v>
      </c>
      <c r="AN211" s="1">
        <v>2006.0</v>
      </c>
      <c r="AO211" s="1">
        <v>1959.0</v>
      </c>
      <c r="AQ211" s="3">
        <v>41049.0</v>
      </c>
      <c r="AR211" s="1" t="s">
        <v>1019</v>
      </c>
      <c r="AS211" s="1" t="s">
        <v>1066</v>
      </c>
      <c r="AT211" s="1" t="s">
        <v>31</v>
      </c>
      <c r="AX211" s="1">
        <v>0.0</v>
      </c>
      <c r="AY211" s="1">
        <v>0.0</v>
      </c>
    </row>
    <row r="212" spans="20:51" ht="15.75" hidden="1">
      <c r="T212" s="1">
        <v>241651.0</v>
      </c>
      <c r="U212" s="1"/>
      <c r="V212" s="1"/>
      <c r="W212" s="1"/>
      <c r="X212" s="1"/>
      <c r="Y212" s="1" t="s">
        <v>1067</v>
      </c>
      <c r="Z212" s="1" t="s">
        <v>1068</v>
      </c>
      <c r="AA212" s="1" t="s">
        <v>1069</v>
      </c>
      <c r="AB212" s="1"/>
      <c r="AC212" s="1"/>
      <c r="AD212" s="1"/>
      <c r="AE212" s="1"/>
      <c r="AF212" s="1" t="s">
        <v>1070</v>
      </c>
      <c r="AG212" s="2" t="str">
        <f>"0940322129"</f>
        <v>0940322129</v>
      </c>
      <c r="AH212" s="2" t="str">
        <f>"9780940322127"</f>
        <v>9780940322127</v>
      </c>
      <c r="AI212" s="1">
        <v>0.0</v>
      </c>
      <c r="AJ212" s="1">
        <v>3.88</v>
      </c>
      <c r="AK212" s="1" t="s">
        <v>77</v>
      </c>
      <c r="AL212" s="1" t="s">
        <v>28</v>
      </c>
      <c r="AM212" s="1">
        <v>283.0</v>
      </c>
      <c r="AN212" s="1">
        <v>1999.0</v>
      </c>
      <c r="AO212" s="1">
        <v>1968.0</v>
      </c>
      <c r="AQ212" s="3">
        <v>43972.0</v>
      </c>
      <c r="AR212" s="1" t="s">
        <v>161</v>
      </c>
      <c r="AS212" s="1" t="s">
        <v>1071</v>
      </c>
      <c r="AT212" s="1" t="s">
        <v>31</v>
      </c>
      <c r="AX212" s="1">
        <v>0.0</v>
      </c>
      <c r="AY212" s="1">
        <v>0.0</v>
      </c>
    </row>
    <row r="213" spans="20:51" ht="15.75" hidden="1">
      <c r="T213" s="1">
        <v>81666.0</v>
      </c>
      <c r="U213" s="1"/>
      <c r="V213" s="1"/>
      <c r="W213" s="1"/>
      <c r="X213" s="1"/>
      <c r="Y213" s="1" t="s">
        <v>1072</v>
      </c>
      <c r="Z213" s="1" t="s">
        <v>1073</v>
      </c>
      <c r="AA213" s="1" t="s">
        <v>1074</v>
      </c>
      <c r="AB213" s="1"/>
      <c r="AC213" s="1"/>
      <c r="AD213" s="1"/>
      <c r="AE213" s="1"/>
      <c r="AF213" s="1" t="s">
        <v>1075</v>
      </c>
      <c r="AG213" s="2" t="str">
        <f>"0306814625"</f>
        <v>0306814625</v>
      </c>
      <c r="AH213" s="2" t="str">
        <f>"9780306814624"</f>
        <v>9780306814624</v>
      </c>
      <c r="AI213" s="1">
        <v>0.0</v>
      </c>
      <c r="AJ213" s="1">
        <v>3.9</v>
      </c>
      <c r="AK213" s="1" t="s">
        <v>304</v>
      </c>
      <c r="AL213" s="1" t="s">
        <v>41</v>
      </c>
      <c r="AM213" s="1">
        <v>544.0</v>
      </c>
      <c r="AN213" s="1">
        <v>2006.0</v>
      </c>
      <c r="AO213" s="1">
        <v>2006.0</v>
      </c>
      <c r="AQ213" s="3">
        <v>40978.0</v>
      </c>
      <c r="AR213" s="1" t="s">
        <v>1019</v>
      </c>
      <c r="AS213" s="1" t="s">
        <v>1076</v>
      </c>
      <c r="AT213" s="1" t="s">
        <v>31</v>
      </c>
      <c r="AX213" s="1">
        <v>0.0</v>
      </c>
      <c r="AY213" s="1">
        <v>0.0</v>
      </c>
    </row>
    <row r="214" spans="20:51" ht="15.75" hidden="1">
      <c r="T214" s="1">
        <v>303941.0</v>
      </c>
      <c r="U214" s="1"/>
      <c r="V214" s="1"/>
      <c r="W214" s="1"/>
      <c r="X214" s="1"/>
      <c r="Y214" s="1" t="s">
        <v>1077</v>
      </c>
      <c r="Z214" s="1" t="s">
        <v>1039</v>
      </c>
      <c r="AA214" s="1" t="s">
        <v>1040</v>
      </c>
      <c r="AB214" s="1"/>
      <c r="AC214" s="1"/>
      <c r="AD214" s="1"/>
      <c r="AE214" s="1"/>
      <c r="AF214" s="1" t="s">
        <v>1078</v>
      </c>
      <c r="AG214" s="2" t="str">
        <f>"0802136710"</f>
        <v>0802136710</v>
      </c>
      <c r="AH214" s="2" t="str">
        <f>"9780802136718"</f>
        <v>9780802136718</v>
      </c>
      <c r="AI214" s="1">
        <v>0.0</v>
      </c>
      <c r="AJ214" s="1">
        <v>4.39</v>
      </c>
      <c r="AK214" s="1" t="s">
        <v>35</v>
      </c>
      <c r="AL214" s="1" t="s">
        <v>28</v>
      </c>
      <c r="AM214" s="1">
        <v>287.0</v>
      </c>
      <c r="AN214" s="1">
        <v>2000.0</v>
      </c>
      <c r="AO214" s="1">
        <v>1998.0</v>
      </c>
      <c r="AQ214" s="3">
        <v>43287.0</v>
      </c>
      <c r="AR214" s="1" t="s">
        <v>1019</v>
      </c>
      <c r="AS214" s="1" t="s">
        <v>1079</v>
      </c>
      <c r="AT214" s="1" t="s">
        <v>31</v>
      </c>
      <c r="AX214" s="1">
        <v>0.0</v>
      </c>
      <c r="AY214" s="1">
        <v>0.0</v>
      </c>
    </row>
    <row r="215" spans="20:51" ht="15.75" hidden="1">
      <c r="T215" s="1">
        <v>3.9717947E7</v>
      </c>
      <c r="U215" s="1"/>
      <c r="V215" s="1"/>
      <c r="W215" s="1"/>
      <c r="X215" s="1"/>
      <c r="Y215" s="1" t="s">
        <v>1080</v>
      </c>
      <c r="Z215" s="1" t="s">
        <v>1081</v>
      </c>
      <c r="AA215" s="1" t="s">
        <v>1082</v>
      </c>
      <c r="AB215" s="1"/>
      <c r="AC215" s="1"/>
      <c r="AD215" s="1"/>
      <c r="AE215" s="1"/>
      <c r="AF215" s="1" t="s">
        <v>1083</v>
      </c>
      <c r="AG215" s="2" t="str">
        <f>"1616959835"</f>
        <v>1616959835</v>
      </c>
      <c r="AH215" s="2" t="str">
        <f>"9781616959838"</f>
        <v>9781616959838</v>
      </c>
      <c r="AI215" s="1">
        <v>0.0</v>
      </c>
      <c r="AJ215" s="1">
        <v>3.89</v>
      </c>
      <c r="AK215" s="1" t="s">
        <v>1084</v>
      </c>
      <c r="AL215" s="1" t="s">
        <v>59</v>
      </c>
      <c r="AM215" s="1">
        <v>785.0</v>
      </c>
      <c r="AN215" s="1">
        <v>2018.0</v>
      </c>
      <c r="AO215" s="1">
        <v>2018.0</v>
      </c>
      <c r="AQ215" s="3">
        <v>44310.0</v>
      </c>
      <c r="AR215" s="1" t="s">
        <v>1085</v>
      </c>
      <c r="AS215" s="1" t="s">
        <v>1086</v>
      </c>
      <c r="AT215" s="1" t="s">
        <v>31</v>
      </c>
      <c r="AX215" s="1">
        <v>0.0</v>
      </c>
      <c r="AY215" s="1">
        <v>0.0</v>
      </c>
    </row>
    <row r="216" spans="20:51" ht="15.75" hidden="1">
      <c r="T216" s="1">
        <v>3.6651542E7</v>
      </c>
      <c r="U216" s="1"/>
      <c r="V216" s="1"/>
      <c r="W216" s="1"/>
      <c r="X216" s="1"/>
      <c r="Y216" s="1" t="s">
        <v>1087</v>
      </c>
      <c r="Z216" s="1" t="s">
        <v>1088</v>
      </c>
      <c r="AA216" s="1" t="s">
        <v>1089</v>
      </c>
      <c r="AB216" s="1"/>
      <c r="AC216" s="1"/>
      <c r="AD216" s="1"/>
      <c r="AE216" s="1"/>
      <c r="AF216" s="1" t="s">
        <v>1090</v>
      </c>
      <c r="AG216" s="2" t="str">
        <f>"0198813163"</f>
        <v>0198813163</v>
      </c>
      <c r="AH216" s="2" t="str">
        <f>"9780198813163"</f>
        <v>9780198813163</v>
      </c>
      <c r="AI216" s="1">
        <v>0.0</v>
      </c>
      <c r="AJ216" s="1">
        <v>3.91</v>
      </c>
      <c r="AK216" s="1" t="s">
        <v>214</v>
      </c>
      <c r="AL216" s="1" t="s">
        <v>41</v>
      </c>
      <c r="AM216" s="1">
        <v>389.0</v>
      </c>
      <c r="AN216" s="1">
        <v>2018.0</v>
      </c>
      <c r="AO216" s="1">
        <v>1894.0</v>
      </c>
      <c r="AQ216" s="3">
        <v>44265.0</v>
      </c>
      <c r="AR216" s="1" t="s">
        <v>1085</v>
      </c>
      <c r="AS216" s="1" t="s">
        <v>1091</v>
      </c>
      <c r="AT216" s="1" t="s">
        <v>31</v>
      </c>
      <c r="AX216" s="1">
        <v>0.0</v>
      </c>
      <c r="AY216" s="1">
        <v>0.0</v>
      </c>
    </row>
    <row r="217" spans="20:51" ht="15.75" hidden="1">
      <c r="T217" s="1">
        <v>3.5135343E7</v>
      </c>
      <c r="U217" s="1"/>
      <c r="V217" s="1"/>
      <c r="W217" s="1"/>
      <c r="X217" s="1"/>
      <c r="Y217" s="1" t="s">
        <v>1092</v>
      </c>
      <c r="Z217" s="1" t="s">
        <v>1093</v>
      </c>
      <c r="AA217" s="1" t="s">
        <v>1094</v>
      </c>
      <c r="AB217" s="1"/>
      <c r="AC217" s="1"/>
      <c r="AD217" s="1"/>
      <c r="AE217" s="1"/>
      <c r="AG217" s="2" t="str">
        <f>"0812988639"</f>
        <v>0812988639</v>
      </c>
      <c r="AH217" s="2" t="str">
        <f>"9780812988635"</f>
        <v>9780812988635</v>
      </c>
      <c r="AI217" s="1">
        <v>0.0</v>
      </c>
      <c r="AJ217" s="1">
        <v>3.93</v>
      </c>
      <c r="AK217" s="1" t="s">
        <v>988</v>
      </c>
      <c r="AL217" s="1" t="s">
        <v>41</v>
      </c>
      <c r="AM217" s="1">
        <v>207.0</v>
      </c>
      <c r="AN217" s="1">
        <v>2018.0</v>
      </c>
      <c r="AO217" s="1">
        <v>2018.0</v>
      </c>
      <c r="AQ217" s="3">
        <v>44416.0</v>
      </c>
      <c r="AR217" s="1" t="s">
        <v>1085</v>
      </c>
      <c r="AS217" s="1" t="s">
        <v>1095</v>
      </c>
      <c r="AT217" s="1" t="s">
        <v>31</v>
      </c>
      <c r="AX217" s="1">
        <v>0.0</v>
      </c>
      <c r="AY217" s="1">
        <v>0.0</v>
      </c>
    </row>
    <row r="218" spans="20:51" ht="15.75" hidden="1">
      <c r="T218" s="1">
        <v>114475.0</v>
      </c>
      <c r="U218" s="1"/>
      <c r="V218" s="1"/>
      <c r="W218" s="1"/>
      <c r="X218" s="1"/>
      <c r="Y218" s="1" t="s">
        <v>1096</v>
      </c>
      <c r="Z218" s="1" t="s">
        <v>1097</v>
      </c>
      <c r="AA218" s="1" t="s">
        <v>1098</v>
      </c>
      <c r="AB218" s="1"/>
      <c r="AC218" s="1"/>
      <c r="AD218" s="1"/>
      <c r="AE218" s="1"/>
      <c r="AG218" s="2" t="str">
        <f>"0679722211"</f>
        <v>0679722211</v>
      </c>
      <c r="AH218" s="2" t="str">
        <f>"9780679722212"</f>
        <v>9780679722212</v>
      </c>
      <c r="AI218" s="1">
        <v>0.0</v>
      </c>
      <c r="AJ218" s="1">
        <v>4.05</v>
      </c>
      <c r="AK218" s="1" t="s">
        <v>1099</v>
      </c>
      <c r="AL218" s="1" t="s">
        <v>28</v>
      </c>
      <c r="AM218" s="1">
        <v>230.0</v>
      </c>
      <c r="AN218" s="1">
        <v>1989.0</v>
      </c>
      <c r="AO218" s="1">
        <v>1962.0</v>
      </c>
      <c r="AQ218" s="3">
        <v>44255.0</v>
      </c>
      <c r="AR218" s="1" t="s">
        <v>1085</v>
      </c>
      <c r="AS218" s="1" t="s">
        <v>1100</v>
      </c>
      <c r="AT218" s="1" t="s">
        <v>31</v>
      </c>
      <c r="AX218" s="1">
        <v>0.0</v>
      </c>
      <c r="AY218" s="1">
        <v>0.0</v>
      </c>
    </row>
    <row r="219" spans="20:51" ht="15.75" hidden="1">
      <c r="T219" s="1">
        <v>1.3641208E7</v>
      </c>
      <c r="U219" s="1"/>
      <c r="V219" s="1"/>
      <c r="W219" s="1"/>
      <c r="X219" s="1"/>
      <c r="Y219" s="1" t="s">
        <v>1101</v>
      </c>
      <c r="Z219" s="1" t="s">
        <v>1102</v>
      </c>
      <c r="AA219" s="1" t="s">
        <v>1103</v>
      </c>
      <c r="AB219" s="1"/>
      <c r="AC219" s="1"/>
      <c r="AD219" s="1"/>
      <c r="AE219" s="1"/>
      <c r="AG219" s="2" t="str">
        <f>"0812993802"</f>
        <v>0812993802</v>
      </c>
      <c r="AH219" s="2" t="str">
        <f>"9780812993806"</f>
        <v>9780812993806</v>
      </c>
      <c r="AI219" s="1">
        <v>0.0</v>
      </c>
      <c r="AJ219" s="1">
        <v>3.98</v>
      </c>
      <c r="AK219" s="1" t="s">
        <v>988</v>
      </c>
      <c r="AL219" s="1" t="s">
        <v>41</v>
      </c>
      <c r="AM219" s="1">
        <v>251.0</v>
      </c>
      <c r="AN219" s="1">
        <v>2013.0</v>
      </c>
      <c r="AO219" s="1">
        <v>2013.0</v>
      </c>
      <c r="AQ219" s="3">
        <v>44229.0</v>
      </c>
      <c r="AR219" s="1" t="s">
        <v>1085</v>
      </c>
      <c r="AS219" s="1" t="s">
        <v>1104</v>
      </c>
      <c r="AT219" s="1" t="s">
        <v>31</v>
      </c>
      <c r="AX219" s="1">
        <v>0.0</v>
      </c>
      <c r="AY219" s="1">
        <v>0.0</v>
      </c>
    </row>
    <row r="220" spans="20:51" ht="15.75" hidden="1">
      <c r="T220" s="1">
        <v>2.3197318E7</v>
      </c>
      <c r="U220" s="1"/>
      <c r="V220" s="1"/>
      <c r="W220" s="1"/>
      <c r="X220" s="1"/>
      <c r="Y220" s="1" t="s">
        <v>1105</v>
      </c>
      <c r="Z220" s="1" t="s">
        <v>1106</v>
      </c>
      <c r="AA220" s="1" t="s">
        <v>1107</v>
      </c>
      <c r="AB220" s="1"/>
      <c r="AC220" s="1"/>
      <c r="AD220" s="1"/>
      <c r="AE220" s="1"/>
      <c r="AF220" s="1" t="s">
        <v>1108</v>
      </c>
      <c r="AG220" s="2" t="str">
        <f>"0316378267"</f>
        <v>0316378267</v>
      </c>
      <c r="AH220" s="2" t="str">
        <f>"9780316378260"</f>
        <v>9780316378260</v>
      </c>
      <c r="AI220" s="1">
        <v>0.0</v>
      </c>
      <c r="AJ220" s="1">
        <v>3.84</v>
      </c>
      <c r="AK220" s="1" t="s">
        <v>380</v>
      </c>
      <c r="AL220" s="1" t="s">
        <v>41</v>
      </c>
      <c r="AM220" s="1">
        <v>544.0</v>
      </c>
      <c r="AN220" s="1">
        <v>2015.0</v>
      </c>
      <c r="AO220" s="1">
        <v>1968.0</v>
      </c>
      <c r="AQ220" s="4">
        <v>44157.0</v>
      </c>
      <c r="AR220" s="1" t="s">
        <v>1085</v>
      </c>
      <c r="AS220" s="1" t="s">
        <v>1109</v>
      </c>
      <c r="AT220" s="1" t="s">
        <v>31</v>
      </c>
      <c r="AX220" s="1">
        <v>0.0</v>
      </c>
      <c r="AY220" s="1">
        <v>0.0</v>
      </c>
    </row>
    <row r="221" spans="20:51" ht="15.75" hidden="1">
      <c r="T221" s="1">
        <v>2.566449E7</v>
      </c>
      <c r="U221" s="1"/>
      <c r="V221" s="1"/>
      <c r="W221" s="1"/>
      <c r="X221" s="1"/>
      <c r="Y221" s="1" t="s">
        <v>1110</v>
      </c>
      <c r="Z221" s="1" t="s">
        <v>1111</v>
      </c>
      <c r="AA221" s="1" t="s">
        <v>1112</v>
      </c>
      <c r="AB221" s="1"/>
      <c r="AC221" s="1"/>
      <c r="AD221" s="1"/>
      <c r="AE221" s="1"/>
      <c r="AG221" s="2" t="str">
        <f>"0374293864"</f>
        <v>0374293864</v>
      </c>
      <c r="AH221" s="2" t="str">
        <f>"9780374293864"</f>
        <v>9780374293864</v>
      </c>
      <c r="AI221" s="1">
        <v>0.0</v>
      </c>
      <c r="AJ221" s="1">
        <v>3.39</v>
      </c>
      <c r="AK221" s="1" t="s">
        <v>1113</v>
      </c>
      <c r="AL221" s="1" t="s">
        <v>28</v>
      </c>
      <c r="AM221" s="1">
        <v>208.0</v>
      </c>
      <c r="AN221" s="1">
        <v>2016.0</v>
      </c>
      <c r="AO221" s="1">
        <v>2016.0</v>
      </c>
      <c r="AQ221" s="3">
        <v>44199.0</v>
      </c>
      <c r="AR221" s="1" t="s">
        <v>1085</v>
      </c>
      <c r="AS221" s="1" t="s">
        <v>1114</v>
      </c>
      <c r="AT221" s="1" t="s">
        <v>31</v>
      </c>
      <c r="AX221" s="1">
        <v>0.0</v>
      </c>
      <c r="AY221" s="1">
        <v>0.0</v>
      </c>
    </row>
    <row r="222" spans="20:51" ht="15.75" hidden="1">
      <c r="T222" s="1">
        <v>4.9073851E7</v>
      </c>
      <c r="U222" s="1"/>
      <c r="V222" s="1"/>
      <c r="W222" s="1"/>
      <c r="X222" s="1"/>
      <c r="Y222" s="1" t="s">
        <v>1115</v>
      </c>
      <c r="Z222" s="1" t="s">
        <v>1116</v>
      </c>
      <c r="AA222" s="1" t="s">
        <v>1117</v>
      </c>
      <c r="AB222" s="1"/>
      <c r="AC222" s="1"/>
      <c r="AD222" s="1"/>
      <c r="AE222" s="1"/>
      <c r="AF222" s="1" t="s">
        <v>1118</v>
      </c>
      <c r="AG222" s="2" t="str">
        <f t="shared" si="14" ref="AG222:AH222">""</f>
        <v/>
      </c>
      <c r="AH222" s="2" t="str">
        <f t="shared" si="14"/>
        <v/>
      </c>
      <c r="AI222" s="1">
        <v>0.0</v>
      </c>
      <c r="AJ222" s="1">
        <v>4.0</v>
      </c>
      <c r="AK222" s="1" t="s">
        <v>1119</v>
      </c>
      <c r="AL222" s="1" t="s">
        <v>59</v>
      </c>
      <c r="AM222" s="1">
        <v>320.0</v>
      </c>
      <c r="AN222" s="1">
        <v>2020.0</v>
      </c>
      <c r="AO222" s="1">
        <v>2005.0</v>
      </c>
      <c r="AQ222" s="3">
        <v>44226.0</v>
      </c>
      <c r="AR222" s="1" t="s">
        <v>1085</v>
      </c>
      <c r="AS222" s="1" t="s">
        <v>1120</v>
      </c>
      <c r="AT222" s="1" t="s">
        <v>31</v>
      </c>
      <c r="AX222" s="1">
        <v>0.0</v>
      </c>
      <c r="AY222" s="1">
        <v>0.0</v>
      </c>
    </row>
    <row r="223" spans="20:51" ht="15.75" hidden="1">
      <c r="T223" s="1">
        <v>5.5251789E7</v>
      </c>
      <c r="U223" s="1"/>
      <c r="V223" s="1"/>
      <c r="W223" s="1"/>
      <c r="X223" s="1"/>
      <c r="Y223" s="1" t="s">
        <v>1121</v>
      </c>
      <c r="Z223" s="1" t="s">
        <v>1122</v>
      </c>
      <c r="AA223" s="1" t="s">
        <v>1123</v>
      </c>
      <c r="AB223" s="1"/>
      <c r="AC223" s="1"/>
      <c r="AD223" s="1"/>
      <c r="AE223" s="1"/>
      <c r="AF223" s="1" t="s">
        <v>1124</v>
      </c>
      <c r="AG223" s="2" t="str">
        <f>"1788739884"</f>
        <v>1788739884</v>
      </c>
      <c r="AH223" s="2" t="str">
        <f>"9781788739887"</f>
        <v>9781788739887</v>
      </c>
      <c r="AI223" s="1">
        <v>0.0</v>
      </c>
      <c r="AJ223" s="1">
        <v>3.61</v>
      </c>
      <c r="AK223" s="1" t="s">
        <v>1125</v>
      </c>
      <c r="AL223" s="1" t="s">
        <v>28</v>
      </c>
      <c r="AM223" s="1">
        <v>218.0</v>
      </c>
      <c r="AN223" s="1">
        <v>2021.0</v>
      </c>
      <c r="AO223" s="1">
        <v>2021.0</v>
      </c>
      <c r="AQ223" s="3">
        <v>44216.0</v>
      </c>
      <c r="AR223" s="1" t="s">
        <v>1126</v>
      </c>
      <c r="AS223" s="1" t="s">
        <v>1127</v>
      </c>
      <c r="AT223" s="1" t="s">
        <v>31</v>
      </c>
      <c r="AX223" s="1">
        <v>0.0</v>
      </c>
      <c r="AY223" s="1">
        <v>0.0</v>
      </c>
    </row>
    <row r="224" spans="20:51" ht="15.75" hidden="1">
      <c r="T224" s="1">
        <v>410434.0</v>
      </c>
      <c r="U224" s="1"/>
      <c r="V224" s="1"/>
      <c r="W224" s="1"/>
      <c r="X224" s="1"/>
      <c r="Y224" s="1" t="s">
        <v>1128</v>
      </c>
      <c r="Z224" s="1" t="s">
        <v>1129</v>
      </c>
      <c r="AA224" s="1" t="s">
        <v>1130</v>
      </c>
      <c r="AB224" s="1"/>
      <c r="AC224" s="1"/>
      <c r="AD224" s="1"/>
      <c r="AE224" s="1"/>
      <c r="AG224" s="2" t="str">
        <f>"0312200412"</f>
        <v>0312200412</v>
      </c>
      <c r="AH224" s="2" t="str">
        <f>"9780312200411"</f>
        <v>9780312200411</v>
      </c>
      <c r="AI224" s="1">
        <v>0.0</v>
      </c>
      <c r="AJ224" s="1">
        <v>3.74</v>
      </c>
      <c r="AK224" s="1" t="s">
        <v>945</v>
      </c>
      <c r="AL224" s="1" t="s">
        <v>41</v>
      </c>
      <c r="AM224" s="1">
        <v>208.0</v>
      </c>
      <c r="AN224" s="1">
        <v>1999.0</v>
      </c>
      <c r="AO224" s="1">
        <v>1999.0</v>
      </c>
      <c r="AQ224" s="3">
        <v>43935.0</v>
      </c>
      <c r="AR224" s="1" t="s">
        <v>1085</v>
      </c>
      <c r="AS224" s="1" t="s">
        <v>1131</v>
      </c>
      <c r="AT224" s="1" t="s">
        <v>31</v>
      </c>
      <c r="AX224" s="1">
        <v>0.0</v>
      </c>
      <c r="AY224" s="1">
        <v>0.0</v>
      </c>
    </row>
    <row r="225" spans="20:51" ht="15.75" hidden="1">
      <c r="T225" s="1">
        <v>4.0078217E7</v>
      </c>
      <c r="U225" s="1"/>
      <c r="V225" s="1"/>
      <c r="W225" s="1"/>
      <c r="X225" s="1"/>
      <c r="Y225" s="1" t="s">
        <v>1132</v>
      </c>
      <c r="Z225" s="1" t="s">
        <v>1133</v>
      </c>
      <c r="AA225" s="1" t="s">
        <v>1134</v>
      </c>
      <c r="AB225" s="1"/>
      <c r="AC225" s="1"/>
      <c r="AD225" s="1"/>
      <c r="AE225" s="1"/>
      <c r="AF225" s="1" t="s">
        <v>1135</v>
      </c>
      <c r="AG225" s="2" t="str">
        <f>"9504656013"</f>
        <v>9504656013</v>
      </c>
      <c r="AH225" s="2" t="str">
        <f>"9789504656012"</f>
        <v>9789504656012</v>
      </c>
      <c r="AI225" s="1">
        <v>0.0</v>
      </c>
      <c r="AJ225" s="1">
        <v>3.29</v>
      </c>
      <c r="AK225" s="1" t="s">
        <v>1136</v>
      </c>
      <c r="AL225" s="1" t="s">
        <v>28</v>
      </c>
      <c r="AM225" s="1">
        <v>120.0</v>
      </c>
      <c r="AN225" s="1">
        <v>2018.0</v>
      </c>
      <c r="AQ225" s="3">
        <v>43969.0</v>
      </c>
      <c r="AR225" s="1" t="s">
        <v>1085</v>
      </c>
      <c r="AS225" s="1" t="s">
        <v>1137</v>
      </c>
      <c r="AT225" s="1" t="s">
        <v>31</v>
      </c>
      <c r="AX225" s="1">
        <v>0.0</v>
      </c>
      <c r="AY225" s="1">
        <v>0.0</v>
      </c>
    </row>
    <row r="226" spans="20:51" ht="15.75" hidden="1">
      <c r="T226" s="1">
        <v>8338487.0</v>
      </c>
      <c r="U226" s="1"/>
      <c r="V226" s="1"/>
      <c r="W226" s="1"/>
      <c r="X226" s="1"/>
      <c r="Y226" s="1" t="s">
        <v>1138</v>
      </c>
      <c r="Z226" s="1" t="s">
        <v>1139</v>
      </c>
      <c r="AA226" s="1" t="s">
        <v>1140</v>
      </c>
      <c r="AB226" s="1"/>
      <c r="AC226" s="1"/>
      <c r="AD226" s="1"/>
      <c r="AE226" s="1"/>
      <c r="AG226" s="2" t="str">
        <f>"9500729970"</f>
        <v>9500729970</v>
      </c>
      <c r="AH226" s="2" t="str">
        <f>"9789500729970"</f>
        <v>9789500729970</v>
      </c>
      <c r="AI226" s="1">
        <v>0.0</v>
      </c>
      <c r="AJ226" s="1">
        <v>4.1</v>
      </c>
      <c r="AK226" s="1" t="s">
        <v>1141</v>
      </c>
      <c r="AL226" s="1" t="s">
        <v>28</v>
      </c>
      <c r="AM226" s="1">
        <v>192.0</v>
      </c>
      <c r="AN226" s="1">
        <v>2008.0</v>
      </c>
      <c r="AO226" s="1">
        <v>1948.0</v>
      </c>
      <c r="AQ226" s="3">
        <v>43970.0</v>
      </c>
      <c r="AR226" s="1" t="s">
        <v>1085</v>
      </c>
      <c r="AS226" s="1" t="s">
        <v>1142</v>
      </c>
      <c r="AT226" s="1" t="s">
        <v>31</v>
      </c>
      <c r="AX226" s="1">
        <v>0.0</v>
      </c>
      <c r="AY226" s="1">
        <v>0.0</v>
      </c>
    </row>
    <row r="227" spans="20:51" ht="15.75" hidden="1">
      <c r="T227" s="1">
        <v>2.8787166E7</v>
      </c>
      <c r="U227" s="1"/>
      <c r="V227" s="1"/>
      <c r="W227" s="1"/>
      <c r="X227" s="1"/>
      <c r="Y227" s="1" t="s">
        <v>1143</v>
      </c>
      <c r="Z227" s="1" t="s">
        <v>1144</v>
      </c>
      <c r="AA227" s="1" t="s">
        <v>1145</v>
      </c>
      <c r="AB227" s="1"/>
      <c r="AC227" s="1"/>
      <c r="AD227" s="1"/>
      <c r="AE227" s="1"/>
      <c r="AG227" s="2" t="str">
        <f>"8433998064"</f>
        <v>8433998064</v>
      </c>
      <c r="AH227" s="2" t="str">
        <f>"9788433998064"</f>
        <v>9788433998064</v>
      </c>
      <c r="AI227" s="1">
        <v>0.0</v>
      </c>
      <c r="AJ227" s="1">
        <v>4.07</v>
      </c>
      <c r="AK227" s="1" t="s">
        <v>1146</v>
      </c>
      <c r="AL227" s="1" t="s">
        <v>28</v>
      </c>
      <c r="AM227" s="1">
        <v>200.0</v>
      </c>
      <c r="AN227" s="1">
        <v>2016.0</v>
      </c>
      <c r="AO227" s="1">
        <v>2016.0</v>
      </c>
      <c r="AQ227" s="3">
        <v>43922.0</v>
      </c>
      <c r="AR227" s="1" t="s">
        <v>1085</v>
      </c>
      <c r="AS227" s="1" t="s">
        <v>1147</v>
      </c>
      <c r="AT227" s="1" t="s">
        <v>31</v>
      </c>
      <c r="AX227" s="1">
        <v>0.0</v>
      </c>
      <c r="AY227" s="1">
        <v>0.0</v>
      </c>
    </row>
    <row r="228" spans="20:51" ht="15.75" hidden="1">
      <c r="T228" s="1">
        <v>1.8920469E7</v>
      </c>
      <c r="U228" s="1"/>
      <c r="V228" s="1"/>
      <c r="W228" s="1"/>
      <c r="X228" s="1"/>
      <c r="Y228" s="1" t="s">
        <v>1148</v>
      </c>
      <c r="Z228" s="1" t="s">
        <v>1149</v>
      </c>
      <c r="AA228" s="1" t="s">
        <v>1150</v>
      </c>
      <c r="AB228" s="1"/>
      <c r="AC228" s="1"/>
      <c r="AD228" s="1"/>
      <c r="AE228" s="1"/>
      <c r="AG228" s="2" t="str">
        <f t="shared" si="15" ref="AG228:AH228">""</f>
        <v/>
      </c>
      <c r="AH228" s="2" t="str">
        <f t="shared" si="15"/>
        <v/>
      </c>
      <c r="AI228" s="1">
        <v>4.0</v>
      </c>
      <c r="AJ228" s="1">
        <v>4.05</v>
      </c>
      <c r="AK228" s="1" t="s">
        <v>83</v>
      </c>
      <c r="AL228" s="1" t="s">
        <v>59</v>
      </c>
      <c r="AM228" s="1">
        <v>185.0</v>
      </c>
      <c r="AN228" s="1">
        <v>2013.0</v>
      </c>
      <c r="AO228" s="1">
        <v>1991.0</v>
      </c>
      <c r="AQ228" s="3">
        <v>42803.0</v>
      </c>
      <c r="AR228" s="1" t="s">
        <v>1151</v>
      </c>
      <c r="AS228" s="1" t="s">
        <v>1152</v>
      </c>
      <c r="AT228" s="1" t="s">
        <v>127</v>
      </c>
      <c r="AX228" s="1">
        <v>1.0</v>
      </c>
      <c r="AY228" s="1">
        <v>0.0</v>
      </c>
    </row>
    <row r="229" spans="20:51" ht="15.75" hidden="1">
      <c r="T229" s="1">
        <v>8967259.0</v>
      </c>
      <c r="U229" s="1"/>
      <c r="V229" s="1"/>
      <c r="W229" s="1"/>
      <c r="X229" s="1"/>
      <c r="Y229" s="1" t="s">
        <v>1153</v>
      </c>
      <c r="Z229" s="1" t="s">
        <v>25</v>
      </c>
      <c r="AA229" s="1" t="s">
        <v>26</v>
      </c>
      <c r="AB229" s="1"/>
      <c r="AC229" s="1"/>
      <c r="AD229" s="1"/>
      <c r="AE229" s="1"/>
      <c r="AG229" s="2" t="str">
        <f>"1564786021"</f>
        <v>1564786021</v>
      </c>
      <c r="AH229" s="2" t="str">
        <f>"9781564786029"</f>
        <v>9781564786029</v>
      </c>
      <c r="AI229" s="1">
        <v>0.0</v>
      </c>
      <c r="AJ229" s="1">
        <v>3.72</v>
      </c>
      <c r="AK229" s="1" t="s">
        <v>27</v>
      </c>
      <c r="AL229" s="1" t="s">
        <v>28</v>
      </c>
      <c r="AM229" s="1">
        <v>293.0</v>
      </c>
      <c r="AN229" s="1">
        <v>2011.0</v>
      </c>
      <c r="AO229" s="1">
        <v>2011.0</v>
      </c>
      <c r="AQ229" s="3">
        <v>41763.0</v>
      </c>
      <c r="AR229" s="1" t="s">
        <v>1085</v>
      </c>
      <c r="AS229" s="1" t="s">
        <v>1154</v>
      </c>
      <c r="AT229" s="1" t="s">
        <v>31</v>
      </c>
      <c r="AX229" s="1">
        <v>0.0</v>
      </c>
      <c r="AY229" s="1">
        <v>0.0</v>
      </c>
    </row>
    <row r="230" spans="20:51" ht="15.75" hidden="1">
      <c r="T230" s="1">
        <v>1.7934654E7</v>
      </c>
      <c r="U230" s="1"/>
      <c r="V230" s="1"/>
      <c r="W230" s="1"/>
      <c r="X230" s="1"/>
      <c r="Y230" s="1" t="s">
        <v>1155</v>
      </c>
      <c r="Z230" s="1" t="s">
        <v>1156</v>
      </c>
      <c r="AA230" s="1" t="s">
        <v>1157</v>
      </c>
      <c r="AB230" s="1"/>
      <c r="AC230" s="1"/>
      <c r="AD230" s="1"/>
      <c r="AE230" s="1"/>
      <c r="AF230" s="1" t="s">
        <v>1158</v>
      </c>
      <c r="AG230" s="2" t="str">
        <f>"1555976654"</f>
        <v>1555976654</v>
      </c>
      <c r="AH230" s="2" t="str">
        <f>"9781555976651"</f>
        <v>9781555976651</v>
      </c>
      <c r="AI230" s="1">
        <v>0.0</v>
      </c>
      <c r="AJ230" s="1">
        <v>3.58</v>
      </c>
      <c r="AK230" s="1" t="s">
        <v>971</v>
      </c>
      <c r="AL230" s="1" t="s">
        <v>28</v>
      </c>
      <c r="AM230" s="1">
        <v>104.0</v>
      </c>
      <c r="AN230" s="1">
        <v>2014.0</v>
      </c>
      <c r="AO230" s="1">
        <v>2008.0</v>
      </c>
      <c r="AQ230" s="3">
        <v>41675.0</v>
      </c>
      <c r="AR230" s="1" t="s">
        <v>1085</v>
      </c>
      <c r="AS230" s="1" t="s">
        <v>1159</v>
      </c>
      <c r="AT230" s="1" t="s">
        <v>31</v>
      </c>
      <c r="AX230" s="1">
        <v>0.0</v>
      </c>
      <c r="AY230" s="1">
        <v>0.0</v>
      </c>
    </row>
    <row r="231" spans="20:51" ht="15.75" hidden="1">
      <c r="T231" s="1">
        <v>676920.0</v>
      </c>
      <c r="U231" s="1"/>
      <c r="V231" s="1"/>
      <c r="W231" s="1"/>
      <c r="X231" s="1"/>
      <c r="Y231" s="1" t="s">
        <v>1160</v>
      </c>
      <c r="Z231" s="1" t="s">
        <v>1161</v>
      </c>
      <c r="AA231" s="1" t="s">
        <v>1162</v>
      </c>
      <c r="AB231" s="1"/>
      <c r="AC231" s="1"/>
      <c r="AD231" s="1"/>
      <c r="AE231" s="1"/>
      <c r="AG231" s="2" t="str">
        <f>"1880985268"</f>
        <v>1880985268</v>
      </c>
      <c r="AH231" s="2" t="str">
        <f>"9781880985267"</f>
        <v>9781880985267</v>
      </c>
      <c r="AI231" s="1">
        <v>0.0</v>
      </c>
      <c r="AJ231" s="1">
        <v>3.73</v>
      </c>
      <c r="AK231" s="6">
        <v>22325.0</v>
      </c>
      <c r="AL231" s="1" t="s">
        <v>28</v>
      </c>
      <c r="AM231" s="1">
        <v>233.0</v>
      </c>
      <c r="AN231" s="1">
        <v>1995.0</v>
      </c>
      <c r="AO231" s="1">
        <v>1995.0</v>
      </c>
      <c r="AQ231" s="3">
        <v>40953.0</v>
      </c>
      <c r="AR231" s="1" t="s">
        <v>1085</v>
      </c>
      <c r="AS231" s="1" t="s">
        <v>1163</v>
      </c>
      <c r="AT231" s="1" t="s">
        <v>31</v>
      </c>
      <c r="AX231" s="1">
        <v>0.0</v>
      </c>
      <c r="AY231" s="1">
        <v>0.0</v>
      </c>
    </row>
    <row r="232" spans="20:51" ht="15.75" hidden="1">
      <c r="T232" s="1">
        <v>148305.0</v>
      </c>
      <c r="U232" s="1"/>
      <c r="V232" s="1"/>
      <c r="W232" s="1"/>
      <c r="X232" s="1"/>
      <c r="Y232" s="1" t="s">
        <v>1164</v>
      </c>
      <c r="Z232" s="1" t="s">
        <v>1165</v>
      </c>
      <c r="AA232" s="1" t="s">
        <v>1166</v>
      </c>
      <c r="AB232" s="1"/>
      <c r="AC232" s="1"/>
      <c r="AD232" s="1"/>
      <c r="AE232" s="1"/>
      <c r="AF232" s="1" t="s">
        <v>1167</v>
      </c>
      <c r="AG232" s="2" t="str">
        <f>"0671478052"</f>
        <v>0671478052</v>
      </c>
      <c r="AH232" s="2" t="str">
        <f>"9780671478056"</f>
        <v>9780671478056</v>
      </c>
      <c r="AI232" s="1">
        <v>0.0</v>
      </c>
      <c r="AJ232" s="1">
        <v>4.01</v>
      </c>
      <c r="AK232" s="1" t="s">
        <v>1168</v>
      </c>
      <c r="AL232" s="1" t="s">
        <v>28</v>
      </c>
      <c r="AM232" s="1">
        <v>170.0</v>
      </c>
      <c r="AN232" s="1">
        <v>1967.0</v>
      </c>
      <c r="AO232" s="1">
        <v>-458.0</v>
      </c>
      <c r="AQ232" s="3">
        <v>45113.0</v>
      </c>
      <c r="AR232" s="1" t="s">
        <v>1169</v>
      </c>
      <c r="AS232" s="1" t="s">
        <v>1170</v>
      </c>
      <c r="AT232" s="1" t="s">
        <v>31</v>
      </c>
      <c r="AX232" s="1">
        <v>0.0</v>
      </c>
      <c r="AY232" s="1">
        <v>0.0</v>
      </c>
    </row>
    <row r="233" spans="20:51" ht="15.75" hidden="1">
      <c r="T233" s="1">
        <v>6.3876556E7</v>
      </c>
      <c r="U233" s="1"/>
      <c r="V233" s="1"/>
      <c r="W233" s="1"/>
      <c r="X233" s="1"/>
      <c r="Y233" s="1" t="s">
        <v>1171</v>
      </c>
      <c r="Z233" s="1" t="s">
        <v>250</v>
      </c>
      <c r="AA233" s="1" t="s">
        <v>251</v>
      </c>
      <c r="AB233" s="1"/>
      <c r="AC233" s="1"/>
      <c r="AD233" s="1"/>
      <c r="AE233" s="1"/>
      <c r="AF233" s="1" t="s">
        <v>1172</v>
      </c>
      <c r="AG233" s="2" t="str">
        <f>"0593311272"</f>
        <v>0593311272</v>
      </c>
      <c r="AH233" s="2" t="str">
        <f>"9780593311271"</f>
        <v>9780593311271</v>
      </c>
      <c r="AI233" s="1">
        <v>0.0</v>
      </c>
      <c r="AJ233" s="1">
        <v>4.06</v>
      </c>
      <c r="AK233" s="1" t="s">
        <v>83</v>
      </c>
      <c r="AL233" s="1" t="s">
        <v>28</v>
      </c>
      <c r="AM233" s="1">
        <v>592.0</v>
      </c>
      <c r="AN233" s="1">
        <v>2023.0</v>
      </c>
      <c r="AO233" s="1">
        <v>1949.0</v>
      </c>
      <c r="AQ233" s="3">
        <v>45099.0</v>
      </c>
      <c r="AR233" s="1" t="s">
        <v>1173</v>
      </c>
      <c r="AS233" s="1" t="s">
        <v>1174</v>
      </c>
      <c r="AT233" s="1" t="s">
        <v>31</v>
      </c>
      <c r="AX233" s="1">
        <v>0.0</v>
      </c>
      <c r="AY233" s="1">
        <v>0.0</v>
      </c>
    </row>
    <row r="234" spans="20:51" ht="15.75" hidden="1">
      <c r="T234" s="1">
        <v>2.0694759E7</v>
      </c>
      <c r="U234" s="1"/>
      <c r="V234" s="1"/>
      <c r="W234" s="1"/>
      <c r="X234" s="1"/>
      <c r="Y234" s="1" t="s">
        <v>1175</v>
      </c>
      <c r="Z234" s="1" t="s">
        <v>477</v>
      </c>
      <c r="AA234" s="1" t="s">
        <v>478</v>
      </c>
      <c r="AB234" s="1"/>
      <c r="AC234" s="1"/>
      <c r="AD234" s="1"/>
      <c r="AE234" s="1"/>
      <c r="AF234" s="1" t="s">
        <v>1176</v>
      </c>
      <c r="AG234" s="2" t="str">
        <f>"022620362X"</f>
        <v>022620362X</v>
      </c>
      <c r="AH234" s="2" t="str">
        <f>"9780226203621"</f>
        <v>9780226203621</v>
      </c>
      <c r="AI234" s="1">
        <v>0.0</v>
      </c>
      <c r="AJ234" s="1">
        <v>3.95</v>
      </c>
      <c r="AK234" s="1" t="s">
        <v>224</v>
      </c>
      <c r="AL234" s="1" t="s">
        <v>28</v>
      </c>
      <c r="AM234" s="1">
        <v>74.0</v>
      </c>
      <c r="AN234" s="1">
        <v>2014.0</v>
      </c>
      <c r="AO234" s="1">
        <v>-414.0</v>
      </c>
      <c r="AQ234" s="3">
        <v>45102.0</v>
      </c>
      <c r="AR234" s="1" t="s">
        <v>1169</v>
      </c>
      <c r="AS234" s="1" t="s">
        <v>1177</v>
      </c>
      <c r="AT234" s="1" t="s">
        <v>31</v>
      </c>
      <c r="AX234" s="1">
        <v>0.0</v>
      </c>
      <c r="AY234" s="1">
        <v>0.0</v>
      </c>
    </row>
    <row r="235" spans="20:51" ht="15.75" hidden="1">
      <c r="T235" s="1">
        <v>7812408.0</v>
      </c>
      <c r="U235" s="1"/>
      <c r="V235" s="1"/>
      <c r="W235" s="1"/>
      <c r="X235" s="1"/>
      <c r="Y235" s="1" t="s">
        <v>1178</v>
      </c>
      <c r="Z235" s="1" t="s">
        <v>638</v>
      </c>
      <c r="AA235" s="1" t="s">
        <v>639</v>
      </c>
      <c r="AB235" s="1"/>
      <c r="AC235" s="1"/>
      <c r="AD235" s="1"/>
      <c r="AE235" s="1"/>
      <c r="AF235" s="1" t="s">
        <v>1179</v>
      </c>
      <c r="AG235" s="2" t="str">
        <f>"086547916X"</f>
        <v>086547916X</v>
      </c>
      <c r="AH235" s="2" t="str">
        <f>"9780865479166"</f>
        <v>9780865479166</v>
      </c>
      <c r="AI235" s="1">
        <v>0.0</v>
      </c>
      <c r="AJ235" s="1">
        <v>4.39</v>
      </c>
      <c r="AK235" s="1" t="s">
        <v>89</v>
      </c>
      <c r="AL235" s="1" t="s">
        <v>28</v>
      </c>
      <c r="AM235" s="1">
        <v>272.0</v>
      </c>
      <c r="AN235" s="1">
        <v>2009.0</v>
      </c>
      <c r="AO235" s="1">
        <v>2009.0</v>
      </c>
      <c r="AQ235" s="3">
        <v>45102.0</v>
      </c>
      <c r="AR235" s="1" t="s">
        <v>1169</v>
      </c>
      <c r="AS235" s="1" t="s">
        <v>1180</v>
      </c>
      <c r="AT235" s="1" t="s">
        <v>31</v>
      </c>
      <c r="AX235" s="1">
        <v>0.0</v>
      </c>
      <c r="AY235" s="1">
        <v>0.0</v>
      </c>
    </row>
    <row r="236" spans="20:51" ht="15.75" hidden="1">
      <c r="T236" s="1">
        <v>5.5745602E7</v>
      </c>
      <c r="U236" s="1"/>
      <c r="V236" s="1"/>
      <c r="W236" s="1"/>
      <c r="X236" s="1"/>
      <c r="Y236" s="1" t="s">
        <v>1181</v>
      </c>
      <c r="Z236" s="1" t="s">
        <v>477</v>
      </c>
      <c r="AA236" s="1" t="s">
        <v>478</v>
      </c>
      <c r="AB236" s="1"/>
      <c r="AC236" s="1"/>
      <c r="AD236" s="1"/>
      <c r="AE236" s="1"/>
      <c r="AF236" s="1" t="s">
        <v>1182</v>
      </c>
      <c r="AG236" s="2" t="str">
        <f>"0811230791"</f>
        <v>0811230791</v>
      </c>
      <c r="AH236" s="2" t="str">
        <f>"9780811230797"</f>
        <v>9780811230797</v>
      </c>
      <c r="AI236" s="1">
        <v>0.0</v>
      </c>
      <c r="AJ236" s="1">
        <v>3.89</v>
      </c>
      <c r="AK236" s="1" t="s">
        <v>95</v>
      </c>
      <c r="AL236" s="1" t="s">
        <v>41</v>
      </c>
      <c r="AM236" s="1">
        <v>96.0</v>
      </c>
      <c r="AN236" s="1">
        <v>2021.0</v>
      </c>
      <c r="AQ236" s="3">
        <v>45102.0</v>
      </c>
      <c r="AR236" s="1" t="s">
        <v>1169</v>
      </c>
      <c r="AS236" s="1" t="s">
        <v>1183</v>
      </c>
      <c r="AT236" s="1" t="s">
        <v>31</v>
      </c>
      <c r="AX236" s="1">
        <v>0.0</v>
      </c>
      <c r="AY236" s="1">
        <v>0.0</v>
      </c>
    </row>
    <row r="237" spans="20:51" ht="15.75" hidden="1">
      <c r="T237" s="1">
        <v>1291106.0</v>
      </c>
      <c r="U237" s="1"/>
      <c r="V237" s="1"/>
      <c r="W237" s="1"/>
      <c r="X237" s="1"/>
      <c r="Y237" s="1" t="s">
        <v>1184</v>
      </c>
      <c r="Z237" s="1" t="s">
        <v>477</v>
      </c>
      <c r="AA237" s="1" t="s">
        <v>478</v>
      </c>
      <c r="AB237" s="1"/>
      <c r="AC237" s="1"/>
      <c r="AD237" s="1"/>
      <c r="AE237" s="1"/>
      <c r="AF237" s="1" t="s">
        <v>1185</v>
      </c>
      <c r="AG237" s="2" t="str">
        <f>"019507288X"</f>
        <v>019507288X</v>
      </c>
      <c r="AH237" s="2" t="str">
        <f>"9780195072884"</f>
        <v>9780195072884</v>
      </c>
      <c r="AI237" s="1">
        <v>0.0</v>
      </c>
      <c r="AJ237" s="1">
        <v>3.2</v>
      </c>
      <c r="AK237" s="1" t="s">
        <v>1186</v>
      </c>
      <c r="AL237" s="1" t="s">
        <v>28</v>
      </c>
      <c r="AM237" s="1">
        <v>85.0</v>
      </c>
      <c r="AN237" s="1">
        <v>1991.0</v>
      </c>
      <c r="AO237" s="1">
        <v>-430.0</v>
      </c>
      <c r="AQ237" s="3">
        <v>45111.0</v>
      </c>
      <c r="AR237" s="1" t="s">
        <v>1169</v>
      </c>
      <c r="AS237" s="1" t="s">
        <v>1187</v>
      </c>
      <c r="AT237" s="1" t="s">
        <v>31</v>
      </c>
      <c r="AX237" s="1">
        <v>0.0</v>
      </c>
      <c r="AY237" s="1">
        <v>0.0</v>
      </c>
    </row>
    <row r="238" spans="20:51" ht="15.75" hidden="1">
      <c r="T238" s="1">
        <v>150254.0</v>
      </c>
      <c r="U238" s="1"/>
      <c r="V238" s="1"/>
      <c r="W238" s="1"/>
      <c r="X238" s="1"/>
      <c r="Y238" s="1" t="s">
        <v>494</v>
      </c>
      <c r="Z238" s="1" t="s">
        <v>602</v>
      </c>
      <c r="AA238" s="1" t="s">
        <v>603</v>
      </c>
      <c r="AB238" s="1"/>
      <c r="AC238" s="1"/>
      <c r="AD238" s="1"/>
      <c r="AE238" s="1"/>
      <c r="AF238" s="1" t="s">
        <v>1188</v>
      </c>
      <c r="AG238" s="2" t="str">
        <f>"0195049608"</f>
        <v>0195049608</v>
      </c>
      <c r="AH238" s="2" t="str">
        <f>"9780195049602"</f>
        <v>9780195049602</v>
      </c>
      <c r="AI238" s="1">
        <v>0.0</v>
      </c>
      <c r="AJ238" s="1">
        <v>3.81</v>
      </c>
      <c r="AK238" s="1" t="s">
        <v>214</v>
      </c>
      <c r="AL238" s="1" t="s">
        <v>28</v>
      </c>
      <c r="AM238" s="1">
        <v>138.0</v>
      </c>
      <c r="AN238" s="1">
        <v>2001.0</v>
      </c>
      <c r="AO238" s="1">
        <v>-410.0</v>
      </c>
      <c r="AQ238" s="3">
        <v>45102.0</v>
      </c>
      <c r="AR238" s="1" t="s">
        <v>1169</v>
      </c>
      <c r="AS238" s="1" t="s">
        <v>1189</v>
      </c>
      <c r="AT238" s="1" t="s">
        <v>31</v>
      </c>
      <c r="AX238" s="1">
        <v>0.0</v>
      </c>
      <c r="AY238" s="1">
        <v>0.0</v>
      </c>
    </row>
    <row r="239" spans="20:51" ht="15.75" hidden="1">
      <c r="T239" s="1">
        <v>334286.0</v>
      </c>
      <c r="U239" s="1"/>
      <c r="V239" s="1"/>
      <c r="W239" s="1"/>
      <c r="X239" s="1"/>
      <c r="Y239" s="1" t="s">
        <v>1190</v>
      </c>
      <c r="Z239" s="1" t="s">
        <v>1191</v>
      </c>
      <c r="AA239" s="1" t="s">
        <v>1192</v>
      </c>
      <c r="AB239" s="1"/>
      <c r="AC239" s="1"/>
      <c r="AD239" s="1"/>
      <c r="AE239" s="1"/>
      <c r="AG239" s="2" t="str">
        <f>"0140260706"</f>
        <v>0140260706</v>
      </c>
      <c r="AH239" s="2" t="str">
        <f>"9780140260700"</f>
        <v>9780140260700</v>
      </c>
      <c r="AI239" s="1">
        <v>0.0</v>
      </c>
      <c r="AJ239" s="1">
        <v>3.91</v>
      </c>
      <c r="AK239" s="1" t="s">
        <v>460</v>
      </c>
      <c r="AL239" s="1" t="s">
        <v>28</v>
      </c>
      <c r="AM239" s="1">
        <v>112.0</v>
      </c>
      <c r="AN239" s="1">
        <v>1984.0</v>
      </c>
      <c r="AO239" s="1">
        <v>1973.0</v>
      </c>
      <c r="AQ239" s="4">
        <v>42334.0</v>
      </c>
      <c r="AR239" s="1" t="s">
        <v>1173</v>
      </c>
      <c r="AS239" s="1" t="s">
        <v>1193</v>
      </c>
      <c r="AT239" s="1" t="s">
        <v>31</v>
      </c>
      <c r="AX239" s="1">
        <v>0.0</v>
      </c>
      <c r="AY239" s="1">
        <v>0.0</v>
      </c>
    </row>
    <row r="240" spans="20:51" ht="15.75" hidden="1">
      <c r="T240" s="1">
        <v>1259626.0</v>
      </c>
      <c r="U240" s="1"/>
      <c r="V240" s="1"/>
      <c r="W240" s="1"/>
      <c r="X240" s="1"/>
      <c r="Y240" s="1" t="s">
        <v>1194</v>
      </c>
      <c r="Z240" s="1" t="s">
        <v>509</v>
      </c>
      <c r="AA240" s="1" t="s">
        <v>510</v>
      </c>
      <c r="AB240" s="1"/>
      <c r="AC240" s="1"/>
      <c r="AD240" s="1"/>
      <c r="AE240" s="1"/>
      <c r="AF240" s="1" t="s">
        <v>1195</v>
      </c>
      <c r="AG240" s="2" t="str">
        <f>"0374260680"</f>
        <v>0374260680</v>
      </c>
      <c r="AH240" s="2" t="str">
        <f>"9780374260682"</f>
        <v>9780374260682</v>
      </c>
      <c r="AI240" s="1">
        <v>0.0</v>
      </c>
      <c r="AJ240" s="1">
        <v>4.0</v>
      </c>
      <c r="AK240" s="1" t="s">
        <v>89</v>
      </c>
      <c r="AL240" s="1" t="s">
        <v>41</v>
      </c>
      <c r="AM240" s="1">
        <v>256.0</v>
      </c>
      <c r="AN240" s="1">
        <v>2007.0</v>
      </c>
      <c r="AO240" s="1">
        <v>2006.0</v>
      </c>
      <c r="AQ240" s="3">
        <v>45111.0</v>
      </c>
      <c r="AR240" s="1" t="s">
        <v>1196</v>
      </c>
      <c r="AS240" s="1" t="s">
        <v>1197</v>
      </c>
      <c r="AT240" s="1" t="s">
        <v>31</v>
      </c>
      <c r="AX240" s="1">
        <v>0.0</v>
      </c>
      <c r="AY240" s="1">
        <v>0.0</v>
      </c>
    </row>
    <row r="241" spans="20:51" ht="15.75" hidden="1">
      <c r="T241" s="1">
        <v>5.8082217E7</v>
      </c>
      <c r="U241" s="1"/>
      <c r="V241" s="1"/>
      <c r="W241" s="1"/>
      <c r="X241" s="1"/>
      <c r="Y241" s="1" t="s">
        <v>1198</v>
      </c>
      <c r="Z241" s="1" t="s">
        <v>1199</v>
      </c>
      <c r="AA241" s="1" t="s">
        <v>1200</v>
      </c>
      <c r="AB241" s="1"/>
      <c r="AC241" s="1"/>
      <c r="AD241" s="1"/>
      <c r="AE241" s="1"/>
      <c r="AG241" s="2" t="str">
        <f>"0593320980"</f>
        <v>0593320980</v>
      </c>
      <c r="AH241" s="2" t="str">
        <f>"9780593320983"</f>
        <v>9780593320983</v>
      </c>
      <c r="AI241" s="1">
        <v>0.0</v>
      </c>
      <c r="AJ241" s="1">
        <v>3.95</v>
      </c>
      <c r="AK241" s="1" t="s">
        <v>634</v>
      </c>
      <c r="AL241" s="1" t="s">
        <v>41</v>
      </c>
      <c r="AM241" s="1">
        <v>80.0</v>
      </c>
      <c r="AN241" s="1">
        <v>2022.0</v>
      </c>
      <c r="AO241" s="1">
        <v>2022.0</v>
      </c>
      <c r="AQ241" s="3">
        <v>44941.0</v>
      </c>
      <c r="AR241" s="1" t="s">
        <v>1196</v>
      </c>
      <c r="AS241" s="1" t="s">
        <v>1201</v>
      </c>
      <c r="AT241" s="1" t="s">
        <v>31</v>
      </c>
      <c r="AX241" s="1">
        <v>0.0</v>
      </c>
      <c r="AY241" s="1">
        <v>0.0</v>
      </c>
    </row>
    <row r="242" spans="20:51" ht="15.75" hidden="1">
      <c r="T242" s="1">
        <v>3.4788324E7</v>
      </c>
      <c r="U242" s="1"/>
      <c r="V242" s="1"/>
      <c r="W242" s="1"/>
      <c r="X242" s="1"/>
      <c r="Y242" s="1" t="s">
        <v>1202</v>
      </c>
      <c r="Z242" s="1" t="s">
        <v>1203</v>
      </c>
      <c r="AA242" s="1" t="s">
        <v>1204</v>
      </c>
      <c r="AB242" s="1"/>
      <c r="AC242" s="1"/>
      <c r="AD242" s="1"/>
      <c r="AE242" s="1"/>
      <c r="AF242" s="1" t="s">
        <v>1205</v>
      </c>
      <c r="AG242" s="2" t="str">
        <f>"081957483X"</f>
        <v>081957483X</v>
      </c>
      <c r="AH242" s="2" t="str">
        <f>"9780819574831"</f>
        <v>9780819574831</v>
      </c>
      <c r="AI242" s="1">
        <v>0.0</v>
      </c>
      <c r="AJ242" s="1">
        <v>4.17</v>
      </c>
      <c r="AK242" s="1" t="s">
        <v>1206</v>
      </c>
      <c r="AL242" s="1" t="s">
        <v>41</v>
      </c>
      <c r="AM242" s="1">
        <v>994.0</v>
      </c>
      <c r="AN242" s="1">
        <v>2017.0</v>
      </c>
      <c r="AQ242" s="3">
        <v>44250.0</v>
      </c>
      <c r="AR242" s="1" t="s">
        <v>1196</v>
      </c>
      <c r="AS242" s="1" t="s">
        <v>1207</v>
      </c>
      <c r="AT242" s="1" t="s">
        <v>31</v>
      </c>
      <c r="AX242" s="1">
        <v>0.0</v>
      </c>
      <c r="AY242" s="1">
        <v>0.0</v>
      </c>
    </row>
    <row r="243" spans="20:51" ht="15.75" hidden="1">
      <c r="T243" s="1">
        <v>1.8160427E7</v>
      </c>
      <c r="U243" s="1"/>
      <c r="V243" s="1"/>
      <c r="W243" s="1"/>
      <c r="X243" s="1"/>
      <c r="Y243" s="1" t="s">
        <v>1208</v>
      </c>
      <c r="Z243" s="1" t="s">
        <v>1209</v>
      </c>
      <c r="AA243" s="1" t="s">
        <v>1210</v>
      </c>
      <c r="AB243" s="1"/>
      <c r="AC243" s="1"/>
      <c r="AD243" s="1"/>
      <c r="AE243" s="1"/>
      <c r="AG243" s="2" t="str">
        <f>""</f>
        <v/>
      </c>
      <c r="AH243" s="2" t="str">
        <f>"9789871474677"</f>
        <v>9789871474677</v>
      </c>
      <c r="AI243" s="1">
        <v>0.0</v>
      </c>
      <c r="AJ243" s="1">
        <v>4.06</v>
      </c>
      <c r="AK243" s="1" t="s">
        <v>1211</v>
      </c>
      <c r="AL243" s="1" t="s">
        <v>28</v>
      </c>
      <c r="AM243" s="1">
        <v>160.0</v>
      </c>
      <c r="AN243" s="1">
        <v>2012.0</v>
      </c>
      <c r="AO243" s="1">
        <v>2012.0</v>
      </c>
      <c r="AQ243" s="3">
        <v>44284.0</v>
      </c>
      <c r="AR243" s="1" t="s">
        <v>1196</v>
      </c>
      <c r="AS243" s="1" t="s">
        <v>1212</v>
      </c>
      <c r="AT243" s="1" t="s">
        <v>31</v>
      </c>
      <c r="AX243" s="1">
        <v>0.0</v>
      </c>
      <c r="AY243" s="1">
        <v>0.0</v>
      </c>
    </row>
    <row r="244" spans="20:51" ht="15.75" hidden="1">
      <c r="T244" s="1">
        <v>150253.0</v>
      </c>
      <c r="U244" s="1"/>
      <c r="V244" s="1"/>
      <c r="W244" s="1"/>
      <c r="X244" s="1"/>
      <c r="Y244" s="1" t="s">
        <v>1213</v>
      </c>
      <c r="Z244" s="1" t="s">
        <v>1214</v>
      </c>
      <c r="AA244" s="1" t="s">
        <v>1215</v>
      </c>
      <c r="AB244" s="1"/>
      <c r="AC244" s="1"/>
      <c r="AD244" s="1"/>
      <c r="AE244" s="1"/>
      <c r="AF244" s="1" t="s">
        <v>638</v>
      </c>
      <c r="AG244" s="2" t="str">
        <f>"1844080811"</f>
        <v>1844080811</v>
      </c>
      <c r="AH244" s="2" t="str">
        <f>"9781844080816"</f>
        <v>9781844080816</v>
      </c>
      <c r="AI244" s="1">
        <v>0.0</v>
      </c>
      <c r="AJ244" s="1">
        <v>4.44</v>
      </c>
      <c r="AK244" s="1" t="s">
        <v>1216</v>
      </c>
      <c r="AL244" s="1" t="s">
        <v>28</v>
      </c>
      <c r="AM244" s="1">
        <v>416.0</v>
      </c>
      <c r="AN244" s="1">
        <v>2003.0</v>
      </c>
      <c r="AO244" s="1">
        <v>2002.0</v>
      </c>
      <c r="AQ244" s="3">
        <v>45111.0</v>
      </c>
      <c r="AR244" s="1" t="s">
        <v>1217</v>
      </c>
      <c r="AS244" s="1" t="s">
        <v>1218</v>
      </c>
      <c r="AT244" s="1" t="s">
        <v>31</v>
      </c>
      <c r="AX244" s="1">
        <v>0.0</v>
      </c>
      <c r="AY244" s="1">
        <v>0.0</v>
      </c>
    </row>
    <row r="245" spans="20:51" ht="15.75" hidden="1">
      <c r="T245" s="1">
        <v>3.5074087E7</v>
      </c>
      <c r="U245" s="1"/>
      <c r="V245" s="1"/>
      <c r="W245" s="1"/>
      <c r="X245" s="1"/>
      <c r="Y245" s="1" t="s">
        <v>1219</v>
      </c>
      <c r="Z245" s="1" t="s">
        <v>1220</v>
      </c>
      <c r="AA245" s="1" t="s">
        <v>1221</v>
      </c>
      <c r="AB245" s="1"/>
      <c r="AC245" s="1"/>
      <c r="AD245" s="1"/>
      <c r="AE245" s="1"/>
      <c r="AG245" s="2" t="str">
        <f>"0241285798"</f>
        <v>0241285798</v>
      </c>
      <c r="AH245" s="2" t="str">
        <f>"9780241285794"</f>
        <v>9780241285794</v>
      </c>
      <c r="AI245" s="1">
        <v>0.0</v>
      </c>
      <c r="AJ245" s="1">
        <v>4.09</v>
      </c>
      <c r="AK245" s="1" t="s">
        <v>1222</v>
      </c>
      <c r="AL245" s="1" t="s">
        <v>41</v>
      </c>
      <c r="AM245" s="1">
        <v>400.0</v>
      </c>
      <c r="AN245" s="1">
        <v>2018.0</v>
      </c>
      <c r="AQ245" s="4">
        <v>44194.0</v>
      </c>
      <c r="AR245" s="1" t="s">
        <v>1196</v>
      </c>
      <c r="AS245" s="1" t="s">
        <v>1223</v>
      </c>
      <c r="AT245" s="1" t="s">
        <v>31</v>
      </c>
      <c r="AX245" s="1">
        <v>0.0</v>
      </c>
      <c r="AY245" s="1">
        <v>0.0</v>
      </c>
    </row>
    <row r="246" spans="20:51" ht="15.75" hidden="1">
      <c r="T246" s="1">
        <v>2.6114357E7</v>
      </c>
      <c r="U246" s="1"/>
      <c r="V246" s="1"/>
      <c r="W246" s="1"/>
      <c r="X246" s="1"/>
      <c r="Y246" s="1" t="s">
        <v>1224</v>
      </c>
      <c r="Z246" s="1" t="s">
        <v>1225</v>
      </c>
      <c r="AA246" s="1" t="s">
        <v>1226</v>
      </c>
      <c r="AB246" s="1"/>
      <c r="AC246" s="1"/>
      <c r="AD246" s="1"/>
      <c r="AE246" s="1"/>
      <c r="AG246" s="2" t="str">
        <f>"0374125953"</f>
        <v>0374125953</v>
      </c>
      <c r="AH246" s="2" t="str">
        <f>"9780374125950"</f>
        <v>9780374125950</v>
      </c>
      <c r="AI246" s="1">
        <v>0.0</v>
      </c>
      <c r="AJ246" s="1">
        <v>4.13</v>
      </c>
      <c r="AK246" s="1" t="s">
        <v>89</v>
      </c>
      <c r="AL246" s="1" t="s">
        <v>41</v>
      </c>
      <c r="AM246" s="1">
        <v>736.0</v>
      </c>
      <c r="AN246" s="1">
        <v>2017.0</v>
      </c>
      <c r="AO246" s="1">
        <v>2017.0</v>
      </c>
      <c r="AQ246" s="4">
        <v>44153.0</v>
      </c>
      <c r="AR246" s="1" t="s">
        <v>1196</v>
      </c>
      <c r="AS246" s="1" t="s">
        <v>1227</v>
      </c>
      <c r="AT246" s="1" t="s">
        <v>31</v>
      </c>
      <c r="AX246" s="1">
        <v>0.0</v>
      </c>
      <c r="AY246" s="1">
        <v>0.0</v>
      </c>
    </row>
    <row r="247" spans="20:51" ht="15.75" hidden="1">
      <c r="T247" s="1">
        <v>2330424.0</v>
      </c>
      <c r="U247" s="1"/>
      <c r="V247" s="1"/>
      <c r="W247" s="1"/>
      <c r="X247" s="1"/>
      <c r="Y247" s="1" t="s">
        <v>1228</v>
      </c>
      <c r="Z247" s="1" t="s">
        <v>1229</v>
      </c>
      <c r="AA247" s="1" t="s">
        <v>1230</v>
      </c>
      <c r="AB247" s="1"/>
      <c r="AC247" s="1"/>
      <c r="AD247" s="1"/>
      <c r="AE247" s="1"/>
      <c r="AG247" s="2" t="str">
        <f>"0374126216"</f>
        <v>0374126216</v>
      </c>
      <c r="AH247" s="2" t="str">
        <f>"9780374126216"</f>
        <v>9780374126216</v>
      </c>
      <c r="AI247" s="1">
        <v>0.0</v>
      </c>
      <c r="AJ247" s="1">
        <v>4.26</v>
      </c>
      <c r="AK247" s="1" t="s">
        <v>1231</v>
      </c>
      <c r="AL247" s="1" t="s">
        <v>41</v>
      </c>
      <c r="AM247" s="1">
        <v>495.0</v>
      </c>
      <c r="AN247" s="1">
        <v>1994.0</v>
      </c>
      <c r="AO247" s="1">
        <v>1993.0</v>
      </c>
      <c r="AQ247" s="4">
        <v>44118.0</v>
      </c>
      <c r="AR247" s="1" t="s">
        <v>1196</v>
      </c>
      <c r="AS247" s="1" t="s">
        <v>1232</v>
      </c>
      <c r="AT247" s="1" t="s">
        <v>31</v>
      </c>
      <c r="AX247" s="1">
        <v>0.0</v>
      </c>
      <c r="AY247" s="1">
        <v>0.0</v>
      </c>
    </row>
    <row r="248" spans="20:51" ht="15.75" hidden="1">
      <c r="T248" s="1">
        <v>4.1880609E7</v>
      </c>
      <c r="U248" s="1"/>
      <c r="V248" s="1"/>
      <c r="W248" s="1"/>
      <c r="X248" s="1"/>
      <c r="Y248" s="1" t="s">
        <v>1233</v>
      </c>
      <c r="Z248" s="1" t="s">
        <v>1234</v>
      </c>
      <c r="AA248" s="1" t="s">
        <v>1235</v>
      </c>
      <c r="AB248" s="1"/>
      <c r="AC248" s="1"/>
      <c r="AD248" s="1"/>
      <c r="AE248" s="1"/>
      <c r="AG248" s="2" t="str">
        <f>"0525562028"</f>
        <v>0525562028</v>
      </c>
      <c r="AH248" s="2" t="str">
        <f>"9780525562023"</f>
        <v>9780525562023</v>
      </c>
      <c r="AI248" s="1">
        <v>0.0</v>
      </c>
      <c r="AJ248" s="1">
        <v>4.05</v>
      </c>
      <c r="AK248" s="1" t="s">
        <v>1236</v>
      </c>
      <c r="AL248" s="1" t="s">
        <v>41</v>
      </c>
      <c r="AM248" s="1">
        <v>246.0</v>
      </c>
      <c r="AN248" s="1">
        <v>2019.0</v>
      </c>
      <c r="AO248" s="1">
        <v>2019.0</v>
      </c>
      <c r="AQ248" s="3">
        <v>44107.0</v>
      </c>
      <c r="AR248" s="1" t="s">
        <v>1196</v>
      </c>
      <c r="AS248" s="1" t="s">
        <v>1237</v>
      </c>
      <c r="AT248" s="1" t="s">
        <v>31</v>
      </c>
      <c r="AX248" s="1">
        <v>0.0</v>
      </c>
      <c r="AY248" s="1">
        <v>0.0</v>
      </c>
    </row>
    <row r="249" spans="20:51" ht="15.75" hidden="1">
      <c r="T249" s="1">
        <v>3.6690608E7</v>
      </c>
      <c r="U249" s="1"/>
      <c r="V249" s="1"/>
      <c r="W249" s="1"/>
      <c r="X249" s="1"/>
      <c r="Y249" s="1" t="s">
        <v>1238</v>
      </c>
      <c r="Z249" s="1" t="s">
        <v>1239</v>
      </c>
      <c r="AA249" s="1" t="s">
        <v>1240</v>
      </c>
      <c r="AB249" s="1"/>
      <c r="AC249" s="1"/>
      <c r="AD249" s="1"/>
      <c r="AE249" s="1"/>
      <c r="AG249" s="2" t="str">
        <f>"0241347939"</f>
        <v>0241347939</v>
      </c>
      <c r="AH249" s="2" t="str">
        <f>"9780241347935"</f>
        <v>9780241347935</v>
      </c>
      <c r="AI249" s="1">
        <v>0.0</v>
      </c>
      <c r="AJ249" s="1">
        <v>4.3</v>
      </c>
      <c r="AK249" s="1" t="s">
        <v>1241</v>
      </c>
      <c r="AL249" s="1" t="s">
        <v>41</v>
      </c>
      <c r="AM249" s="1">
        <v>288.0</v>
      </c>
      <c r="AN249" s="1">
        <v>2018.0</v>
      </c>
      <c r="AO249" s="1">
        <v>2018.0</v>
      </c>
      <c r="AQ249" s="3">
        <v>43953.0</v>
      </c>
      <c r="AR249" s="1" t="s">
        <v>1196</v>
      </c>
      <c r="AS249" s="1" t="s">
        <v>1242</v>
      </c>
      <c r="AT249" s="1" t="s">
        <v>31</v>
      </c>
      <c r="AX249" s="1">
        <v>0.0</v>
      </c>
      <c r="AY249" s="1">
        <v>0.0</v>
      </c>
    </row>
    <row r="250" spans="20:51" ht="15.75" hidden="1">
      <c r="T250" s="1">
        <v>96259.0</v>
      </c>
      <c r="U250" s="1"/>
      <c r="V250" s="1"/>
      <c r="W250" s="1"/>
      <c r="X250" s="1"/>
      <c r="Y250" s="1" t="s">
        <v>1243</v>
      </c>
      <c r="Z250" s="1" t="s">
        <v>643</v>
      </c>
      <c r="AA250" s="1" t="s">
        <v>644</v>
      </c>
      <c r="AB250" s="1"/>
      <c r="AC250" s="1"/>
      <c r="AD250" s="1"/>
      <c r="AE250" s="1"/>
      <c r="AF250" s="1" t="s">
        <v>1244</v>
      </c>
      <c r="AG250" s="2" t="str">
        <f>"0300107897"</f>
        <v>0300107897</v>
      </c>
      <c r="AH250" s="2" t="str">
        <f>"9780300107890"</f>
        <v>9780300107890</v>
      </c>
      <c r="AI250" s="1">
        <v>0.0</v>
      </c>
      <c r="AJ250" s="1">
        <v>4.34</v>
      </c>
      <c r="AK250" s="1" t="s">
        <v>545</v>
      </c>
      <c r="AL250" s="1" t="s">
        <v>28</v>
      </c>
      <c r="AM250" s="1">
        <v>62.0</v>
      </c>
      <c r="AN250" s="1">
        <v>2005.0</v>
      </c>
      <c r="AO250" s="1">
        <v>2005.0</v>
      </c>
      <c r="AQ250" s="3">
        <v>44100.0</v>
      </c>
      <c r="AR250" s="1" t="s">
        <v>1196</v>
      </c>
      <c r="AS250" s="1" t="s">
        <v>1245</v>
      </c>
      <c r="AT250" s="1" t="s">
        <v>31</v>
      </c>
      <c r="AX250" s="1">
        <v>0.0</v>
      </c>
      <c r="AY250" s="1">
        <v>0.0</v>
      </c>
    </row>
    <row r="251" spans="20:51" ht="15.75" hidden="1">
      <c r="T251" s="1">
        <v>9994817.0</v>
      </c>
      <c r="U251" s="1"/>
      <c r="V251" s="1"/>
      <c r="W251" s="1"/>
      <c r="X251" s="1"/>
      <c r="Y251" s="1" t="s">
        <v>1246</v>
      </c>
      <c r="Z251" s="1" t="s">
        <v>1247</v>
      </c>
      <c r="AA251" s="1" t="s">
        <v>1248</v>
      </c>
      <c r="AB251" s="1"/>
      <c r="AC251" s="1"/>
      <c r="AD251" s="1"/>
      <c r="AE251" s="1"/>
      <c r="AF251" s="1" t="s">
        <v>1249</v>
      </c>
      <c r="AG251" s="2" t="str">
        <f>"0984459839"</f>
        <v>0984459839</v>
      </c>
      <c r="AH251" s="2" t="str">
        <f>"9780984459834"</f>
        <v>9780984459834</v>
      </c>
      <c r="AI251" s="1">
        <v>0.0</v>
      </c>
      <c r="AJ251" s="1">
        <v>4.53</v>
      </c>
      <c r="AK251" s="1" t="s">
        <v>1250</v>
      </c>
      <c r="AL251" s="1" t="s">
        <v>28</v>
      </c>
      <c r="AM251" s="1">
        <v>632.0</v>
      </c>
      <c r="AN251" s="1">
        <v>2011.0</v>
      </c>
      <c r="AO251" s="1">
        <v>1982.0</v>
      </c>
      <c r="AQ251" s="3">
        <v>43926.0</v>
      </c>
      <c r="AR251" s="1" t="s">
        <v>1196</v>
      </c>
      <c r="AS251" s="1" t="s">
        <v>1251</v>
      </c>
      <c r="AT251" s="1" t="s">
        <v>31</v>
      </c>
      <c r="AX251" s="1">
        <v>0.0</v>
      </c>
      <c r="AY251" s="1">
        <v>0.0</v>
      </c>
    </row>
    <row r="252" spans="20:51" ht="15.75" hidden="1">
      <c r="T252" s="1">
        <v>682327.0</v>
      </c>
      <c r="U252" s="1"/>
      <c r="V252" s="1"/>
      <c r="W252" s="1"/>
      <c r="X252" s="1"/>
      <c r="Y252" s="1" t="s">
        <v>1252</v>
      </c>
      <c r="Z252" s="1" t="s">
        <v>632</v>
      </c>
      <c r="AA252" s="1" t="s">
        <v>633</v>
      </c>
      <c r="AB252" s="1"/>
      <c r="AC252" s="1"/>
      <c r="AD252" s="1"/>
      <c r="AE252" s="1"/>
      <c r="AG252" s="2" t="str">
        <f>"0394523865"</f>
        <v>0394523865</v>
      </c>
      <c r="AH252" s="2" t="str">
        <f>"9780394523866"</f>
        <v>9780394523866</v>
      </c>
      <c r="AI252" s="1">
        <v>0.0</v>
      </c>
      <c r="AJ252" s="1">
        <v>4.3</v>
      </c>
      <c r="AK252" s="1" t="s">
        <v>1253</v>
      </c>
      <c r="AL252" s="1" t="s">
        <v>41</v>
      </c>
      <c r="AM252" s="1">
        <v>93.0</v>
      </c>
      <c r="AN252" s="1">
        <v>1982.0</v>
      </c>
      <c r="AO252" s="1">
        <v>1982.0</v>
      </c>
      <c r="AQ252" s="3">
        <v>43141.0</v>
      </c>
      <c r="AR252" s="1" t="s">
        <v>1196</v>
      </c>
      <c r="AS252" s="1" t="s">
        <v>1254</v>
      </c>
      <c r="AT252" s="1" t="s">
        <v>31</v>
      </c>
      <c r="AX252" s="1">
        <v>0.0</v>
      </c>
      <c r="AY252" s="1">
        <v>0.0</v>
      </c>
    </row>
    <row r="253" spans="20:51" ht="15.75" hidden="1">
      <c r="T253" s="1">
        <v>109237.0</v>
      </c>
      <c r="U253" s="1"/>
      <c r="V253" s="1"/>
      <c r="W253" s="1"/>
      <c r="X253" s="1"/>
      <c r="Y253" s="1" t="s">
        <v>1255</v>
      </c>
      <c r="Z253" s="1" t="s">
        <v>1256</v>
      </c>
      <c r="AA253" s="1" t="s">
        <v>1257</v>
      </c>
      <c r="AB253" s="1"/>
      <c r="AC253" s="1"/>
      <c r="AD253" s="1"/>
      <c r="AE253" s="1"/>
      <c r="AF253" s="1" t="s">
        <v>1258</v>
      </c>
      <c r="AG253" s="2" t="str">
        <f>"0140587217"</f>
        <v>0140587217</v>
      </c>
      <c r="AH253" s="2" t="str">
        <f>"9780140587210"</f>
        <v>9780140587210</v>
      </c>
      <c r="AI253" s="1">
        <v>5.0</v>
      </c>
      <c r="AJ253" s="1">
        <v>4.35</v>
      </c>
      <c r="AK253" s="1" t="s">
        <v>460</v>
      </c>
      <c r="AL253" s="1" t="s">
        <v>28</v>
      </c>
      <c r="AM253" s="1">
        <v>496.0</v>
      </c>
      <c r="AN253" s="1">
        <v>2000.0</v>
      </c>
      <c r="AO253" s="1">
        <v>1971.0</v>
      </c>
      <c r="AQ253" s="3">
        <v>41585.0</v>
      </c>
      <c r="AR253" s="1" t="s">
        <v>1259</v>
      </c>
      <c r="AS253" s="1" t="s">
        <v>1260</v>
      </c>
      <c r="AT253" s="1" t="s">
        <v>31</v>
      </c>
      <c r="AX253" s="1">
        <v>1.0</v>
      </c>
      <c r="AY253" s="1">
        <v>1.0</v>
      </c>
    </row>
    <row r="254" spans="20:51" ht="15.75" hidden="1">
      <c r="T254" s="1">
        <v>160653.0</v>
      </c>
      <c r="U254" s="1"/>
      <c r="V254" s="1"/>
      <c r="W254" s="1"/>
      <c r="X254" s="1"/>
      <c r="Y254" s="1" t="s">
        <v>1261</v>
      </c>
      <c r="Z254" s="1" t="s">
        <v>1262</v>
      </c>
      <c r="AA254" s="1" t="s">
        <v>1263</v>
      </c>
      <c r="AB254" s="1"/>
      <c r="AC254" s="1"/>
      <c r="AD254" s="1"/>
      <c r="AE254" s="1"/>
      <c r="AG254" s="2" t="str">
        <f>"1890447048"</f>
        <v>1890447048</v>
      </c>
      <c r="AH254" s="2" t="str">
        <f>"9781890447045"</f>
        <v>9781890447045</v>
      </c>
      <c r="AI254" s="1">
        <v>0.0</v>
      </c>
      <c r="AJ254" s="1">
        <v>4.36</v>
      </c>
      <c r="AK254" s="1" t="s">
        <v>1264</v>
      </c>
      <c r="AL254" s="1" t="s">
        <v>28</v>
      </c>
      <c r="AM254" s="1">
        <v>96.0</v>
      </c>
      <c r="AN254" s="1">
        <v>1999.0</v>
      </c>
      <c r="AO254" s="1">
        <v>1999.0</v>
      </c>
      <c r="AQ254" s="3">
        <v>42107.0</v>
      </c>
      <c r="AR254" s="1" t="s">
        <v>1196</v>
      </c>
      <c r="AS254" s="1" t="s">
        <v>1265</v>
      </c>
      <c r="AT254" s="1" t="s">
        <v>31</v>
      </c>
      <c r="AX254" s="1">
        <v>0.0</v>
      </c>
      <c r="AY254" s="1">
        <v>0.0</v>
      </c>
    </row>
    <row r="255" spans="20:51" ht="15.75" hidden="1">
      <c r="T255" s="1">
        <v>1.3707664E7</v>
      </c>
      <c r="U255" s="1"/>
      <c r="V255" s="1"/>
      <c r="W255" s="1"/>
      <c r="X255" s="1"/>
      <c r="Y255" s="1" t="s">
        <v>1266</v>
      </c>
      <c r="Z255" s="1" t="s">
        <v>1267</v>
      </c>
      <c r="AA255" s="1" t="s">
        <v>1268</v>
      </c>
      <c r="AB255" s="1"/>
      <c r="AC255" s="1"/>
      <c r="AD255" s="1"/>
      <c r="AE255" s="1"/>
      <c r="AG255" s="2" t="str">
        <f>"0393341860"</f>
        <v>0393341860</v>
      </c>
      <c r="AH255" s="2" t="str">
        <f>"9780393341867"</f>
        <v>9780393341867</v>
      </c>
      <c r="AI255" s="1">
        <v>0.0</v>
      </c>
      <c r="AJ255" s="1">
        <v>4.1</v>
      </c>
      <c r="AK255" s="1" t="s">
        <v>113</v>
      </c>
      <c r="AL255" s="1" t="s">
        <v>28</v>
      </c>
      <c r="AM255" s="1">
        <v>1040.0</v>
      </c>
      <c r="AN255" s="1">
        <v>2013.0</v>
      </c>
      <c r="AO255" s="1">
        <v>1994.0</v>
      </c>
      <c r="AQ255" s="3">
        <v>41368.0</v>
      </c>
      <c r="AR255" s="1" t="s">
        <v>1196</v>
      </c>
      <c r="AS255" s="1" t="s">
        <v>1269</v>
      </c>
      <c r="AT255" s="1" t="s">
        <v>31</v>
      </c>
      <c r="AX255" s="1">
        <v>0.0</v>
      </c>
      <c r="AY255" s="1">
        <v>0.0</v>
      </c>
    </row>
    <row r="256" spans="20:51" ht="15.75" hidden="1">
      <c r="T256" s="1">
        <v>153480.0</v>
      </c>
      <c r="U256" s="1"/>
      <c r="V256" s="1"/>
      <c r="W256" s="1"/>
      <c r="X256" s="1"/>
      <c r="Y256" s="1" t="s">
        <v>1270</v>
      </c>
      <c r="Z256" s="1" t="s">
        <v>444</v>
      </c>
      <c r="AA256" s="1" t="s">
        <v>445</v>
      </c>
      <c r="AB256" s="1"/>
      <c r="AC256" s="1"/>
      <c r="AD256" s="1"/>
      <c r="AE256" s="1"/>
      <c r="AG256" s="2" t="str">
        <f>"0385518579"</f>
        <v>0385518579</v>
      </c>
      <c r="AH256" s="2" t="str">
        <f>"9780385518574"</f>
        <v>9780385518574</v>
      </c>
      <c r="AI256" s="1">
        <v>0.0</v>
      </c>
      <c r="AJ256" s="1">
        <v>3.93</v>
      </c>
      <c r="AK256" s="1" t="s">
        <v>1271</v>
      </c>
      <c r="AL256" s="1" t="s">
        <v>28</v>
      </c>
      <c r="AM256" s="1">
        <v>208.0</v>
      </c>
      <c r="AN256" s="1">
        <v>1998.0</v>
      </c>
      <c r="AO256" s="1">
        <v>1996.0</v>
      </c>
      <c r="AQ256" s="3">
        <v>45122.0</v>
      </c>
      <c r="AR256" s="1" t="s">
        <v>1272</v>
      </c>
      <c r="AS256" s="1" t="s">
        <v>1273</v>
      </c>
      <c r="AT256" s="1" t="s">
        <v>31</v>
      </c>
      <c r="AX256" s="1">
        <v>0.0</v>
      </c>
      <c r="AY256" s="1">
        <v>0.0</v>
      </c>
    </row>
    <row r="257" spans="20:51" ht="15.75" hidden="1">
      <c r="T257" s="1">
        <v>5.6246237E7</v>
      </c>
      <c r="U257" s="1"/>
      <c r="V257" s="1"/>
      <c r="W257" s="1"/>
      <c r="X257" s="1"/>
      <c r="Y257" s="1" t="s">
        <v>1274</v>
      </c>
      <c r="Z257" s="1" t="s">
        <v>1275</v>
      </c>
      <c r="AA257" s="1" t="s">
        <v>1276</v>
      </c>
      <c r="AB257" s="1"/>
      <c r="AC257" s="1"/>
      <c r="AD257" s="1"/>
      <c r="AE257" s="1"/>
      <c r="AG257" s="2" t="str">
        <f>"1787331652"</f>
        <v>1787331652</v>
      </c>
      <c r="AH257" s="2" t="str">
        <f>"9781787331655"</f>
        <v>9781787331655</v>
      </c>
      <c r="AI257" s="1">
        <v>0.0</v>
      </c>
      <c r="AJ257" s="1">
        <v>3.86</v>
      </c>
      <c r="AK257" s="1" t="s">
        <v>1277</v>
      </c>
      <c r="AL257" s="1" t="s">
        <v>41</v>
      </c>
      <c r="AM257" s="1">
        <v>336.0</v>
      </c>
      <c r="AN257" s="1">
        <v>2021.0</v>
      </c>
      <c r="AQ257" s="3">
        <v>45120.0</v>
      </c>
      <c r="AR257" s="1" t="s">
        <v>1272</v>
      </c>
      <c r="AS257" s="1" t="s">
        <v>1278</v>
      </c>
      <c r="AT257" s="1" t="s">
        <v>31</v>
      </c>
      <c r="AX257" s="1">
        <v>0.0</v>
      </c>
      <c r="AY257" s="1">
        <v>0.0</v>
      </c>
    </row>
    <row r="258" spans="20:51" ht="15.75" hidden="1">
      <c r="T258" s="1">
        <v>278316.0</v>
      </c>
      <c r="U258" s="1"/>
      <c r="V258" s="1"/>
      <c r="W258" s="1"/>
      <c r="X258" s="1"/>
      <c r="Y258" s="1" t="s">
        <v>1279</v>
      </c>
      <c r="Z258" s="1" t="s">
        <v>1280</v>
      </c>
      <c r="AA258" s="1" t="s">
        <v>1281</v>
      </c>
      <c r="AB258" s="1"/>
      <c r="AC258" s="1"/>
      <c r="AD258" s="1"/>
      <c r="AE258" s="1"/>
      <c r="AF258" s="1" t="s">
        <v>1282</v>
      </c>
      <c r="AG258" s="2" t="str">
        <f>"0140437827"</f>
        <v>0140437827</v>
      </c>
      <c r="AH258" s="2" t="str">
        <f>"9780140437829"</f>
        <v>9780140437829</v>
      </c>
      <c r="AI258" s="1">
        <v>0.0</v>
      </c>
      <c r="AJ258" s="1">
        <v>4.04</v>
      </c>
      <c r="AK258" s="1" t="s">
        <v>232</v>
      </c>
      <c r="AL258" s="1" t="s">
        <v>28</v>
      </c>
      <c r="AM258" s="1">
        <v>174.0</v>
      </c>
      <c r="AN258" s="1">
        <v>2003.0</v>
      </c>
      <c r="AO258" s="1">
        <v>-699.0</v>
      </c>
      <c r="AQ258" s="3">
        <v>45126.0</v>
      </c>
      <c r="AR258" s="1" t="s">
        <v>1272</v>
      </c>
      <c r="AS258" s="1" t="s">
        <v>1283</v>
      </c>
      <c r="AT258" s="1" t="s">
        <v>31</v>
      </c>
      <c r="AX258" s="1">
        <v>0.0</v>
      </c>
      <c r="AY258" s="1">
        <v>0.0</v>
      </c>
    </row>
    <row r="259" spans="20:51" ht="15.75" hidden="1">
      <c r="T259" s="1">
        <v>5800063.0</v>
      </c>
      <c r="U259" s="1"/>
      <c r="V259" s="1"/>
      <c r="W259" s="1"/>
      <c r="X259" s="1"/>
      <c r="Y259" s="1" t="s">
        <v>1284</v>
      </c>
      <c r="Z259" s="1" t="s">
        <v>500</v>
      </c>
      <c r="AA259" s="1" t="s">
        <v>1285</v>
      </c>
      <c r="AB259" s="1"/>
      <c r="AC259" s="1"/>
      <c r="AD259" s="1"/>
      <c r="AE259" s="1"/>
      <c r="AG259" s="2" t="str">
        <f>"0415478901"</f>
        <v>0415478901</v>
      </c>
      <c r="AH259" s="2" t="str">
        <f>"9780415478908"</f>
        <v>9780415478908</v>
      </c>
      <c r="AI259" s="1">
        <v>0.0</v>
      </c>
      <c r="AJ259" s="1">
        <v>4.38</v>
      </c>
      <c r="AK259" s="1" t="s">
        <v>132</v>
      </c>
      <c r="AL259" s="1" t="s">
        <v>28</v>
      </c>
      <c r="AM259" s="1">
        <v>776.0</v>
      </c>
      <c r="AN259" s="1">
        <v>2003.0</v>
      </c>
      <c r="AO259" s="1">
        <v>2003.0</v>
      </c>
      <c r="AQ259" s="3">
        <v>45120.0</v>
      </c>
      <c r="AR259" s="1" t="s">
        <v>1272</v>
      </c>
      <c r="AS259" s="1" t="s">
        <v>1286</v>
      </c>
      <c r="AT259" s="1" t="s">
        <v>31</v>
      </c>
      <c r="AX259" s="1">
        <v>0.0</v>
      </c>
      <c r="AY259" s="1">
        <v>0.0</v>
      </c>
    </row>
    <row r="260" spans="20:51" ht="15.75" hidden="1">
      <c r="T260" s="1">
        <v>1.7900295E7</v>
      </c>
      <c r="U260" s="1"/>
      <c r="V260" s="1"/>
      <c r="W260" s="1"/>
      <c r="X260" s="1"/>
      <c r="Y260" s="1" t="s">
        <v>1287</v>
      </c>
      <c r="Z260" s="1" t="s">
        <v>1288</v>
      </c>
      <c r="AA260" s="1" t="s">
        <v>1289</v>
      </c>
      <c r="AB260" s="1"/>
      <c r="AC260" s="1"/>
      <c r="AD260" s="1"/>
      <c r="AE260" s="1"/>
      <c r="AG260" s="2" t="str">
        <f>"9608189071"</f>
        <v>9608189071</v>
      </c>
      <c r="AH260" s="2" t="str">
        <f>"9789608189072"</f>
        <v>9789608189072</v>
      </c>
      <c r="AI260" s="1">
        <v>0.0</v>
      </c>
      <c r="AJ260" s="1">
        <v>4.55</v>
      </c>
      <c r="AK260" s="1" t="s">
        <v>1290</v>
      </c>
      <c r="AL260" s="1" t="s">
        <v>41</v>
      </c>
      <c r="AM260" s="1">
        <v>500.0</v>
      </c>
      <c r="AN260" s="1">
        <v>2002.0</v>
      </c>
      <c r="AO260" s="1">
        <v>2001.0</v>
      </c>
      <c r="AQ260" s="3">
        <v>45120.0</v>
      </c>
      <c r="AR260" s="1" t="s">
        <v>1272</v>
      </c>
      <c r="AS260" s="1" t="s">
        <v>1291</v>
      </c>
      <c r="AT260" s="1" t="s">
        <v>31</v>
      </c>
      <c r="AX260" s="1">
        <v>0.0</v>
      </c>
      <c r="AY260" s="1">
        <v>0.0</v>
      </c>
    </row>
    <row r="261" spans="20:51" ht="15.75" hidden="1">
      <c r="T261" s="1">
        <v>287177.0</v>
      </c>
      <c r="U261" s="1"/>
      <c r="V261" s="1"/>
      <c r="W261" s="1"/>
      <c r="X261" s="1"/>
      <c r="Y261" s="1" t="s">
        <v>1292</v>
      </c>
      <c r="Z261" s="1" t="s">
        <v>1293</v>
      </c>
      <c r="AA261" s="1" t="s">
        <v>1294</v>
      </c>
      <c r="AB261" s="1"/>
      <c r="AC261" s="1"/>
      <c r="AD261" s="1"/>
      <c r="AE261" s="1"/>
      <c r="AG261" s="2" t="str">
        <f>"0801853605"</f>
        <v>0801853605</v>
      </c>
      <c r="AH261" s="2" t="str">
        <f>"9780801853609"</f>
        <v>9780801853609</v>
      </c>
      <c r="AI261" s="1">
        <v>0.0</v>
      </c>
      <c r="AJ261" s="1">
        <v>4.39</v>
      </c>
      <c r="AK261" s="1" t="s">
        <v>1295</v>
      </c>
      <c r="AL261" s="1" t="s">
        <v>28</v>
      </c>
      <c r="AM261" s="1">
        <v>584.0</v>
      </c>
      <c r="AN261" s="1">
        <v>1996.0</v>
      </c>
      <c r="AO261" s="1">
        <v>1993.0</v>
      </c>
      <c r="AQ261" s="3">
        <v>45120.0</v>
      </c>
      <c r="AR261" s="1" t="s">
        <v>1272</v>
      </c>
      <c r="AS261" s="1" t="s">
        <v>1296</v>
      </c>
      <c r="AT261" s="1" t="s">
        <v>31</v>
      </c>
      <c r="AX261" s="1">
        <v>0.0</v>
      </c>
      <c r="AY261" s="1">
        <v>0.0</v>
      </c>
    </row>
    <row r="262" spans="20:51" ht="15.75" hidden="1">
      <c r="T262" s="1">
        <v>784542.0</v>
      </c>
      <c r="U262" s="1"/>
      <c r="V262" s="1"/>
      <c r="W262" s="1"/>
      <c r="X262" s="1"/>
      <c r="Y262" s="1" t="s">
        <v>1297</v>
      </c>
      <c r="Z262" s="1" t="s">
        <v>1298</v>
      </c>
      <c r="AA262" s="1" t="s">
        <v>1299</v>
      </c>
      <c r="AB262" s="1"/>
      <c r="AC262" s="1"/>
      <c r="AD262" s="1"/>
      <c r="AE262" s="1"/>
      <c r="AF262" s="1" t="s">
        <v>1300</v>
      </c>
      <c r="AG262" s="2" t="str">
        <f>"0073535672"</f>
        <v>0073535672</v>
      </c>
      <c r="AH262" s="2" t="str">
        <f>"9780073535678"</f>
        <v>9780073535678</v>
      </c>
      <c r="AI262" s="1">
        <v>0.0</v>
      </c>
      <c r="AJ262" s="1">
        <v>4.05</v>
      </c>
      <c r="AK262" s="1" t="s">
        <v>1301</v>
      </c>
      <c r="AL262" s="1" t="s">
        <v>28</v>
      </c>
      <c r="AM262" s="1">
        <v>1152.0</v>
      </c>
      <c r="AN262" s="1">
        <v>2007.0</v>
      </c>
      <c r="AO262" s="1">
        <v>2000.0</v>
      </c>
      <c r="AQ262" s="3">
        <v>45120.0</v>
      </c>
      <c r="AR262" s="1" t="s">
        <v>1272</v>
      </c>
      <c r="AS262" s="1" t="s">
        <v>1302</v>
      </c>
      <c r="AT262" s="1" t="s">
        <v>31</v>
      </c>
      <c r="AX262" s="1">
        <v>0.0</v>
      </c>
      <c r="AY262" s="1">
        <v>0.0</v>
      </c>
    </row>
    <row r="263" spans="20:51" ht="15.75" hidden="1">
      <c r="T263" s="1">
        <v>794287.0</v>
      </c>
      <c r="U263" s="1"/>
      <c r="V263" s="1"/>
      <c r="W263" s="1"/>
      <c r="X263" s="1"/>
      <c r="Y263" s="1" t="s">
        <v>1303</v>
      </c>
      <c r="Z263" s="1" t="s">
        <v>1304</v>
      </c>
      <c r="AA263" s="1" t="s">
        <v>1305</v>
      </c>
      <c r="AB263" s="1"/>
      <c r="AC263" s="1"/>
      <c r="AD263" s="1"/>
      <c r="AE263" s="1"/>
      <c r="AG263" s="2" t="str">
        <f>"0520046889"</f>
        <v>0520046889</v>
      </c>
      <c r="AH263" s="2" t="str">
        <f>"9780520046887"</f>
        <v>9780520046887</v>
      </c>
      <c r="AI263" s="1">
        <v>0.0</v>
      </c>
      <c r="AJ263" s="1">
        <v>3.7</v>
      </c>
      <c r="AK263" s="1" t="s">
        <v>1306</v>
      </c>
      <c r="AL263" s="1" t="s">
        <v>28</v>
      </c>
      <c r="AM263" s="1">
        <v>288.0</v>
      </c>
      <c r="AN263" s="1">
        <v>1983.0</v>
      </c>
      <c r="AO263" s="1">
        <v>1971.0</v>
      </c>
      <c r="AQ263" s="3">
        <v>45120.0</v>
      </c>
      <c r="AR263" s="1" t="s">
        <v>1272</v>
      </c>
      <c r="AS263" s="1" t="s">
        <v>1307</v>
      </c>
      <c r="AT263" s="1" t="s">
        <v>31</v>
      </c>
      <c r="AX263" s="1">
        <v>0.0</v>
      </c>
      <c r="AY263" s="1">
        <v>0.0</v>
      </c>
    </row>
    <row r="264" spans="20:51" ht="15.75" hidden="1">
      <c r="T264" s="1">
        <v>1.8850836E7</v>
      </c>
      <c r="U264" s="1"/>
      <c r="V264" s="1"/>
      <c r="W264" s="1"/>
      <c r="X264" s="1"/>
      <c r="Y264" s="1" t="s">
        <v>1308</v>
      </c>
      <c r="Z264" s="1" t="s">
        <v>1309</v>
      </c>
      <c r="AA264" s="1" t="s">
        <v>1310</v>
      </c>
      <c r="AB264" s="1"/>
      <c r="AC264" s="1"/>
      <c r="AD264" s="1"/>
      <c r="AE264" s="1"/>
      <c r="AG264" s="2" t="str">
        <f>"142141418X"</f>
        <v>142141418X</v>
      </c>
      <c r="AH264" s="2" t="str">
        <f>"9781421414188"</f>
        <v>9781421414188</v>
      </c>
      <c r="AI264" s="1">
        <v>0.0</v>
      </c>
      <c r="AJ264" s="1">
        <v>3.81</v>
      </c>
      <c r="AK264" s="1" t="s">
        <v>1295</v>
      </c>
      <c r="AL264" s="1" t="s">
        <v>41</v>
      </c>
      <c r="AM264" s="1">
        <v>480.0</v>
      </c>
      <c r="AN264" s="1">
        <v>2014.0</v>
      </c>
      <c r="AO264" s="1">
        <v>1990.0</v>
      </c>
      <c r="AQ264" s="3">
        <v>45120.0</v>
      </c>
      <c r="AR264" s="1" t="s">
        <v>1272</v>
      </c>
      <c r="AS264" s="1" t="s">
        <v>1311</v>
      </c>
      <c r="AT264" s="1" t="s">
        <v>31</v>
      </c>
      <c r="AX264" s="1">
        <v>0.0</v>
      </c>
      <c r="AY264" s="1">
        <v>0.0</v>
      </c>
    </row>
    <row r="265" spans="20:51" ht="15.75" hidden="1">
      <c r="T265" s="1">
        <v>1.4319016E7</v>
      </c>
      <c r="U265" s="1"/>
      <c r="V265" s="1"/>
      <c r="W265" s="1"/>
      <c r="X265" s="1"/>
      <c r="Y265" s="1" t="s">
        <v>1312</v>
      </c>
      <c r="Z265" s="1" t="s">
        <v>1313</v>
      </c>
      <c r="AA265" s="1" t="s">
        <v>1314</v>
      </c>
      <c r="AB265" s="1"/>
      <c r="AC265" s="1"/>
      <c r="AD265" s="1"/>
      <c r="AE265" s="1"/>
      <c r="AG265" s="2" t="str">
        <f>"1405194553"</f>
        <v>1405194553</v>
      </c>
      <c r="AH265" s="2" t="str">
        <f>"9781405194556"</f>
        <v>9781405194556</v>
      </c>
      <c r="AI265" s="1">
        <v>0.0</v>
      </c>
      <c r="AJ265" s="1">
        <v>3.96</v>
      </c>
      <c r="AK265" s="1" t="s">
        <v>1315</v>
      </c>
      <c r="AL265" s="1" t="s">
        <v>28</v>
      </c>
      <c r="AM265" s="1">
        <v>224.0</v>
      </c>
      <c r="AN265" s="1">
        <v>2012.0</v>
      </c>
      <c r="AO265" s="1">
        <v>2012.0</v>
      </c>
      <c r="AQ265" s="3">
        <v>45120.0</v>
      </c>
      <c r="AR265" s="1" t="s">
        <v>1272</v>
      </c>
      <c r="AS265" s="1" t="s">
        <v>1316</v>
      </c>
      <c r="AT265" s="1" t="s">
        <v>31</v>
      </c>
      <c r="AX265" s="1">
        <v>0.0</v>
      </c>
      <c r="AY265" s="1">
        <v>0.0</v>
      </c>
    </row>
    <row r="266" spans="20:51" ht="15.75" hidden="1">
      <c r="T266" s="1">
        <v>390745.0</v>
      </c>
      <c r="U266" s="1"/>
      <c r="V266" s="1"/>
      <c r="W266" s="1"/>
      <c r="X266" s="1"/>
      <c r="Y266" s="1" t="s">
        <v>1317</v>
      </c>
      <c r="Z266" s="1" t="s">
        <v>1318</v>
      </c>
      <c r="AA266" s="1" t="s">
        <v>1319</v>
      </c>
      <c r="AB266" s="1"/>
      <c r="AC266" s="1"/>
      <c r="AD266" s="1"/>
      <c r="AE266" s="1"/>
      <c r="AG266" s="2" t="str">
        <f>"0415061350"</f>
        <v>0415061350</v>
      </c>
      <c r="AH266" s="2" t="str">
        <f>"9780415061353"</f>
        <v>9780415061353</v>
      </c>
      <c r="AI266" s="1">
        <v>0.0</v>
      </c>
      <c r="AJ266" s="1">
        <v>3.54</v>
      </c>
      <c r="AK266" s="1" t="s">
        <v>132</v>
      </c>
      <c r="AL266" s="1" t="s">
        <v>28</v>
      </c>
      <c r="AM266" s="1">
        <v>204.0</v>
      </c>
      <c r="AN266" s="1">
        <v>1992.0</v>
      </c>
      <c r="AO266" s="1">
        <v>1992.0</v>
      </c>
      <c r="AQ266" s="3">
        <v>45120.0</v>
      </c>
      <c r="AR266" s="1" t="s">
        <v>1272</v>
      </c>
      <c r="AS266" s="1" t="s">
        <v>1320</v>
      </c>
      <c r="AT266" s="1" t="s">
        <v>31</v>
      </c>
      <c r="AX266" s="1">
        <v>0.0</v>
      </c>
      <c r="AY266" s="1">
        <v>0.0</v>
      </c>
    </row>
    <row r="267" spans="20:51" ht="15.75" hidden="1">
      <c r="T267" s="1">
        <v>1274222.0</v>
      </c>
      <c r="U267" s="1"/>
      <c r="V267" s="1"/>
      <c r="W267" s="1"/>
      <c r="X267" s="1"/>
      <c r="Y267" s="1" t="s">
        <v>1321</v>
      </c>
      <c r="Z267" s="1" t="s">
        <v>1322</v>
      </c>
      <c r="AA267" s="1" t="s">
        <v>1323</v>
      </c>
      <c r="AB267" s="1"/>
      <c r="AC267" s="1"/>
      <c r="AD267" s="1"/>
      <c r="AE267" s="1"/>
      <c r="AG267" s="2" t="str">
        <f>"1890482935"</f>
        <v>1890482935</v>
      </c>
      <c r="AH267" s="2" t="str">
        <f>"9781890482930"</f>
        <v>9781890482930</v>
      </c>
      <c r="AI267" s="1">
        <v>0.0</v>
      </c>
      <c r="AJ267" s="1">
        <v>3.82</v>
      </c>
      <c r="AK267" s="1" t="s">
        <v>1324</v>
      </c>
      <c r="AL267" s="1" t="s">
        <v>28</v>
      </c>
      <c r="AM267" s="1">
        <v>288.0</v>
      </c>
      <c r="AN267" s="1">
        <v>1997.0</v>
      </c>
      <c r="AO267" s="1">
        <v>1997.0</v>
      </c>
      <c r="AQ267" s="3">
        <v>45120.0</v>
      </c>
      <c r="AR267" s="1" t="s">
        <v>1272</v>
      </c>
      <c r="AS267" s="1" t="s">
        <v>1325</v>
      </c>
      <c r="AT267" s="1" t="s">
        <v>31</v>
      </c>
      <c r="AX267" s="1">
        <v>0.0</v>
      </c>
      <c r="AY267" s="1">
        <v>0.0</v>
      </c>
    </row>
    <row r="268" spans="20:51" ht="15.75" hidden="1">
      <c r="T268" s="1">
        <v>4037619.0</v>
      </c>
      <c r="U268" s="1"/>
      <c r="V268" s="1"/>
      <c r="W268" s="1"/>
      <c r="X268" s="1"/>
      <c r="Y268" s="1" t="s">
        <v>1326</v>
      </c>
      <c r="Z268" s="1" t="s">
        <v>1327</v>
      </c>
      <c r="AA268" s="1" t="s">
        <v>1328</v>
      </c>
      <c r="AB268" s="1"/>
      <c r="AC268" s="1"/>
      <c r="AD268" s="1"/>
      <c r="AE268" s="1"/>
      <c r="AG268" s="2" t="str">
        <f>"9025607969"</f>
        <v>9025607969</v>
      </c>
      <c r="AH268" s="2" t="str">
        <f>"9789025607968"</f>
        <v>9789025607968</v>
      </c>
      <c r="AI268" s="1">
        <v>0.0</v>
      </c>
      <c r="AJ268" s="1">
        <v>4.2</v>
      </c>
      <c r="AK268" s="1" t="s">
        <v>1329</v>
      </c>
      <c r="AL268" s="1" t="s">
        <v>28</v>
      </c>
      <c r="AM268" s="1">
        <v>265.0</v>
      </c>
      <c r="AN268" s="1">
        <v>1979.0</v>
      </c>
      <c r="AQ268" s="3">
        <v>45120.0</v>
      </c>
      <c r="AR268" s="1" t="s">
        <v>1272</v>
      </c>
      <c r="AS268" s="1" t="s">
        <v>1330</v>
      </c>
      <c r="AT268" s="1" t="s">
        <v>31</v>
      </c>
      <c r="AX268" s="1">
        <v>0.0</v>
      </c>
      <c r="AY268" s="1">
        <v>0.0</v>
      </c>
    </row>
    <row r="269" spans="20:51" ht="15.75" hidden="1">
      <c r="T269" s="1">
        <v>560238.0</v>
      </c>
      <c r="U269" s="1"/>
      <c r="V269" s="1"/>
      <c r="W269" s="1"/>
      <c r="X269" s="1"/>
      <c r="Y269" s="1" t="s">
        <v>1331</v>
      </c>
      <c r="Z269" s="1" t="s">
        <v>587</v>
      </c>
      <c r="AA269" s="1" t="s">
        <v>588</v>
      </c>
      <c r="AB269" s="1"/>
      <c r="AC269" s="1"/>
      <c r="AD269" s="1"/>
      <c r="AE269" s="1"/>
      <c r="AG269" s="2" t="str">
        <f>"0520047702"</f>
        <v>0520047702</v>
      </c>
      <c r="AH269" s="2" t="str">
        <f>"9780520047709"</f>
        <v>9780520047709</v>
      </c>
      <c r="AI269" s="1">
        <v>0.0</v>
      </c>
      <c r="AJ269" s="1">
        <v>3.84</v>
      </c>
      <c r="AK269" s="1" t="s">
        <v>1306</v>
      </c>
      <c r="AL269" s="1" t="s">
        <v>28</v>
      </c>
      <c r="AM269" s="1">
        <v>248.0</v>
      </c>
      <c r="AN269" s="1">
        <v>1982.0</v>
      </c>
      <c r="AO269" s="1">
        <v>1980.0</v>
      </c>
      <c r="AQ269" s="3">
        <v>45120.0</v>
      </c>
      <c r="AR269" s="1" t="s">
        <v>1272</v>
      </c>
      <c r="AS269" s="1" t="s">
        <v>1332</v>
      </c>
      <c r="AT269" s="1" t="s">
        <v>31</v>
      </c>
      <c r="AX269" s="1">
        <v>0.0</v>
      </c>
      <c r="AY269" s="1">
        <v>0.0</v>
      </c>
    </row>
    <row r="270" spans="20:51" ht="15.75" hidden="1">
      <c r="T270" s="1">
        <v>1.7674372E7</v>
      </c>
      <c r="U270" s="1"/>
      <c r="V270" s="1"/>
      <c r="W270" s="1"/>
      <c r="X270" s="1"/>
      <c r="Y270" s="1" t="s">
        <v>1333</v>
      </c>
      <c r="Z270" s="1" t="s">
        <v>587</v>
      </c>
      <c r="AA270" s="1" t="s">
        <v>588</v>
      </c>
      <c r="AB270" s="1"/>
      <c r="AC270" s="1"/>
      <c r="AD270" s="1"/>
      <c r="AE270" s="1"/>
      <c r="AF270" s="1" t="s">
        <v>1334</v>
      </c>
      <c r="AG270" s="2" t="str">
        <f>"022610043X"</f>
        <v>022610043X</v>
      </c>
      <c r="AH270" s="2" t="str">
        <f>"9780226100432"</f>
        <v>9780226100432</v>
      </c>
      <c r="AI270" s="1">
        <v>0.0</v>
      </c>
      <c r="AJ270" s="1">
        <v>3.8</v>
      </c>
      <c r="AK270" s="1" t="s">
        <v>224</v>
      </c>
      <c r="AL270" s="1" t="s">
        <v>28</v>
      </c>
      <c r="AM270" s="1">
        <v>110.0</v>
      </c>
      <c r="AN270" s="1">
        <v>2013.0</v>
      </c>
      <c r="AO270" s="1">
        <v>1990.0</v>
      </c>
      <c r="AQ270" s="3">
        <v>45120.0</v>
      </c>
      <c r="AR270" s="1" t="s">
        <v>1272</v>
      </c>
      <c r="AS270" s="1" t="s">
        <v>1335</v>
      </c>
      <c r="AT270" s="1" t="s">
        <v>31</v>
      </c>
      <c r="AX270" s="1">
        <v>0.0</v>
      </c>
      <c r="AY270" s="1">
        <v>0.0</v>
      </c>
    </row>
    <row r="271" spans="20:51" ht="15.75" hidden="1">
      <c r="T271" s="1">
        <v>560237.0</v>
      </c>
      <c r="U271" s="1"/>
      <c r="V271" s="1"/>
      <c r="W271" s="1"/>
      <c r="X271" s="1"/>
      <c r="Y271" s="1" t="s">
        <v>1336</v>
      </c>
      <c r="Z271" s="1" t="s">
        <v>1337</v>
      </c>
      <c r="AA271" s="1" t="s">
        <v>1338</v>
      </c>
      <c r="AB271" s="1"/>
      <c r="AC271" s="1"/>
      <c r="AD271" s="1"/>
      <c r="AE271" s="1"/>
      <c r="AG271" s="2" t="str">
        <f>"038920871X"</f>
        <v>038920871X</v>
      </c>
      <c r="AH271" s="2" t="str">
        <f>"9780389208716"</f>
        <v>9780389208716</v>
      </c>
      <c r="AI271" s="1">
        <v>0.0</v>
      </c>
      <c r="AJ271" s="1">
        <v>4.25</v>
      </c>
      <c r="AK271" s="1" t="s">
        <v>1339</v>
      </c>
      <c r="AL271" s="1" t="s">
        <v>28</v>
      </c>
      <c r="AO271" s="1">
        <v>1988.0</v>
      </c>
      <c r="AQ271" s="3">
        <v>45120.0</v>
      </c>
      <c r="AR271" s="1" t="s">
        <v>1272</v>
      </c>
      <c r="AS271" s="1" t="s">
        <v>1340</v>
      </c>
      <c r="AT271" s="1" t="s">
        <v>31</v>
      </c>
      <c r="AX271" s="1">
        <v>0.0</v>
      </c>
      <c r="AY271" s="1">
        <v>0.0</v>
      </c>
    </row>
    <row r="272" spans="20:51" ht="15.75" hidden="1">
      <c r="T272" s="1">
        <v>8010357.0</v>
      </c>
      <c r="U272" s="1"/>
      <c r="V272" s="1"/>
      <c r="W272" s="1"/>
      <c r="X272" s="1"/>
      <c r="Y272" s="1" t="s">
        <v>1341</v>
      </c>
      <c r="Z272" s="1" t="s">
        <v>1337</v>
      </c>
      <c r="AA272" s="1" t="s">
        <v>1338</v>
      </c>
      <c r="AB272" s="1"/>
      <c r="AC272" s="1"/>
      <c r="AD272" s="1"/>
      <c r="AE272" s="1"/>
      <c r="AF272" s="1" t="s">
        <v>1342</v>
      </c>
      <c r="AG272" s="2" t="str">
        <f>"0748637982"</f>
        <v>0748637982</v>
      </c>
      <c r="AH272" s="2" t="str">
        <f>"9780748637980"</f>
        <v>9780748637980</v>
      </c>
      <c r="AI272" s="1">
        <v>0.0</v>
      </c>
      <c r="AJ272" s="1">
        <v>3.75</v>
      </c>
      <c r="AK272" s="1" t="s">
        <v>1343</v>
      </c>
      <c r="AL272" s="1" t="s">
        <v>41</v>
      </c>
      <c r="AM272" s="1">
        <v>552.0</v>
      </c>
      <c r="AN272" s="1">
        <v>2010.0</v>
      </c>
      <c r="AO272" s="1">
        <v>2010.0</v>
      </c>
      <c r="AQ272" s="3">
        <v>45120.0</v>
      </c>
      <c r="AR272" s="1" t="s">
        <v>1272</v>
      </c>
      <c r="AS272" s="1" t="s">
        <v>1344</v>
      </c>
      <c r="AT272" s="1" t="s">
        <v>31</v>
      </c>
      <c r="AX272" s="1">
        <v>0.0</v>
      </c>
      <c r="AY272" s="1">
        <v>0.0</v>
      </c>
    </row>
    <row r="273" spans="20:51" ht="15.75" hidden="1">
      <c r="T273" s="1">
        <v>23520.0</v>
      </c>
      <c r="U273" s="1"/>
      <c r="V273" s="1"/>
      <c r="W273" s="1"/>
      <c r="X273" s="1"/>
      <c r="Y273" s="1" t="s">
        <v>1345</v>
      </c>
      <c r="Z273" s="1" t="s">
        <v>1346</v>
      </c>
      <c r="AA273" s="1" t="s">
        <v>1347</v>
      </c>
      <c r="AB273" s="1"/>
      <c r="AC273" s="1"/>
      <c r="AD273" s="1"/>
      <c r="AE273" s="1"/>
      <c r="AG273" s="2" t="str">
        <f>"0500251215"</f>
        <v>0500251215</v>
      </c>
      <c r="AH273" s="2" t="str">
        <f>"9780500251218"</f>
        <v>9780500251218</v>
      </c>
      <c r="AI273" s="1">
        <v>0.0</v>
      </c>
      <c r="AJ273" s="1">
        <v>4.24</v>
      </c>
      <c r="AK273" s="1" t="s">
        <v>435</v>
      </c>
      <c r="AL273" s="1" t="s">
        <v>41</v>
      </c>
      <c r="AM273" s="1">
        <v>256.0</v>
      </c>
      <c r="AN273" s="1">
        <v>2004.0</v>
      </c>
      <c r="AO273" s="1">
        <v>2004.0</v>
      </c>
      <c r="AQ273" s="3">
        <v>45120.0</v>
      </c>
      <c r="AR273" s="1" t="s">
        <v>1272</v>
      </c>
      <c r="AS273" s="1" t="s">
        <v>1348</v>
      </c>
      <c r="AT273" s="1" t="s">
        <v>31</v>
      </c>
      <c r="AX273" s="1">
        <v>0.0</v>
      </c>
      <c r="AY273" s="1">
        <v>0.0</v>
      </c>
    </row>
    <row r="274" spans="20:51" ht="15.75" hidden="1">
      <c r="T274" s="1">
        <v>1037628.0</v>
      </c>
      <c r="U274" s="1"/>
      <c r="V274" s="1"/>
      <c r="W274" s="1"/>
      <c r="X274" s="1"/>
      <c r="Y274" s="1" t="s">
        <v>1349</v>
      </c>
      <c r="Z274" s="1" t="s">
        <v>1350</v>
      </c>
      <c r="AA274" s="1" t="s">
        <v>1351</v>
      </c>
      <c r="AB274" s="1"/>
      <c r="AC274" s="1"/>
      <c r="AD274" s="1"/>
      <c r="AE274" s="1"/>
      <c r="AG274" s="2" t="str">
        <f>"0415324882"</f>
        <v>0415324882</v>
      </c>
      <c r="AH274" s="2" t="str">
        <f>"9780415324885"</f>
        <v>9780415324885</v>
      </c>
      <c r="AI274" s="1">
        <v>0.0</v>
      </c>
      <c r="AJ274" s="1">
        <v>3.79</v>
      </c>
      <c r="AK274" s="1" t="s">
        <v>132</v>
      </c>
      <c r="AL274" s="1" t="s">
        <v>28</v>
      </c>
      <c r="AM274" s="1">
        <v>177.0</v>
      </c>
      <c r="AN274" s="1">
        <v>2006.0</v>
      </c>
      <c r="AO274" s="1">
        <v>2006.0</v>
      </c>
      <c r="AQ274" s="3">
        <v>45117.0</v>
      </c>
      <c r="AR274" s="1" t="s">
        <v>1272</v>
      </c>
      <c r="AS274" s="1" t="s">
        <v>1352</v>
      </c>
      <c r="AT274" s="1" t="s">
        <v>31</v>
      </c>
      <c r="AX274" s="1">
        <v>0.0</v>
      </c>
      <c r="AY274" s="1">
        <v>0.0</v>
      </c>
    </row>
    <row r="275" spans="20:51" ht="15.75" hidden="1">
      <c r="T275" s="1">
        <v>205186.0</v>
      </c>
      <c r="U275" s="1"/>
      <c r="V275" s="1"/>
      <c r="W275" s="1"/>
      <c r="X275" s="1"/>
      <c r="Y275" s="1" t="s">
        <v>1353</v>
      </c>
      <c r="Z275" s="1" t="s">
        <v>477</v>
      </c>
      <c r="AA275" s="1" t="s">
        <v>478</v>
      </c>
      <c r="AB275" s="1"/>
      <c r="AC275" s="1"/>
      <c r="AD275" s="1"/>
      <c r="AE275" s="1"/>
      <c r="AF275" s="1" t="s">
        <v>1354</v>
      </c>
      <c r="AG275" s="2" t="str">
        <f>"0195131169"</f>
        <v>0195131169</v>
      </c>
      <c r="AH275" s="2" t="str">
        <f>"9780195131161"</f>
        <v>9780195131161</v>
      </c>
      <c r="AI275" s="1">
        <v>0.0</v>
      </c>
      <c r="AJ275" s="1">
        <v>3.86</v>
      </c>
      <c r="AK275" s="1" t="s">
        <v>214</v>
      </c>
      <c r="AL275" s="1" t="s">
        <v>28</v>
      </c>
      <c r="AM275" s="1">
        <v>112.0</v>
      </c>
      <c r="AN275" s="1">
        <v>2001.0</v>
      </c>
      <c r="AO275" s="1">
        <v>-416.0</v>
      </c>
      <c r="AQ275" s="3">
        <v>45120.0</v>
      </c>
      <c r="AR275" s="1" t="s">
        <v>1272</v>
      </c>
      <c r="AS275" s="1" t="s">
        <v>1355</v>
      </c>
      <c r="AT275" s="1" t="s">
        <v>31</v>
      </c>
      <c r="AX275" s="1">
        <v>0.0</v>
      </c>
      <c r="AY275" s="1">
        <v>0.0</v>
      </c>
    </row>
    <row r="276" spans="20:51" ht="15.75" hidden="1">
      <c r="T276" s="1">
        <v>505044.0</v>
      </c>
      <c r="U276" s="1"/>
      <c r="V276" s="1"/>
      <c r="W276" s="1"/>
      <c r="X276" s="1"/>
      <c r="Y276" s="1" t="s">
        <v>1356</v>
      </c>
      <c r="Z276" s="1" t="s">
        <v>908</v>
      </c>
      <c r="AA276" s="1" t="s">
        <v>909</v>
      </c>
      <c r="AB276" s="1"/>
      <c r="AC276" s="1"/>
      <c r="AD276" s="1"/>
      <c r="AE276" s="1"/>
      <c r="AG276" s="2" t="str">
        <f>"031202214X"</f>
        <v>031202214X</v>
      </c>
      <c r="AH276" s="2" t="str">
        <f>"9780312022143"</f>
        <v>9780312022143</v>
      </c>
      <c r="AI276" s="1">
        <v>0.0</v>
      </c>
      <c r="AJ276" s="1">
        <v>4.39</v>
      </c>
      <c r="AK276" s="1" t="s">
        <v>1357</v>
      </c>
      <c r="AL276" s="1" t="s">
        <v>28</v>
      </c>
      <c r="AM276" s="1">
        <v>304.0</v>
      </c>
      <c r="AN276" s="1">
        <v>1988.0</v>
      </c>
      <c r="AQ276" s="3">
        <v>45117.0</v>
      </c>
      <c r="AR276" s="1" t="s">
        <v>1272</v>
      </c>
      <c r="AS276" s="1" t="s">
        <v>1358</v>
      </c>
      <c r="AT276" s="1" t="s">
        <v>31</v>
      </c>
      <c r="AX276" s="1">
        <v>0.0</v>
      </c>
      <c r="AY276" s="1">
        <v>0.0</v>
      </c>
    </row>
    <row r="277" spans="20:51" ht="15.75" hidden="1">
      <c r="T277" s="1">
        <v>120179.0</v>
      </c>
      <c r="U277" s="1"/>
      <c r="V277" s="1"/>
      <c r="W277" s="1"/>
      <c r="X277" s="1"/>
      <c r="Y277" s="1" t="s">
        <v>1359</v>
      </c>
      <c r="Z277" s="1" t="s">
        <v>1360</v>
      </c>
      <c r="AA277" s="1" t="s">
        <v>1361</v>
      </c>
      <c r="AB277" s="1"/>
      <c r="AC277" s="1"/>
      <c r="AD277" s="1"/>
      <c r="AE277" s="1"/>
      <c r="AG277" s="2" t="str">
        <f>"0892367423"</f>
        <v>0892367423</v>
      </c>
      <c r="AH277" s="2" t="str">
        <f>"9780892367429"</f>
        <v>9780892367429</v>
      </c>
      <c r="AI277" s="1">
        <v>0.0</v>
      </c>
      <c r="AJ277" s="1">
        <v>3.9</v>
      </c>
      <c r="AK277" s="1" t="s">
        <v>214</v>
      </c>
      <c r="AL277" s="1" t="s">
        <v>28</v>
      </c>
      <c r="AM277" s="1">
        <v>168.0</v>
      </c>
      <c r="AN277" s="1">
        <v>2004.0</v>
      </c>
      <c r="AO277" s="1">
        <v>2003.0</v>
      </c>
      <c r="AQ277" s="3">
        <v>45117.0</v>
      </c>
      <c r="AR277" s="1" t="s">
        <v>1272</v>
      </c>
      <c r="AS277" s="1" t="s">
        <v>1362</v>
      </c>
      <c r="AT277" s="1" t="s">
        <v>31</v>
      </c>
      <c r="AX277" s="1">
        <v>0.0</v>
      </c>
      <c r="AY277" s="1">
        <v>0.0</v>
      </c>
    </row>
    <row r="278" spans="20:51" ht="15.75" hidden="1">
      <c r="T278" s="1">
        <v>589743.0</v>
      </c>
      <c r="U278" s="1"/>
      <c r="V278" s="1"/>
      <c r="W278" s="1"/>
      <c r="X278" s="1"/>
      <c r="Y278" s="1" t="s">
        <v>1363</v>
      </c>
      <c r="Z278" s="1" t="s">
        <v>1364</v>
      </c>
      <c r="AA278" s="1" t="s">
        <v>1365</v>
      </c>
      <c r="AB278" s="1"/>
      <c r="AC278" s="1"/>
      <c r="AD278" s="1"/>
      <c r="AE278" s="1"/>
      <c r="AG278" s="2" t="str">
        <f>"1570626731"</f>
        <v>1570626731</v>
      </c>
      <c r="AH278" s="2" t="str">
        <f>"9781570626739"</f>
        <v>9781570626739</v>
      </c>
      <c r="AI278" s="1">
        <v>0.0</v>
      </c>
      <c r="AJ278" s="1">
        <v>4.05</v>
      </c>
      <c r="AK278" s="1" t="s">
        <v>1366</v>
      </c>
      <c r="AL278" s="1" t="s">
        <v>28</v>
      </c>
      <c r="AM278" s="1">
        <v>210.0</v>
      </c>
      <c r="AN278" s="1">
        <v>2001.0</v>
      </c>
      <c r="AO278" s="1">
        <v>1994.0</v>
      </c>
      <c r="AQ278" s="3">
        <v>45114.0</v>
      </c>
      <c r="AR278" s="1" t="s">
        <v>1272</v>
      </c>
      <c r="AS278" s="1" t="s">
        <v>1367</v>
      </c>
      <c r="AT278" s="1" t="s">
        <v>31</v>
      </c>
      <c r="AX278" s="1">
        <v>0.0</v>
      </c>
      <c r="AY278" s="1">
        <v>0.0</v>
      </c>
    </row>
    <row r="279" spans="20:51" ht="15.75" hidden="1">
      <c r="T279" s="1">
        <v>129494.0</v>
      </c>
      <c r="U279" s="1"/>
      <c r="V279" s="1"/>
      <c r="W279" s="1"/>
      <c r="X279" s="1"/>
      <c r="Y279" s="1" t="s">
        <v>1368</v>
      </c>
      <c r="Z279" s="1" t="s">
        <v>549</v>
      </c>
      <c r="AA279" s="1" t="s">
        <v>550</v>
      </c>
      <c r="AB279" s="1"/>
      <c r="AC279" s="1"/>
      <c r="AD279" s="1"/>
      <c r="AE279" s="1"/>
      <c r="AG279" s="2" t="str">
        <f>"0393310779"</f>
        <v>0393310779</v>
      </c>
      <c r="AH279" s="2" t="str">
        <f>"9780393310771"</f>
        <v>9780393310771</v>
      </c>
      <c r="AI279" s="1">
        <v>0.0</v>
      </c>
      <c r="AJ279" s="1">
        <v>3.9</v>
      </c>
      <c r="AK279" s="1" t="s">
        <v>1369</v>
      </c>
      <c r="AL279" s="1" t="s">
        <v>28</v>
      </c>
      <c r="AM279" s="1">
        <v>212.0</v>
      </c>
      <c r="AN279" s="1">
        <v>1993.0</v>
      </c>
      <c r="AO279" s="1">
        <v>1930.0</v>
      </c>
      <c r="AQ279" s="3">
        <v>45114.0</v>
      </c>
      <c r="AR279" s="1" t="s">
        <v>1272</v>
      </c>
      <c r="AS279" s="1" t="s">
        <v>1370</v>
      </c>
      <c r="AT279" s="1" t="s">
        <v>31</v>
      </c>
      <c r="AX279" s="1">
        <v>0.0</v>
      </c>
      <c r="AY279" s="1">
        <v>0.0</v>
      </c>
    </row>
    <row r="280" spans="20:51" ht="15.75">
      <c r="T280" s="1">
        <v>17645.0</v>
      </c>
      <c r="U280" s="1"/>
      <c r="V280" s="1"/>
      <c r="W280" s="1"/>
      <c r="X280" s="1"/>
      <c r="Y280" s="1" t="s">
        <v>1371</v>
      </c>
      <c r="Z280" s="1" t="s">
        <v>1372</v>
      </c>
      <c r="AA280" s="1" t="s">
        <v>1373</v>
      </c>
      <c r="AB280" s="1"/>
      <c r="AC280" s="1"/>
      <c r="AD280" s="1"/>
      <c r="AE280" s="1"/>
      <c r="AG280" s="2" t="str">
        <f>"1841957178"</f>
        <v>1841957178</v>
      </c>
      <c r="AH280" s="2" t="str">
        <f>"9781841957173"</f>
        <v>9781841957173</v>
      </c>
      <c r="AI280" s="1">
        <v>0.0</v>
      </c>
      <c r="AJ280" s="1">
        <v>3.72</v>
      </c>
      <c r="AK280" s="1" t="s">
        <v>1374</v>
      </c>
      <c r="AL280" s="1" t="s">
        <v>41</v>
      </c>
      <c r="AM280" s="1">
        <v>198.0</v>
      </c>
      <c r="AN280" s="1">
        <v>2005.0</v>
      </c>
      <c r="AO280" s="1">
        <v>2005.0</v>
      </c>
      <c r="AQ280" s="3">
        <v>45112.0</v>
      </c>
      <c r="AR280" s="1" t="s">
        <v>1375</v>
      </c>
      <c r="AS280" s="1" t="s">
        <v>1376</v>
      </c>
      <c r="AT280" s="1" t="s">
        <v>31</v>
      </c>
      <c r="AX280" s="1">
        <v>0.0</v>
      </c>
      <c r="AY280" s="1">
        <v>0.0</v>
      </c>
    </row>
    <row r="281" spans="20:51" ht="15.75" hidden="1">
      <c r="T281" s="1">
        <v>993747.0</v>
      </c>
      <c r="U281" s="1"/>
      <c r="V281" s="1"/>
      <c r="W281" s="1"/>
      <c r="X281" s="1"/>
      <c r="Y281" s="1" t="s">
        <v>1377</v>
      </c>
      <c r="Z281" s="1" t="s">
        <v>477</v>
      </c>
      <c r="AA281" s="1" t="s">
        <v>478</v>
      </c>
      <c r="AB281" s="1"/>
      <c r="AC281" s="1"/>
      <c r="AD281" s="1"/>
      <c r="AE281" s="1"/>
      <c r="AF281" s="1" t="s">
        <v>1378</v>
      </c>
      <c r="AG281" s="2" t="str">
        <f>"0195143035"</f>
        <v>0195143035</v>
      </c>
      <c r="AH281" s="2" t="str">
        <f>"9780195143034"</f>
        <v>9780195143034</v>
      </c>
      <c r="AI281" s="1">
        <v>0.0</v>
      </c>
      <c r="AJ281" s="1">
        <v>3.56</v>
      </c>
      <c r="AK281" s="1" t="s">
        <v>214</v>
      </c>
      <c r="AL281" s="1" t="s">
        <v>28</v>
      </c>
      <c r="AM281" s="1">
        <v>96.0</v>
      </c>
      <c r="AN281" s="1">
        <v>2001.0</v>
      </c>
      <c r="AO281" s="1">
        <v>-420.0</v>
      </c>
      <c r="AQ281" s="3">
        <v>45111.0</v>
      </c>
      <c r="AR281" s="1" t="s">
        <v>1272</v>
      </c>
      <c r="AS281" s="1" t="s">
        <v>1379</v>
      </c>
      <c r="AT281" s="1" t="s">
        <v>31</v>
      </c>
      <c r="AX281" s="1">
        <v>0.0</v>
      </c>
      <c r="AY281" s="1">
        <v>0.0</v>
      </c>
    </row>
    <row r="282" spans="20:51" ht="15.75" hidden="1">
      <c r="T282" s="1">
        <v>2099275.0</v>
      </c>
      <c r="U282" s="1"/>
      <c r="V282" s="1"/>
      <c r="W282" s="1"/>
      <c r="X282" s="1"/>
      <c r="Y282" s="1" t="s">
        <v>1380</v>
      </c>
      <c r="Z282" s="1" t="s">
        <v>477</v>
      </c>
      <c r="AA282" s="1" t="s">
        <v>478</v>
      </c>
      <c r="AB282" s="1"/>
      <c r="AC282" s="1"/>
      <c r="AD282" s="1"/>
      <c r="AE282" s="1"/>
      <c r="AF282" s="1" t="s">
        <v>1381</v>
      </c>
      <c r="AG282" s="2" t="str">
        <f>"0195020499"</f>
        <v>0195020499</v>
      </c>
      <c r="AH282" s="2" t="str">
        <f>"9780195020496"</f>
        <v>9780195020496</v>
      </c>
      <c r="AI282" s="1">
        <v>0.0</v>
      </c>
      <c r="AJ282" s="1">
        <v>3.28</v>
      </c>
      <c r="AK282" s="1" t="s">
        <v>214</v>
      </c>
      <c r="AL282" s="1" t="s">
        <v>41</v>
      </c>
      <c r="AM282" s="1">
        <v>112.0</v>
      </c>
      <c r="AN282" s="1">
        <v>1978.0</v>
      </c>
      <c r="AO282" s="1">
        <v>-431.0</v>
      </c>
      <c r="AQ282" s="3">
        <v>45111.0</v>
      </c>
      <c r="AR282" s="1" t="s">
        <v>1272</v>
      </c>
      <c r="AS282" s="1" t="s">
        <v>1382</v>
      </c>
      <c r="AT282" s="1" t="s">
        <v>31</v>
      </c>
      <c r="AX282" s="1">
        <v>0.0</v>
      </c>
      <c r="AY282" s="1">
        <v>0.0</v>
      </c>
    </row>
    <row r="283" spans="20:51" ht="15.75">
      <c r="T283" s="1">
        <v>75887.0</v>
      </c>
      <c r="U283" s="1"/>
      <c r="V283" s="1"/>
      <c r="W283" s="1"/>
      <c r="X283" s="1"/>
      <c r="Y283" s="1" t="s">
        <v>1383</v>
      </c>
      <c r="Z283" s="1" t="s">
        <v>328</v>
      </c>
      <c r="AA283" s="1" t="s">
        <v>329</v>
      </c>
      <c r="AB283" s="1"/>
      <c r="AC283" s="1"/>
      <c r="AD283" s="1"/>
      <c r="AE283" s="1"/>
      <c r="AF283" s="1" t="s">
        <v>1384</v>
      </c>
      <c r="AG283" s="2" t="str">
        <f>"0971457808"</f>
        <v>0971457808</v>
      </c>
      <c r="AH283" s="2" t="str">
        <f>"9780971457805"</f>
        <v>9780971457805</v>
      </c>
      <c r="AI283" s="1">
        <v>0.0</v>
      </c>
      <c r="AJ283" s="1">
        <v>3.89</v>
      </c>
      <c r="AK283" s="1" t="s">
        <v>1385</v>
      </c>
      <c r="AL283" s="1" t="s">
        <v>28</v>
      </c>
      <c r="AM283" s="1">
        <v>100.0</v>
      </c>
      <c r="AN283" s="1">
        <v>2006.0</v>
      </c>
      <c r="AO283" s="1">
        <v>1934.0</v>
      </c>
      <c r="AQ283" s="3">
        <v>45081.0</v>
      </c>
      <c r="AR283" s="1" t="s">
        <v>1386</v>
      </c>
      <c r="AS283" s="1" t="s">
        <v>1387</v>
      </c>
      <c r="AT283" s="1" t="s">
        <v>31</v>
      </c>
      <c r="AX283" s="1">
        <v>0.0</v>
      </c>
      <c r="AY283" s="1">
        <v>0.0</v>
      </c>
    </row>
    <row r="284" spans="20:51" ht="15.75" hidden="1">
      <c r="T284" s="1">
        <v>1.374776E7</v>
      </c>
      <c r="U284" s="1"/>
      <c r="V284" s="1"/>
      <c r="W284" s="1"/>
      <c r="X284" s="1"/>
      <c r="Y284" s="1" t="s">
        <v>1388</v>
      </c>
      <c r="Z284" s="1" t="s">
        <v>1389</v>
      </c>
      <c r="AA284" s="1" t="s">
        <v>1390</v>
      </c>
      <c r="AB284" s="1"/>
      <c r="AC284" s="1"/>
      <c r="AD284" s="1"/>
      <c r="AE284" s="1"/>
      <c r="AG284" s="2" t="str">
        <f>"0674064372"</f>
        <v>0674064372</v>
      </c>
      <c r="AH284" s="2" t="str">
        <f>"9780674064379"</f>
        <v>9780674064379</v>
      </c>
      <c r="AI284" s="1">
        <v>0.0</v>
      </c>
      <c r="AJ284" s="1">
        <v>3.39</v>
      </c>
      <c r="AK284" s="1" t="s">
        <v>107</v>
      </c>
      <c r="AL284" s="1" t="s">
        <v>41</v>
      </c>
      <c r="AM284" s="1">
        <v>304.0</v>
      </c>
      <c r="AN284" s="1">
        <v>2012.0</v>
      </c>
      <c r="AO284" s="1">
        <v>2010.0</v>
      </c>
      <c r="AQ284" s="3">
        <v>45081.0</v>
      </c>
      <c r="AR284" s="1" t="s">
        <v>1391</v>
      </c>
      <c r="AS284" s="1" t="s">
        <v>1392</v>
      </c>
      <c r="AT284" s="1" t="s">
        <v>31</v>
      </c>
      <c r="AX284" s="1">
        <v>0.0</v>
      </c>
      <c r="AY284" s="1">
        <v>0.0</v>
      </c>
    </row>
    <row r="285" spans="20:51" ht="15.75" hidden="1">
      <c r="T285" s="1">
        <v>590161.0</v>
      </c>
      <c r="U285" s="1"/>
      <c r="V285" s="1"/>
      <c r="W285" s="1"/>
      <c r="X285" s="1"/>
      <c r="Y285" s="1" t="s">
        <v>1393</v>
      </c>
      <c r="Z285" s="1" t="s">
        <v>1394</v>
      </c>
      <c r="AA285" s="1" t="s">
        <v>1395</v>
      </c>
      <c r="AB285" s="1"/>
      <c r="AC285" s="1"/>
      <c r="AD285" s="1"/>
      <c r="AE285" s="1"/>
      <c r="AG285" s="2" t="str">
        <f>"0940262010"</f>
        <v>0940262010</v>
      </c>
      <c r="AH285" s="2" t="str">
        <f>"9780940262010"</f>
        <v>9780940262010</v>
      </c>
      <c r="AI285" s="1">
        <v>0.0</v>
      </c>
      <c r="AJ285" s="1">
        <v>4.33</v>
      </c>
      <c r="AK285" s="1" t="s">
        <v>1396</v>
      </c>
      <c r="AL285" s="1" t="s">
        <v>28</v>
      </c>
      <c r="AM285" s="1">
        <v>144.0</v>
      </c>
      <c r="AN285" s="1">
        <v>1983.0</v>
      </c>
      <c r="AO285" s="1">
        <v>1983.0</v>
      </c>
      <c r="AQ285" s="4">
        <v>44484.0</v>
      </c>
      <c r="AR285" s="1" t="s">
        <v>1272</v>
      </c>
      <c r="AS285" s="1" t="s">
        <v>1397</v>
      </c>
      <c r="AT285" s="1" t="s">
        <v>31</v>
      </c>
      <c r="AX285" s="1">
        <v>0.0</v>
      </c>
      <c r="AY285" s="1">
        <v>0.0</v>
      </c>
    </row>
    <row r="286" spans="20:51" ht="15.75" hidden="1">
      <c r="T286" s="1">
        <v>1.8096738E7</v>
      </c>
      <c r="U286" s="1"/>
      <c r="V286" s="1"/>
      <c r="W286" s="1"/>
      <c r="X286" s="1"/>
      <c r="Y286" s="1" t="s">
        <v>1398</v>
      </c>
      <c r="Z286" s="1" t="s">
        <v>1399</v>
      </c>
      <c r="AA286" s="1" t="s">
        <v>1400</v>
      </c>
      <c r="AB286" s="1"/>
      <c r="AC286" s="1"/>
      <c r="AD286" s="1"/>
      <c r="AE286" s="1"/>
      <c r="AF286" s="1" t="s">
        <v>1401</v>
      </c>
      <c r="AG286" s="2" t="str">
        <f>"1107645034"</f>
        <v>1107645034</v>
      </c>
      <c r="AH286" s="2" t="str">
        <f>"9781107645035"</f>
        <v>9781107645035</v>
      </c>
      <c r="AI286" s="1">
        <v>0.0</v>
      </c>
      <c r="AJ286" s="1">
        <v>3.77</v>
      </c>
      <c r="AK286" s="1" t="s">
        <v>605</v>
      </c>
      <c r="AL286" s="1" t="s">
        <v>28</v>
      </c>
      <c r="AM286" s="1">
        <v>174.0</v>
      </c>
      <c r="AN286" s="1">
        <v>2013.0</v>
      </c>
      <c r="AO286" s="1">
        <v>362.0</v>
      </c>
      <c r="AQ286" s="3">
        <v>44967.0</v>
      </c>
      <c r="AR286" s="1" t="s">
        <v>1272</v>
      </c>
      <c r="AS286" s="1" t="s">
        <v>1402</v>
      </c>
      <c r="AT286" s="1" t="s">
        <v>31</v>
      </c>
      <c r="AX286" s="1">
        <v>0.0</v>
      </c>
      <c r="AY286" s="1">
        <v>0.0</v>
      </c>
    </row>
    <row r="287" spans="20:51" ht="15.75" hidden="1">
      <c r="T287" s="1">
        <v>725946.0</v>
      </c>
      <c r="U287" s="1"/>
      <c r="V287" s="1"/>
      <c r="W287" s="1"/>
      <c r="X287" s="1"/>
      <c r="Y287" s="1" t="s">
        <v>1403</v>
      </c>
      <c r="Z287" s="1" t="s">
        <v>1404</v>
      </c>
      <c r="AA287" s="1" t="s">
        <v>1405</v>
      </c>
      <c r="AB287" s="1"/>
      <c r="AC287" s="1"/>
      <c r="AD287" s="1"/>
      <c r="AE287" s="1"/>
      <c r="AG287" s="2" t="str">
        <f>"0394741757"</f>
        <v>0394741757</v>
      </c>
      <c r="AH287" s="2" t="str">
        <f>"9780394741758"</f>
        <v>9780394741758</v>
      </c>
      <c r="AI287" s="1">
        <v>0.0</v>
      </c>
      <c r="AJ287" s="1">
        <v>3.93</v>
      </c>
      <c r="AK287" s="1" t="s">
        <v>1406</v>
      </c>
      <c r="AL287" s="1" t="s">
        <v>28</v>
      </c>
      <c r="AM287" s="1">
        <v>200.0</v>
      </c>
      <c r="AN287" s="1">
        <v>1986.0</v>
      </c>
      <c r="AO287" s="1">
        <v>1967.0</v>
      </c>
      <c r="AQ287" s="4">
        <v>44479.0</v>
      </c>
      <c r="AR287" s="1" t="s">
        <v>1272</v>
      </c>
      <c r="AS287" s="1" t="s">
        <v>1407</v>
      </c>
      <c r="AT287" s="1" t="s">
        <v>31</v>
      </c>
      <c r="AX287" s="1">
        <v>0.0</v>
      </c>
      <c r="AY287" s="1">
        <v>0.0</v>
      </c>
    </row>
    <row r="288" spans="20:51" ht="15.75" hidden="1">
      <c r="T288" s="1">
        <v>1.3115657E7</v>
      </c>
      <c r="U288" s="1"/>
      <c r="V288" s="1"/>
      <c r="W288" s="1"/>
      <c r="X288" s="1"/>
      <c r="Y288" s="1" t="s">
        <v>1408</v>
      </c>
      <c r="Z288" s="1" t="s">
        <v>1409</v>
      </c>
      <c r="AA288" s="1" t="s">
        <v>1410</v>
      </c>
      <c r="AB288" s="1"/>
      <c r="AC288" s="1"/>
      <c r="AD288" s="1"/>
      <c r="AE288" s="1"/>
      <c r="AG288" s="2" t="str">
        <f>"1908092076"</f>
        <v>1908092076</v>
      </c>
      <c r="AH288" s="2" t="str">
        <f>"9781908092076"</f>
        <v>9781908092076</v>
      </c>
      <c r="AI288" s="1">
        <v>0.0</v>
      </c>
      <c r="AJ288" s="1">
        <v>4.22</v>
      </c>
      <c r="AK288" s="1" t="s">
        <v>1411</v>
      </c>
      <c r="AL288" s="1" t="s">
        <v>28</v>
      </c>
      <c r="AM288" s="1">
        <v>118.0</v>
      </c>
      <c r="AN288" s="1">
        <v>2011.0</v>
      </c>
      <c r="AO288" s="1">
        <v>2011.0</v>
      </c>
      <c r="AQ288" s="4">
        <v>44484.0</v>
      </c>
      <c r="AR288" s="1" t="s">
        <v>1412</v>
      </c>
      <c r="AS288" s="1" t="s">
        <v>1413</v>
      </c>
      <c r="AT288" s="1" t="s">
        <v>31</v>
      </c>
      <c r="AX288" s="1">
        <v>0.0</v>
      </c>
      <c r="AY288" s="1">
        <v>0.0</v>
      </c>
    </row>
    <row r="289" spans="20:51" ht="15.75" hidden="1">
      <c r="T289" s="1">
        <v>4891709.0</v>
      </c>
      <c r="U289" s="1"/>
      <c r="V289" s="1"/>
      <c r="W289" s="1"/>
      <c r="X289" s="1"/>
      <c r="Y289" s="1" t="s">
        <v>1414</v>
      </c>
      <c r="Z289" s="1" t="s">
        <v>1415</v>
      </c>
      <c r="AA289" s="1" t="s">
        <v>1416</v>
      </c>
      <c r="AB289" s="1"/>
      <c r="AC289" s="1"/>
      <c r="AD289" s="1"/>
      <c r="AE289" s="1"/>
      <c r="AF289" s="1" t="s">
        <v>1417</v>
      </c>
      <c r="AG289" s="2" t="str">
        <f>"0520248953"</f>
        <v>0520248953</v>
      </c>
      <c r="AH289" s="2" t="str">
        <f>"9780520248953"</f>
        <v>9780520248953</v>
      </c>
      <c r="AI289" s="1">
        <v>0.0</v>
      </c>
      <c r="AJ289" s="1">
        <v>3.92</v>
      </c>
      <c r="AK289" s="1" t="s">
        <v>1306</v>
      </c>
      <c r="AL289" s="1" t="s">
        <v>41</v>
      </c>
      <c r="AM289" s="1">
        <v>240.0</v>
      </c>
      <c r="AN289" s="1">
        <v>2011.0</v>
      </c>
      <c r="AO289" s="1">
        <v>2005.0</v>
      </c>
      <c r="AQ289" s="4">
        <v>44484.0</v>
      </c>
      <c r="AR289" s="1" t="s">
        <v>1418</v>
      </c>
      <c r="AS289" s="1" t="s">
        <v>1419</v>
      </c>
      <c r="AT289" s="1" t="s">
        <v>31</v>
      </c>
      <c r="AX289" s="1">
        <v>0.0</v>
      </c>
      <c r="AY289" s="1">
        <v>0.0</v>
      </c>
    </row>
    <row r="290" spans="20:51" ht="15.75" hidden="1">
      <c r="T290" s="1">
        <v>7206194.0</v>
      </c>
      <c r="U290" s="1"/>
      <c r="V290" s="1"/>
      <c r="W290" s="1"/>
      <c r="X290" s="1"/>
      <c r="Y290" s="1" t="s">
        <v>1420</v>
      </c>
      <c r="Z290" s="1" t="s">
        <v>1421</v>
      </c>
      <c r="AA290" s="1" t="s">
        <v>1422</v>
      </c>
      <c r="AB290" s="1"/>
      <c r="AC290" s="1"/>
      <c r="AD290" s="1"/>
      <c r="AE290" s="1"/>
      <c r="AF290" s="1" t="s">
        <v>1423</v>
      </c>
      <c r="AG290" s="2" t="str">
        <f>"0892541601"</f>
        <v>0892541601</v>
      </c>
      <c r="AH290" s="2" t="str">
        <f>"9780892541607"</f>
        <v>9780892541607</v>
      </c>
      <c r="AI290" s="1">
        <v>0.0</v>
      </c>
      <c r="AJ290" s="1">
        <v>3.9</v>
      </c>
      <c r="AK290" s="1" t="s">
        <v>1424</v>
      </c>
      <c r="AL290" s="1" t="s">
        <v>28</v>
      </c>
      <c r="AM290" s="1">
        <v>352.0</v>
      </c>
      <c r="AN290" s="1">
        <v>2010.0</v>
      </c>
      <c r="AO290" s="1">
        <v>1979.0</v>
      </c>
      <c r="AQ290" s="4">
        <v>44484.0</v>
      </c>
      <c r="AR290" s="1" t="s">
        <v>1272</v>
      </c>
      <c r="AS290" s="1" t="s">
        <v>1425</v>
      </c>
      <c r="AT290" s="1" t="s">
        <v>31</v>
      </c>
      <c r="AX290" s="1">
        <v>0.0</v>
      </c>
      <c r="AY290" s="1">
        <v>0.0</v>
      </c>
    </row>
    <row r="291" spans="20:51" ht="15.75" hidden="1">
      <c r="T291" s="1">
        <v>205137.0</v>
      </c>
      <c r="U291" s="1"/>
      <c r="V291" s="1"/>
      <c r="W291" s="1"/>
      <c r="X291" s="1"/>
      <c r="Y291" s="1" t="s">
        <v>1426</v>
      </c>
      <c r="Z291" s="1" t="s">
        <v>1427</v>
      </c>
      <c r="AA291" s="1" t="s">
        <v>1428</v>
      </c>
      <c r="AB291" s="1"/>
      <c r="AC291" s="1"/>
      <c r="AD291" s="1"/>
      <c r="AE291" s="1"/>
      <c r="AF291" s="1" t="s">
        <v>1429</v>
      </c>
      <c r="AG291" s="2" t="str">
        <f>"0691024995"</f>
        <v>0691024995</v>
      </c>
      <c r="AH291" s="2" t="str">
        <f>"9780691024998"</f>
        <v>9780691024998</v>
      </c>
      <c r="AI291" s="1">
        <v>0.0</v>
      </c>
      <c r="AJ291" s="1">
        <v>4.16</v>
      </c>
      <c r="AK291" s="1" t="s">
        <v>141</v>
      </c>
      <c r="AL291" s="1" t="s">
        <v>28</v>
      </c>
      <c r="AM291" s="1">
        <v>296.0</v>
      </c>
      <c r="AN291" s="1">
        <v>1993.0</v>
      </c>
      <c r="AO291" s="1">
        <v>1934.0</v>
      </c>
      <c r="AQ291" s="4">
        <v>44484.0</v>
      </c>
      <c r="AR291" s="1" t="s">
        <v>1272</v>
      </c>
      <c r="AS291" s="1" t="s">
        <v>1430</v>
      </c>
      <c r="AT291" s="1" t="s">
        <v>31</v>
      </c>
      <c r="AX291" s="1">
        <v>0.0</v>
      </c>
      <c r="AY291" s="1">
        <v>0.0</v>
      </c>
    </row>
    <row r="292" spans="20:51" ht="15.75" hidden="1">
      <c r="T292" s="1">
        <v>621898.0</v>
      </c>
      <c r="U292" s="1"/>
      <c r="V292" s="1"/>
      <c r="W292" s="1"/>
      <c r="X292" s="1"/>
      <c r="Y292" s="1" t="s">
        <v>1431</v>
      </c>
      <c r="Z292" s="1" t="s">
        <v>1432</v>
      </c>
      <c r="AA292" s="1" t="s">
        <v>1433</v>
      </c>
      <c r="AB292" s="1"/>
      <c r="AC292" s="1"/>
      <c r="AD292" s="1"/>
      <c r="AE292" s="1"/>
      <c r="AG292" s="2" t="str">
        <f>"0521422949"</f>
        <v>0521422949</v>
      </c>
      <c r="AH292" s="2" t="str">
        <f>"9780521422949"</f>
        <v>9780521422949</v>
      </c>
      <c r="AI292" s="1">
        <v>0.0</v>
      </c>
      <c r="AJ292" s="1">
        <v>4.01</v>
      </c>
      <c r="AK292" s="1" t="s">
        <v>605</v>
      </c>
      <c r="AL292" s="1" t="s">
        <v>28</v>
      </c>
      <c r="AM292" s="1">
        <v>434.0</v>
      </c>
      <c r="AN292" s="1">
        <v>1995.0</v>
      </c>
      <c r="AO292" s="1">
        <v>1995.0</v>
      </c>
      <c r="AQ292" s="3">
        <v>44473.0</v>
      </c>
      <c r="AR292" s="1" t="s">
        <v>1272</v>
      </c>
      <c r="AS292" s="1" t="s">
        <v>1434</v>
      </c>
      <c r="AT292" s="1" t="s">
        <v>31</v>
      </c>
      <c r="AX292" s="1">
        <v>0.0</v>
      </c>
      <c r="AY292" s="1">
        <v>0.0</v>
      </c>
    </row>
    <row r="293" spans="20:51" ht="15.75" hidden="1">
      <c r="T293" s="1">
        <v>370937.0</v>
      </c>
      <c r="U293" s="1"/>
      <c r="V293" s="1"/>
      <c r="W293" s="1"/>
      <c r="X293" s="1"/>
      <c r="Y293" s="1" t="s">
        <v>1435</v>
      </c>
      <c r="Z293" s="1" t="s">
        <v>1436</v>
      </c>
      <c r="AA293" s="1" t="s">
        <v>1437</v>
      </c>
      <c r="AB293" s="1"/>
      <c r="AC293" s="1"/>
      <c r="AD293" s="1"/>
      <c r="AE293" s="1"/>
      <c r="AG293" s="2" t="str">
        <f>"0198661320"</f>
        <v>0198661320</v>
      </c>
      <c r="AH293" s="2" t="str">
        <f>"9780198661320"</f>
        <v>9780198661320</v>
      </c>
      <c r="AI293" s="1">
        <v>0.0</v>
      </c>
      <c r="AJ293" s="1">
        <v>4.16</v>
      </c>
      <c r="AK293" s="1" t="s">
        <v>214</v>
      </c>
      <c r="AL293" s="1" t="s">
        <v>28</v>
      </c>
      <c r="AM293" s="1">
        <v>1040.0</v>
      </c>
      <c r="AN293" s="1">
        <v>1995.0</v>
      </c>
      <c r="AO293" s="1">
        <v>1995.0</v>
      </c>
      <c r="AQ293" s="3">
        <v>45126.0</v>
      </c>
      <c r="AR293" s="1" t="s">
        <v>1438</v>
      </c>
      <c r="AS293" s="1" t="s">
        <v>1439</v>
      </c>
      <c r="AT293" s="1" t="s">
        <v>31</v>
      </c>
      <c r="AX293" s="1">
        <v>0.0</v>
      </c>
      <c r="AY293" s="1">
        <v>0.0</v>
      </c>
    </row>
    <row r="294" spans="20:51" ht="15.75" hidden="1">
      <c r="T294" s="1">
        <v>957211.0</v>
      </c>
      <c r="U294" s="1"/>
      <c r="V294" s="1"/>
      <c r="W294" s="1"/>
      <c r="X294" s="1"/>
      <c r="Y294" s="1" t="s">
        <v>1440</v>
      </c>
      <c r="Z294" s="1" t="s">
        <v>1441</v>
      </c>
      <c r="AA294" s="1" t="s">
        <v>1442</v>
      </c>
      <c r="AB294" s="1"/>
      <c r="AC294" s="1"/>
      <c r="AD294" s="1"/>
      <c r="AE294" s="1"/>
      <c r="AG294" s="2" t="str">
        <f>"0230522009"</f>
        <v>0230522009</v>
      </c>
      <c r="AH294" s="2" t="str">
        <f>"9780230522008"</f>
        <v>9780230522008</v>
      </c>
      <c r="AI294" s="1">
        <v>0.0</v>
      </c>
      <c r="AJ294" s="1">
        <v>4.0</v>
      </c>
      <c r="AK294" s="1" t="s">
        <v>1443</v>
      </c>
      <c r="AL294" s="1" t="s">
        <v>28</v>
      </c>
      <c r="AM294" s="1">
        <v>416.0</v>
      </c>
      <c r="AN294" s="1">
        <v>2007.0</v>
      </c>
      <c r="AO294" s="1">
        <v>1974.0</v>
      </c>
      <c r="AQ294" s="3">
        <v>45177.0</v>
      </c>
      <c r="AR294" s="1" t="s">
        <v>1438</v>
      </c>
      <c r="AS294" s="1" t="s">
        <v>1444</v>
      </c>
      <c r="AT294" s="1" t="s">
        <v>31</v>
      </c>
      <c r="AX294" s="1">
        <v>0.0</v>
      </c>
      <c r="AY294" s="1">
        <v>0.0</v>
      </c>
    </row>
    <row r="295" spans="20:51" ht="15.75" hidden="1">
      <c r="T295" s="1">
        <v>5.737099E7</v>
      </c>
      <c r="U295" s="1"/>
      <c r="V295" s="1"/>
      <c r="W295" s="1"/>
      <c r="X295" s="1"/>
      <c r="Y295" s="1" t="s">
        <v>1445</v>
      </c>
      <c r="Z295" s="1" t="s">
        <v>1446</v>
      </c>
      <c r="AA295" s="1" t="s">
        <v>1447</v>
      </c>
      <c r="AB295" s="1"/>
      <c r="AC295" s="1"/>
      <c r="AD295" s="1"/>
      <c r="AE295" s="1"/>
      <c r="AG295" s="2" t="str">
        <f>"1681376016"</f>
        <v>1681376016</v>
      </c>
      <c r="AH295" s="2" t="str">
        <f>"9781681376011"</f>
        <v>9781681376011</v>
      </c>
      <c r="AI295" s="1">
        <v>0.0</v>
      </c>
      <c r="AJ295" s="1">
        <v>4.57</v>
      </c>
      <c r="AK295" s="1" t="s">
        <v>77</v>
      </c>
      <c r="AL295" s="1" t="s">
        <v>28</v>
      </c>
      <c r="AM295" s="1">
        <v>496.0</v>
      </c>
      <c r="AN295" s="1">
        <v>2022.0</v>
      </c>
      <c r="AO295" s="1">
        <v>1961.0</v>
      </c>
      <c r="AQ295" s="3">
        <v>45102.0</v>
      </c>
      <c r="AR295" s="1" t="s">
        <v>1448</v>
      </c>
      <c r="AS295" s="1" t="s">
        <v>1449</v>
      </c>
      <c r="AT295" s="1" t="s">
        <v>31</v>
      </c>
      <c r="AX295" s="1">
        <v>0.0</v>
      </c>
      <c r="AY295" s="1">
        <v>0.0</v>
      </c>
    </row>
    <row r="296" spans="20:51" ht="15.75" hidden="1">
      <c r="T296" s="1">
        <v>460984.0</v>
      </c>
      <c r="U296" s="1"/>
      <c r="V296" s="1"/>
      <c r="W296" s="1"/>
      <c r="X296" s="1"/>
      <c r="Y296" s="1" t="s">
        <v>1450</v>
      </c>
      <c r="Z296" s="1" t="s">
        <v>1451</v>
      </c>
      <c r="AA296" s="1" t="s">
        <v>1452</v>
      </c>
      <c r="AB296" s="1"/>
      <c r="AC296" s="1"/>
      <c r="AD296" s="1"/>
      <c r="AE296" s="1"/>
      <c r="AF296" s="1" t="s">
        <v>1453</v>
      </c>
      <c r="AG296" s="2" t="str">
        <f t="shared" si="16" ref="AG296:AH296">""</f>
        <v/>
      </c>
      <c r="AH296" s="2" t="str">
        <f t="shared" si="16"/>
        <v/>
      </c>
      <c r="AI296" s="1">
        <v>0.0</v>
      </c>
      <c r="AJ296" s="1">
        <v>4.15</v>
      </c>
      <c r="AK296" s="1" t="s">
        <v>605</v>
      </c>
      <c r="AL296" s="1" t="s">
        <v>28</v>
      </c>
      <c r="AM296" s="1">
        <v>368.0</v>
      </c>
      <c r="AN296" s="1">
        <v>1992.0</v>
      </c>
      <c r="AO296" s="1">
        <v>1917.0</v>
      </c>
      <c r="AQ296" s="4">
        <v>44479.0</v>
      </c>
      <c r="AR296" s="1" t="s">
        <v>1454</v>
      </c>
      <c r="AS296" s="1" t="s">
        <v>1455</v>
      </c>
      <c r="AT296" s="1" t="s">
        <v>31</v>
      </c>
      <c r="AX296" s="1">
        <v>0.0</v>
      </c>
      <c r="AY296" s="1">
        <v>0.0</v>
      </c>
    </row>
    <row r="297" spans="20:51" ht="15.75" hidden="1">
      <c r="T297" s="1">
        <v>109588.0</v>
      </c>
      <c r="U297" s="1"/>
      <c r="V297" s="1"/>
      <c r="W297" s="1"/>
      <c r="X297" s="1"/>
      <c r="Y297" s="1" t="s">
        <v>1456</v>
      </c>
      <c r="Z297" s="1" t="s">
        <v>1457</v>
      </c>
      <c r="AA297" s="1" t="s">
        <v>1458</v>
      </c>
      <c r="AB297" s="1"/>
      <c r="AC297" s="1"/>
      <c r="AD297" s="1"/>
      <c r="AE297" s="1"/>
      <c r="AG297" s="2" t="str">
        <f>"0195306821"</f>
        <v>0195306821</v>
      </c>
      <c r="AH297" s="2" t="str">
        <f>"9780195306828"</f>
        <v>9780195306828</v>
      </c>
      <c r="AI297" s="1">
        <v>0.0</v>
      </c>
      <c r="AJ297" s="1">
        <v>4.0</v>
      </c>
      <c r="AK297" s="1" t="s">
        <v>214</v>
      </c>
      <c r="AL297" s="1" t="s">
        <v>41</v>
      </c>
      <c r="AM297" s="1">
        <v>783.0</v>
      </c>
      <c r="AN297" s="1">
        <v>2006.0</v>
      </c>
      <c r="AO297" s="1">
        <v>1995.0</v>
      </c>
      <c r="AQ297" s="3">
        <v>44508.0</v>
      </c>
      <c r="AR297" s="1" t="s">
        <v>1438</v>
      </c>
      <c r="AS297" s="1" t="s">
        <v>1459</v>
      </c>
      <c r="AT297" s="1" t="s">
        <v>31</v>
      </c>
      <c r="AX297" s="1">
        <v>0.0</v>
      </c>
      <c r="AY297" s="1">
        <v>0.0</v>
      </c>
    </row>
    <row r="298" spans="20:51" ht="15.75" hidden="1">
      <c r="T298" s="1">
        <v>6.2890952E7</v>
      </c>
      <c r="U298" s="1"/>
      <c r="V298" s="1"/>
      <c r="W298" s="1"/>
      <c r="X298" s="1"/>
      <c r="Y298" s="1" t="s">
        <v>1460</v>
      </c>
      <c r="Z298" s="1" t="s">
        <v>1461</v>
      </c>
      <c r="AA298" s="1" t="s">
        <v>1462</v>
      </c>
      <c r="AB298" s="1"/>
      <c r="AC298" s="1"/>
      <c r="AD298" s="1"/>
      <c r="AE298" s="1"/>
      <c r="AF298" s="1" t="s">
        <v>1461</v>
      </c>
      <c r="AG298" s="2" t="str">
        <f>"8418681144"</f>
        <v>8418681144</v>
      </c>
      <c r="AH298" s="2" t="str">
        <f>"9788418681141"</f>
        <v>9788418681141</v>
      </c>
      <c r="AI298" s="1">
        <v>0.0</v>
      </c>
      <c r="AJ298" s="1">
        <v>3.89</v>
      </c>
      <c r="AK298" s="1" t="s">
        <v>1463</v>
      </c>
      <c r="AL298" s="1" t="s">
        <v>28</v>
      </c>
      <c r="AM298" s="1">
        <v>400.0</v>
      </c>
      <c r="AN298" s="1">
        <v>2022.0</v>
      </c>
      <c r="AQ298" s="3">
        <v>45113.0</v>
      </c>
      <c r="AR298" s="1" t="s">
        <v>1464</v>
      </c>
      <c r="AS298" s="1" t="s">
        <v>1465</v>
      </c>
      <c r="AT298" s="1" t="s">
        <v>31</v>
      </c>
      <c r="AX298" s="1">
        <v>0.0</v>
      </c>
      <c r="AY298" s="1">
        <v>0.0</v>
      </c>
    </row>
    <row r="299" spans="20:51" ht="15.75" hidden="1">
      <c r="T299" s="1">
        <v>3.6744144E7</v>
      </c>
      <c r="U299" s="1"/>
      <c r="V299" s="1"/>
      <c r="W299" s="1"/>
      <c r="X299" s="1"/>
      <c r="Y299" s="1" t="s">
        <v>1466</v>
      </c>
      <c r="Z299" s="1" t="s">
        <v>1467</v>
      </c>
      <c r="AA299" s="1" t="s">
        <v>1468</v>
      </c>
      <c r="AB299" s="1"/>
      <c r="AC299" s="1"/>
      <c r="AD299" s="1"/>
      <c r="AE299" s="1"/>
      <c r="AF299" s="1" t="s">
        <v>1469</v>
      </c>
      <c r="AG299" s="2" t="str">
        <f>"1350012009"</f>
        <v>1350012009</v>
      </c>
      <c r="AH299" s="2" t="str">
        <f>"9781350012004"</f>
        <v>9781350012004</v>
      </c>
      <c r="AI299" s="1">
        <v>0.0</v>
      </c>
      <c r="AJ299" s="1">
        <v>4.0</v>
      </c>
      <c r="AK299" s="1" t="s">
        <v>1470</v>
      </c>
      <c r="AL299" s="1" t="s">
        <v>41</v>
      </c>
      <c r="AM299" s="1">
        <v>192.0</v>
      </c>
      <c r="AN299" s="1">
        <v>2018.0</v>
      </c>
      <c r="AO299" s="1">
        <v>2012.0</v>
      </c>
      <c r="AQ299" s="3">
        <v>44464.0</v>
      </c>
      <c r="AR299" s="1" t="s">
        <v>1448</v>
      </c>
      <c r="AS299" s="1" t="s">
        <v>1471</v>
      </c>
      <c r="AT299" s="1" t="s">
        <v>31</v>
      </c>
      <c r="AX299" s="1">
        <v>0.0</v>
      </c>
      <c r="AY299" s="1">
        <v>0.0</v>
      </c>
    </row>
    <row r="300" spans="20:51" ht="15.75" hidden="1">
      <c r="T300" s="1">
        <v>396829.0</v>
      </c>
      <c r="U300" s="1"/>
      <c r="V300" s="1"/>
      <c r="W300" s="1"/>
      <c r="X300" s="1"/>
      <c r="Y300" s="1" t="s">
        <v>1472</v>
      </c>
      <c r="Z300" s="1" t="s">
        <v>1473</v>
      </c>
      <c r="AA300" s="1" t="s">
        <v>1474</v>
      </c>
      <c r="AB300" s="1"/>
      <c r="AC300" s="1"/>
      <c r="AD300" s="1"/>
      <c r="AE300" s="1"/>
      <c r="AG300" s="2" t="str">
        <f t="shared" si="17" ref="AG300:AH300">""</f>
        <v/>
      </c>
      <c r="AH300" s="2" t="str">
        <f t="shared" si="17"/>
        <v/>
      </c>
      <c r="AI300" s="1">
        <v>0.0</v>
      </c>
      <c r="AJ300" s="1">
        <v>3.99</v>
      </c>
      <c r="AK300" s="1" t="s">
        <v>1475</v>
      </c>
      <c r="AL300" s="1" t="s">
        <v>28</v>
      </c>
      <c r="AM300" s="1">
        <v>195.0</v>
      </c>
      <c r="AN300" s="1">
        <v>1964.0</v>
      </c>
      <c r="AO300" s="1">
        <v>1964.0</v>
      </c>
      <c r="AQ300" s="3">
        <v>44474.0</v>
      </c>
      <c r="AR300" s="1" t="s">
        <v>1438</v>
      </c>
      <c r="AS300" s="1" t="s">
        <v>1476</v>
      </c>
      <c r="AT300" s="1" t="s">
        <v>31</v>
      </c>
      <c r="AX300" s="1">
        <v>0.0</v>
      </c>
      <c r="AY300" s="1">
        <v>0.0</v>
      </c>
    </row>
    <row r="301" spans="20:51" ht="15.75" hidden="1">
      <c r="T301" s="1">
        <v>1601408.0</v>
      </c>
      <c r="U301" s="1"/>
      <c r="V301" s="1"/>
      <c r="W301" s="1"/>
      <c r="X301" s="1"/>
      <c r="Y301" s="1" t="s">
        <v>1477</v>
      </c>
      <c r="Z301" s="1" t="s">
        <v>1478</v>
      </c>
      <c r="AA301" s="1" t="s">
        <v>1479</v>
      </c>
      <c r="AB301" s="1"/>
      <c r="AC301" s="1"/>
      <c r="AD301" s="1"/>
      <c r="AE301" s="1"/>
      <c r="AF301" s="1" t="s">
        <v>1480</v>
      </c>
      <c r="AG301" s="2" t="str">
        <f>"0486217396"</f>
        <v>0486217396</v>
      </c>
      <c r="AH301" s="2" t="str">
        <f>"9780486217390"</f>
        <v>9780486217390</v>
      </c>
      <c r="AI301" s="1">
        <v>0.0</v>
      </c>
      <c r="AJ301" s="1">
        <v>3.94</v>
      </c>
      <c r="AK301" s="1" t="s">
        <v>540</v>
      </c>
      <c r="AL301" s="1" t="s">
        <v>28</v>
      </c>
      <c r="AM301" s="1">
        <v>544.0</v>
      </c>
      <c r="AN301" s="1">
        <v>1967.0</v>
      </c>
      <c r="AO301" s="1">
        <v>1941.0</v>
      </c>
      <c r="AQ301" s="3">
        <v>44464.0</v>
      </c>
      <c r="AR301" s="1" t="s">
        <v>1448</v>
      </c>
      <c r="AS301" s="1" t="s">
        <v>1481</v>
      </c>
      <c r="AT301" s="1" t="s">
        <v>31</v>
      </c>
      <c r="AX301" s="1">
        <v>0.0</v>
      </c>
      <c r="AY301" s="1">
        <v>0.0</v>
      </c>
    </row>
    <row r="302" spans="20:51" ht="15.75" hidden="1">
      <c r="T302" s="1">
        <v>31852.0</v>
      </c>
      <c r="U302" s="1"/>
      <c r="V302" s="1"/>
      <c r="W302" s="1"/>
      <c r="X302" s="1"/>
      <c r="Y302" s="1" t="s">
        <v>1482</v>
      </c>
      <c r="Z302" s="1" t="s">
        <v>1483</v>
      </c>
      <c r="AA302" s="1" t="s">
        <v>1484</v>
      </c>
      <c r="AB302" s="1"/>
      <c r="AC302" s="1"/>
      <c r="AD302" s="1"/>
      <c r="AE302" s="1"/>
      <c r="AF302" s="1" t="s">
        <v>1485</v>
      </c>
      <c r="AG302" s="2" t="str">
        <f>"0195101960"</f>
        <v>0195101960</v>
      </c>
      <c r="AH302" s="2" t="str">
        <f>"9780195101966"</f>
        <v>9780195101966</v>
      </c>
      <c r="AI302" s="1">
        <v>0.0</v>
      </c>
      <c r="AJ302" s="1">
        <v>3.82</v>
      </c>
      <c r="AK302" s="1" t="s">
        <v>1186</v>
      </c>
      <c r="AL302" s="1" t="s">
        <v>28</v>
      </c>
      <c r="AM302" s="1">
        <v>352.0</v>
      </c>
      <c r="AN302" s="1">
        <v>1996.0</v>
      </c>
      <c r="AO302" s="1">
        <v>1996.0</v>
      </c>
      <c r="AQ302" s="3">
        <v>44464.0</v>
      </c>
      <c r="AR302" s="1" t="s">
        <v>1448</v>
      </c>
      <c r="AS302" s="1" t="s">
        <v>1486</v>
      </c>
      <c r="AT302" s="1" t="s">
        <v>31</v>
      </c>
      <c r="AX302" s="1">
        <v>0.0</v>
      </c>
      <c r="AY302" s="1">
        <v>0.0</v>
      </c>
    </row>
    <row r="303" spans="20:51" ht="15.75" hidden="1">
      <c r="T303" s="1">
        <v>4.0308701E7</v>
      </c>
      <c r="U303" s="1"/>
      <c r="V303" s="1"/>
      <c r="W303" s="1"/>
      <c r="X303" s="1"/>
      <c r="Y303" s="1" t="s">
        <v>1487</v>
      </c>
      <c r="Z303" s="1" t="s">
        <v>1488</v>
      </c>
      <c r="AA303" s="1" t="s">
        <v>1489</v>
      </c>
      <c r="AB303" s="1"/>
      <c r="AC303" s="1"/>
      <c r="AD303" s="1"/>
      <c r="AE303" s="1"/>
      <c r="AG303" s="2" t="str">
        <f>"0830852220"</f>
        <v>0830852220</v>
      </c>
      <c r="AH303" s="2" t="str">
        <f>"9780830852222"</f>
        <v>9780830852222</v>
      </c>
      <c r="AI303" s="1">
        <v>0.0</v>
      </c>
      <c r="AJ303" s="1">
        <v>4.36</v>
      </c>
      <c r="AK303" s="1" t="s">
        <v>1490</v>
      </c>
      <c r="AL303" s="1" t="s">
        <v>41</v>
      </c>
      <c r="AM303" s="1">
        <v>600.0</v>
      </c>
      <c r="AN303" s="1">
        <v>2018.0</v>
      </c>
      <c r="AO303" s="1">
        <v>2018.0</v>
      </c>
      <c r="AQ303" s="3">
        <v>44464.0</v>
      </c>
      <c r="AR303" s="1" t="s">
        <v>1491</v>
      </c>
      <c r="AS303" s="1" t="s">
        <v>1492</v>
      </c>
      <c r="AT303" s="1" t="s">
        <v>31</v>
      </c>
      <c r="AX303" s="1">
        <v>0.0</v>
      </c>
      <c r="AY303" s="1">
        <v>0.0</v>
      </c>
    </row>
    <row r="304" spans="20:51" ht="15.75" hidden="1">
      <c r="T304" s="1">
        <v>1.7393385E7</v>
      </c>
      <c r="U304" s="1"/>
      <c r="V304" s="1"/>
      <c r="W304" s="1"/>
      <c r="X304" s="1"/>
      <c r="Y304" s="1" t="s">
        <v>1493</v>
      </c>
      <c r="Z304" s="1" t="s">
        <v>1494</v>
      </c>
      <c r="AA304" s="1" t="s">
        <v>1495</v>
      </c>
      <c r="AB304" s="1"/>
      <c r="AC304" s="1"/>
      <c r="AD304" s="1"/>
      <c r="AE304" s="1"/>
      <c r="AG304" s="2" t="str">
        <f>"0199301085"</f>
        <v>0199301085</v>
      </c>
      <c r="AH304" s="2" t="str">
        <f>"9780199301089"</f>
        <v>9780199301089</v>
      </c>
      <c r="AI304" s="1">
        <v>0.0</v>
      </c>
      <c r="AJ304" s="1">
        <v>3.91</v>
      </c>
      <c r="AK304" s="1" t="s">
        <v>214</v>
      </c>
      <c r="AL304" s="1" t="s">
        <v>28</v>
      </c>
      <c r="AM304" s="1">
        <v>200.0</v>
      </c>
      <c r="AN304" s="1">
        <v>2013.0</v>
      </c>
      <c r="AO304" s="1">
        <v>2013.0</v>
      </c>
      <c r="AQ304" s="3">
        <v>44464.0</v>
      </c>
      <c r="AR304" s="1" t="s">
        <v>1448</v>
      </c>
      <c r="AS304" s="1" t="s">
        <v>1496</v>
      </c>
      <c r="AT304" s="1" t="s">
        <v>31</v>
      </c>
      <c r="AX304" s="1">
        <v>0.0</v>
      </c>
      <c r="AY304" s="1">
        <v>0.0</v>
      </c>
    </row>
    <row r="305" spans="20:51" ht="15.75" hidden="1">
      <c r="T305" s="1">
        <v>778458.0</v>
      </c>
      <c r="U305" s="1"/>
      <c r="V305" s="1"/>
      <c r="W305" s="1"/>
      <c r="X305" s="1"/>
      <c r="Y305" s="1" t="s">
        <v>1497</v>
      </c>
      <c r="Z305" s="1" t="s">
        <v>1498</v>
      </c>
      <c r="AA305" s="1" t="s">
        <v>1499</v>
      </c>
      <c r="AB305" s="1"/>
      <c r="AC305" s="1"/>
      <c r="AD305" s="1"/>
      <c r="AE305" s="1"/>
      <c r="AF305" s="1" t="s">
        <v>1500</v>
      </c>
      <c r="AG305" s="2" t="str">
        <f>"0393001229"</f>
        <v>0393001229</v>
      </c>
      <c r="AH305" s="2" t="str">
        <f>"9780393001228"</f>
        <v>9780393001228</v>
      </c>
      <c r="AI305" s="1">
        <v>0.0</v>
      </c>
      <c r="AJ305" s="1">
        <v>4.04</v>
      </c>
      <c r="AK305" s="1" t="s">
        <v>113</v>
      </c>
      <c r="AL305" s="1" t="s">
        <v>28</v>
      </c>
      <c r="AM305" s="1">
        <v>269.0</v>
      </c>
      <c r="AN305" s="1">
        <v>1962.0</v>
      </c>
      <c r="AO305" s="1">
        <v>1941.0</v>
      </c>
      <c r="AQ305" s="3">
        <v>44455.0</v>
      </c>
      <c r="AR305" s="1" t="s">
        <v>1448</v>
      </c>
      <c r="AS305" s="1" t="s">
        <v>1501</v>
      </c>
      <c r="AT305" s="1" t="s">
        <v>31</v>
      </c>
      <c r="AX305" s="1">
        <v>0.0</v>
      </c>
      <c r="AY305" s="1">
        <v>0.0</v>
      </c>
    </row>
    <row r="306" spans="20:51" ht="15.75" hidden="1">
      <c r="T306" s="1">
        <v>4.1954426E7</v>
      </c>
      <c r="U306" s="1"/>
      <c r="V306" s="1"/>
      <c r="W306" s="1"/>
      <c r="X306" s="1"/>
      <c r="Y306" s="1" t="s">
        <v>1502</v>
      </c>
      <c r="Z306" s="1" t="s">
        <v>1503</v>
      </c>
      <c r="AA306" s="1" t="s">
        <v>1504</v>
      </c>
      <c r="AB306" s="1"/>
      <c r="AC306" s="1"/>
      <c r="AD306" s="1"/>
      <c r="AE306" s="1"/>
      <c r="AG306" s="2" t="str">
        <f>"0241304539"</f>
        <v>0241304539</v>
      </c>
      <c r="AH306" s="2" t="str">
        <f>"9780241304532"</f>
        <v>9780241304532</v>
      </c>
      <c r="AI306" s="1">
        <v>0.0</v>
      </c>
      <c r="AJ306" s="1">
        <v>4.08</v>
      </c>
      <c r="AK306" s="1" t="s">
        <v>1505</v>
      </c>
      <c r="AL306" s="1" t="s">
        <v>41</v>
      </c>
      <c r="AM306" s="1">
        <v>704.0</v>
      </c>
      <c r="AN306" s="1">
        <v>2019.0</v>
      </c>
      <c r="AO306" s="1">
        <v>2019.0</v>
      </c>
      <c r="AQ306" s="3">
        <v>44464.0</v>
      </c>
      <c r="AR306" s="1" t="s">
        <v>1448</v>
      </c>
      <c r="AS306" s="1" t="s">
        <v>1506</v>
      </c>
      <c r="AT306" s="1" t="s">
        <v>31</v>
      </c>
      <c r="AX306" s="1">
        <v>0.0</v>
      </c>
      <c r="AY306" s="1">
        <v>0.0</v>
      </c>
    </row>
    <row r="307" spans="20:51" ht="15.75" hidden="1">
      <c r="T307" s="1">
        <v>481309.0</v>
      </c>
      <c r="U307" s="1"/>
      <c r="V307" s="1"/>
      <c r="W307" s="1"/>
      <c r="X307" s="1"/>
      <c r="Y307" s="1" t="s">
        <v>1507</v>
      </c>
      <c r="Z307" s="1" t="s">
        <v>1508</v>
      </c>
      <c r="AA307" s="1" t="s">
        <v>1509</v>
      </c>
      <c r="AB307" s="1"/>
      <c r="AC307" s="1"/>
      <c r="AD307" s="1"/>
      <c r="AE307" s="1"/>
      <c r="AF307" s="1" t="s">
        <v>1510</v>
      </c>
      <c r="AG307" s="2" t="str">
        <f>"0674045351"</f>
        <v>0674045351</v>
      </c>
      <c r="AH307" s="2" t="str">
        <f>"9780674045354"</f>
        <v>9780674045354</v>
      </c>
      <c r="AI307" s="1">
        <v>0.0</v>
      </c>
      <c r="AJ307" s="1">
        <v>3.94</v>
      </c>
      <c r="AK307" s="1" t="s">
        <v>107</v>
      </c>
      <c r="AL307" s="1" t="s">
        <v>28</v>
      </c>
      <c r="AM307" s="1">
        <v>320.0</v>
      </c>
      <c r="AN307" s="1">
        <v>1983.0</v>
      </c>
      <c r="AO307" s="1">
        <v>1983.0</v>
      </c>
      <c r="AQ307" s="3">
        <v>44455.0</v>
      </c>
      <c r="AR307" s="1" t="s">
        <v>1511</v>
      </c>
      <c r="AS307" s="1" t="s">
        <v>1512</v>
      </c>
      <c r="AT307" s="1" t="s">
        <v>31</v>
      </c>
      <c r="AX307" s="1">
        <v>0.0</v>
      </c>
      <c r="AY307" s="1">
        <v>0.0</v>
      </c>
    </row>
    <row r="308" spans="20:51" ht="15.75" hidden="1">
      <c r="T308" s="1">
        <v>19390.0</v>
      </c>
      <c r="U308" s="1"/>
      <c r="V308" s="1"/>
      <c r="W308" s="1"/>
      <c r="X308" s="1"/>
      <c r="Y308" s="1" t="s">
        <v>1513</v>
      </c>
      <c r="Z308" s="1" t="s">
        <v>1514</v>
      </c>
      <c r="AA308" s="1" t="s">
        <v>1515</v>
      </c>
      <c r="AB308" s="1"/>
      <c r="AC308" s="1"/>
      <c r="AD308" s="1"/>
      <c r="AE308" s="1"/>
      <c r="AF308" s="1" t="s">
        <v>1516</v>
      </c>
      <c r="AG308" s="2" t="str">
        <f>"014044257X"</f>
        <v>014044257X</v>
      </c>
      <c r="AH308" s="2" t="str">
        <f>"9780140442571"</f>
        <v>9780140442571</v>
      </c>
      <c r="AI308" s="1">
        <v>0.0</v>
      </c>
      <c r="AJ308" s="1">
        <v>4.07</v>
      </c>
      <c r="AK308" s="1" t="s">
        <v>232</v>
      </c>
      <c r="AL308" s="1" t="s">
        <v>28</v>
      </c>
      <c r="AM308" s="1">
        <v>400.0</v>
      </c>
      <c r="AN308" s="1">
        <v>1984.0</v>
      </c>
      <c r="AO308" s="1">
        <v>1764.0</v>
      </c>
      <c r="AQ308" s="3">
        <v>44455.0</v>
      </c>
      <c r="AR308" s="1" t="s">
        <v>1511</v>
      </c>
      <c r="AS308" s="1" t="s">
        <v>1517</v>
      </c>
      <c r="AT308" s="1" t="s">
        <v>31</v>
      </c>
      <c r="AX308" s="1">
        <v>0.0</v>
      </c>
      <c r="AY308" s="1">
        <v>0.0</v>
      </c>
    </row>
    <row r="309" spans="20:51" ht="15.75" hidden="1">
      <c r="T309" s="1">
        <v>1.3792158E7</v>
      </c>
      <c r="U309" s="1"/>
      <c r="V309" s="1"/>
      <c r="W309" s="1"/>
      <c r="X309" s="1"/>
      <c r="Y309" s="1" t="s">
        <v>1518</v>
      </c>
      <c r="Z309" s="1" t="s">
        <v>1519</v>
      </c>
      <c r="AA309" s="1" t="s">
        <v>1520</v>
      </c>
      <c r="AB309" s="1"/>
      <c r="AC309" s="1"/>
      <c r="AD309" s="1"/>
      <c r="AE309" s="1"/>
      <c r="AG309" s="2" t="str">
        <f>"0810875985"</f>
        <v>0810875985</v>
      </c>
      <c r="AH309" s="2" t="str">
        <f>"9780810875982"</f>
        <v>9780810875982</v>
      </c>
      <c r="AI309" s="1">
        <v>0.0</v>
      </c>
      <c r="AJ309" s="1">
        <v>5.0</v>
      </c>
      <c r="AK309" s="1" t="s">
        <v>1521</v>
      </c>
      <c r="AL309" s="1" t="s">
        <v>28</v>
      </c>
      <c r="AM309" s="1">
        <v>430.0</v>
      </c>
      <c r="AN309" s="1">
        <v>2010.0</v>
      </c>
      <c r="AO309" s="1">
        <v>2010.0</v>
      </c>
      <c r="AQ309" s="3">
        <v>44261.0</v>
      </c>
      <c r="AR309" s="1" t="s">
        <v>1511</v>
      </c>
      <c r="AS309" s="1" t="s">
        <v>1522</v>
      </c>
      <c r="AT309" s="1" t="s">
        <v>31</v>
      </c>
      <c r="AX309" s="1">
        <v>0.0</v>
      </c>
      <c r="AY309" s="1">
        <v>0.0</v>
      </c>
    </row>
    <row r="310" spans="20:51" ht="15.75" hidden="1">
      <c r="T310" s="1">
        <v>4.2068288E7</v>
      </c>
      <c r="U310" s="1"/>
      <c r="V310" s="1"/>
      <c r="W310" s="1"/>
      <c r="X310" s="1"/>
      <c r="Y310" s="1" t="s">
        <v>1523</v>
      </c>
      <c r="Z310" s="1" t="s">
        <v>1524</v>
      </c>
      <c r="AA310" s="1" t="s">
        <v>1525</v>
      </c>
      <c r="AB310" s="1"/>
      <c r="AC310" s="1"/>
      <c r="AD310" s="1"/>
      <c r="AE310" s="1"/>
      <c r="AG310" s="2" t="str">
        <f>"1783782285"</f>
        <v>1783782285</v>
      </c>
      <c r="AH310" s="2" t="str">
        <f>"9781783782284"</f>
        <v>9781783782284</v>
      </c>
      <c r="AI310" s="1">
        <v>0.0</v>
      </c>
      <c r="AJ310" s="1">
        <v>3.71</v>
      </c>
      <c r="AK310" s="1" t="s">
        <v>1526</v>
      </c>
      <c r="AL310" s="1" t="s">
        <v>41</v>
      </c>
      <c r="AM310" s="1">
        <v>432.0</v>
      </c>
      <c r="AN310" s="1">
        <v>2018.0</v>
      </c>
      <c r="AO310" s="1">
        <v>2018.0</v>
      </c>
      <c r="AQ310" s="3">
        <v>44242.0</v>
      </c>
      <c r="AR310" s="1" t="s">
        <v>1448</v>
      </c>
      <c r="AS310" s="1" t="s">
        <v>1527</v>
      </c>
      <c r="AT310" s="1" t="s">
        <v>31</v>
      </c>
      <c r="AX310" s="1">
        <v>0.0</v>
      </c>
      <c r="AY310" s="1">
        <v>0.0</v>
      </c>
    </row>
    <row r="311" spans="20:51" ht="15.75" hidden="1">
      <c r="T311" s="1">
        <v>879273.0</v>
      </c>
      <c r="U311" s="1"/>
      <c r="V311" s="1"/>
      <c r="W311" s="1"/>
      <c r="X311" s="1"/>
      <c r="Y311" s="1" t="s">
        <v>1528</v>
      </c>
      <c r="Z311" s="1" t="s">
        <v>1529</v>
      </c>
      <c r="AA311" s="1" t="s">
        <v>1530</v>
      </c>
      <c r="AB311" s="1"/>
      <c r="AC311" s="1"/>
      <c r="AD311" s="1"/>
      <c r="AE311" s="1"/>
      <c r="AG311" s="2" t="str">
        <f>"0268010919"</f>
        <v>0268010919</v>
      </c>
      <c r="AH311" s="2" t="str">
        <f>"9780268010911"</f>
        <v>9780268010911</v>
      </c>
      <c r="AI311" s="1">
        <v>0.0</v>
      </c>
      <c r="AJ311" s="1">
        <v>3.86</v>
      </c>
      <c r="AK311" s="1" t="s">
        <v>1531</v>
      </c>
      <c r="AL311" s="1" t="s">
        <v>28</v>
      </c>
      <c r="AM311" s="1">
        <v>410.0</v>
      </c>
      <c r="AN311" s="1">
        <v>1990.0</v>
      </c>
      <c r="AO311" s="1">
        <v>1952.0</v>
      </c>
      <c r="AQ311" s="4">
        <v>44128.0</v>
      </c>
      <c r="AR311" s="1" t="s">
        <v>1454</v>
      </c>
      <c r="AS311" s="1" t="s">
        <v>1532</v>
      </c>
      <c r="AT311" s="1" t="s">
        <v>31</v>
      </c>
      <c r="AX311" s="1">
        <v>0.0</v>
      </c>
      <c r="AY311" s="1">
        <v>0.0</v>
      </c>
    </row>
    <row r="312" spans="20:51" ht="15.75" hidden="1">
      <c r="T312" s="1">
        <v>314932.0</v>
      </c>
      <c r="U312" s="1"/>
      <c r="V312" s="1"/>
      <c r="W312" s="1"/>
      <c r="X312" s="1"/>
      <c r="Y312" s="1" t="s">
        <v>1533</v>
      </c>
      <c r="Z312" s="1" t="s">
        <v>1534</v>
      </c>
      <c r="AA312" s="1" t="s">
        <v>1535</v>
      </c>
      <c r="AB312" s="1"/>
      <c r="AC312" s="1"/>
      <c r="AD312" s="1"/>
      <c r="AE312" s="1"/>
      <c r="AG312" s="2" t="str">
        <f>"0192854100"</f>
        <v>0192854100</v>
      </c>
      <c r="AH312" s="2" t="str">
        <f>"9780192854100"</f>
        <v>9780192854100</v>
      </c>
      <c r="AI312" s="1">
        <v>0.0</v>
      </c>
      <c r="AJ312" s="1">
        <v>3.67</v>
      </c>
      <c r="AK312" s="1" t="s">
        <v>214</v>
      </c>
      <c r="AL312" s="1" t="s">
        <v>28</v>
      </c>
      <c r="AM312" s="1">
        <v>160.0</v>
      </c>
      <c r="AN312" s="1">
        <v>2002.0</v>
      </c>
      <c r="AO312" s="1">
        <v>1997.0</v>
      </c>
      <c r="AQ312" s="3">
        <v>43945.0</v>
      </c>
      <c r="AR312" s="1" t="s">
        <v>1454</v>
      </c>
      <c r="AS312" s="1" t="s">
        <v>1536</v>
      </c>
      <c r="AT312" s="1" t="s">
        <v>31</v>
      </c>
      <c r="AX312" s="1">
        <v>0.0</v>
      </c>
      <c r="AY312" s="1">
        <v>0.0</v>
      </c>
    </row>
    <row r="313" spans="20:51" ht="15.75" hidden="1">
      <c r="T313" s="1">
        <v>1.7759226E7</v>
      </c>
      <c r="U313" s="1"/>
      <c r="V313" s="1"/>
      <c r="W313" s="1"/>
      <c r="X313" s="1"/>
      <c r="Y313" s="1" t="s">
        <v>1537</v>
      </c>
      <c r="Z313" s="1" t="s">
        <v>1538</v>
      </c>
      <c r="AA313" s="1" t="s">
        <v>1539</v>
      </c>
      <c r="AB313" s="1"/>
      <c r="AC313" s="1"/>
      <c r="AD313" s="1"/>
      <c r="AE313" s="1"/>
      <c r="AF313" s="1" t="s">
        <v>1540</v>
      </c>
      <c r="AG313" s="2" t="str">
        <f>"0691138702"</f>
        <v>0691138702</v>
      </c>
      <c r="AH313" s="2" t="str">
        <f>"9780691138701"</f>
        <v>9780691138701</v>
      </c>
      <c r="AI313" s="1">
        <v>0.0</v>
      </c>
      <c r="AJ313" s="1">
        <v>4.55</v>
      </c>
      <c r="AK313" s="1" t="s">
        <v>141</v>
      </c>
      <c r="AL313" s="1" t="s">
        <v>41</v>
      </c>
      <c r="AM313" s="1">
        <v>1344.0</v>
      </c>
      <c r="AN313" s="1">
        <v>2014.0</v>
      </c>
      <c r="AO313" s="1">
        <v>2004.0</v>
      </c>
      <c r="AQ313" s="3">
        <v>43967.0</v>
      </c>
      <c r="AR313" s="1" t="s">
        <v>1511</v>
      </c>
      <c r="AS313" s="1" t="s">
        <v>1541</v>
      </c>
      <c r="AT313" s="1" t="s">
        <v>31</v>
      </c>
      <c r="AX313" s="1">
        <v>0.0</v>
      </c>
      <c r="AY313" s="1">
        <v>0.0</v>
      </c>
    </row>
    <row r="314" spans="20:51" ht="15.75" hidden="1">
      <c r="T314" s="1">
        <v>1888592.0</v>
      </c>
      <c r="U314" s="1"/>
      <c r="V314" s="1"/>
      <c r="W314" s="1"/>
      <c r="X314" s="1"/>
      <c r="Y314" s="1" t="s">
        <v>1542</v>
      </c>
      <c r="Z314" s="1" t="s">
        <v>1543</v>
      </c>
      <c r="AA314" s="1" t="s">
        <v>1544</v>
      </c>
      <c r="AB314" s="1"/>
      <c r="AC314" s="1"/>
      <c r="AD314" s="1"/>
      <c r="AE314" s="1"/>
      <c r="AF314" s="1" t="s">
        <v>1545</v>
      </c>
      <c r="AG314" s="2" t="str">
        <f>"081269337X"</f>
        <v>081269337X</v>
      </c>
      <c r="AH314" s="2" t="str">
        <f>"9780812693379"</f>
        <v>9780812693379</v>
      </c>
      <c r="AI314" s="1">
        <v>0.0</v>
      </c>
      <c r="AJ314" s="1">
        <v>4.07</v>
      </c>
      <c r="AK314" s="1" t="s">
        <v>1546</v>
      </c>
      <c r="AL314" s="1" t="s">
        <v>28</v>
      </c>
      <c r="AM314" s="1">
        <v>200.0</v>
      </c>
      <c r="AN314" s="1">
        <v>1999.0</v>
      </c>
      <c r="AO314" s="1">
        <v>1975.0</v>
      </c>
      <c r="AQ314" s="3">
        <v>43952.0</v>
      </c>
      <c r="AR314" s="1" t="s">
        <v>1454</v>
      </c>
      <c r="AS314" s="1" t="s">
        <v>1547</v>
      </c>
      <c r="AT314" s="1" t="s">
        <v>31</v>
      </c>
      <c r="AX314" s="1">
        <v>0.0</v>
      </c>
      <c r="AY314" s="1">
        <v>0.0</v>
      </c>
    </row>
    <row r="315" spans="20:51" ht="15.75" hidden="1">
      <c r="T315" s="1">
        <v>3.3307193E7</v>
      </c>
      <c r="U315" s="1"/>
      <c r="V315" s="1"/>
      <c r="W315" s="1"/>
      <c r="X315" s="1"/>
      <c r="Y315" s="1" t="s">
        <v>1548</v>
      </c>
      <c r="Z315" s="1" t="s">
        <v>1549</v>
      </c>
      <c r="AA315" s="1" t="s">
        <v>1550</v>
      </c>
      <c r="AB315" s="1"/>
      <c r="AC315" s="1"/>
      <c r="AD315" s="1"/>
      <c r="AE315" s="1"/>
      <c r="AG315" s="2" t="str">
        <f t="shared" si="18" ref="AG315:AH315">""</f>
        <v/>
      </c>
      <c r="AH315" s="2" t="str">
        <f t="shared" si="18"/>
        <v/>
      </c>
      <c r="AI315" s="1">
        <v>0.0</v>
      </c>
      <c r="AJ315" s="1">
        <v>4.21</v>
      </c>
      <c r="AK315" s="1" t="s">
        <v>132</v>
      </c>
      <c r="AL315" s="1" t="s">
        <v>59</v>
      </c>
      <c r="AM315" s="1">
        <v>272.0</v>
      </c>
      <c r="AN315" s="1">
        <v>2016.0</v>
      </c>
      <c r="AQ315" s="4">
        <v>43094.0</v>
      </c>
      <c r="AR315" s="1" t="s">
        <v>1454</v>
      </c>
      <c r="AS315" s="1" t="s">
        <v>1551</v>
      </c>
      <c r="AT315" s="1" t="s">
        <v>31</v>
      </c>
      <c r="AX315" s="1">
        <v>0.0</v>
      </c>
      <c r="AY315" s="1">
        <v>0.0</v>
      </c>
    </row>
    <row r="316" spans="20:51" ht="15.75" hidden="1">
      <c r="T316" s="1">
        <v>127227.0</v>
      </c>
      <c r="U316" s="1"/>
      <c r="V316" s="1"/>
      <c r="W316" s="1"/>
      <c r="X316" s="1"/>
      <c r="Y316" s="1" t="s">
        <v>1552</v>
      </c>
      <c r="Z316" s="1" t="s">
        <v>1553</v>
      </c>
      <c r="AA316" s="1" t="s">
        <v>1554</v>
      </c>
      <c r="AB316" s="1"/>
      <c r="AC316" s="1"/>
      <c r="AD316" s="1"/>
      <c r="AE316" s="1"/>
      <c r="AF316" s="1" t="s">
        <v>1555</v>
      </c>
      <c r="AG316" s="2" t="str">
        <f>"0226025985"</f>
        <v>0226025985</v>
      </c>
      <c r="AH316" s="2" t="str">
        <f>"9780226025988"</f>
        <v>9780226025988</v>
      </c>
      <c r="AI316" s="1">
        <v>0.0</v>
      </c>
      <c r="AJ316" s="1">
        <v>4.22</v>
      </c>
      <c r="AK316" s="1" t="s">
        <v>1556</v>
      </c>
      <c r="AL316" s="1" t="s">
        <v>28</v>
      </c>
      <c r="AM316" s="1">
        <v>349.0</v>
      </c>
      <c r="AN316" s="1">
        <v>1998.0</v>
      </c>
      <c r="AO316" s="1">
        <v>1958.0</v>
      </c>
      <c r="AQ316" s="3">
        <v>42856.0</v>
      </c>
      <c r="AR316" s="1" t="s">
        <v>1438</v>
      </c>
      <c r="AS316" s="1" t="s">
        <v>1557</v>
      </c>
      <c r="AT316" s="1" t="s">
        <v>31</v>
      </c>
      <c r="AX316" s="1">
        <v>0.0</v>
      </c>
      <c r="AY316" s="1">
        <v>0.0</v>
      </c>
    </row>
    <row r="317" spans="20:51" ht="15.75" hidden="1">
      <c r="T317" s="1">
        <v>744128.0</v>
      </c>
      <c r="U317" s="1"/>
      <c r="V317" s="1"/>
      <c r="W317" s="1"/>
      <c r="X317" s="1"/>
      <c r="Y317" s="1" t="s">
        <v>1558</v>
      </c>
      <c r="Z317" s="1" t="s">
        <v>221</v>
      </c>
      <c r="AA317" s="1" t="s">
        <v>222</v>
      </c>
      <c r="AB317" s="1"/>
      <c r="AC317" s="1"/>
      <c r="AD317" s="1"/>
      <c r="AE317" s="1"/>
      <c r="AF317" s="1" t="s">
        <v>1559</v>
      </c>
      <c r="AG317" s="2" t="str">
        <f>"0704301806"</f>
        <v>0704301806</v>
      </c>
      <c r="AH317" s="2" t="str">
        <f>"9780704301801"</f>
        <v>9780704301801</v>
      </c>
      <c r="AI317" s="1">
        <v>0.0</v>
      </c>
      <c r="AJ317" s="1">
        <v>4.11</v>
      </c>
      <c r="AK317" s="1" t="s">
        <v>1560</v>
      </c>
      <c r="AL317" s="1" t="s">
        <v>28</v>
      </c>
      <c r="AM317" s="1">
        <v>212.0</v>
      </c>
      <c r="AN317" s="1">
        <v>1993.0</v>
      </c>
      <c r="AO317" s="1">
        <v>1973.0</v>
      </c>
      <c r="AQ317" s="3">
        <v>42816.0</v>
      </c>
      <c r="AR317" s="1" t="s">
        <v>1438</v>
      </c>
      <c r="AS317" s="1" t="s">
        <v>1561</v>
      </c>
      <c r="AT317" s="1" t="s">
        <v>31</v>
      </c>
      <c r="AX317" s="1">
        <v>0.0</v>
      </c>
      <c r="AY317" s="1">
        <v>0.0</v>
      </c>
    </row>
    <row r="318" spans="20:51" ht="15.75">
      <c r="T318" s="1">
        <v>2.5281733E7</v>
      </c>
      <c r="U318" s="1"/>
      <c r="V318" s="1"/>
      <c r="W318" s="1"/>
      <c r="X318" s="1"/>
      <c r="Y318" s="1" t="s">
        <v>1562</v>
      </c>
      <c r="Z318" s="1" t="s">
        <v>1563</v>
      </c>
      <c r="AA318" s="1" t="s">
        <v>1564</v>
      </c>
      <c r="AB318" s="1"/>
      <c r="AC318" s="1"/>
      <c r="AD318" s="1"/>
      <c r="AE318" s="1"/>
      <c r="AF318" s="1" t="s">
        <v>1565</v>
      </c>
      <c r="AG318" s="2" t="str">
        <f t="shared" si="19" ref="AG318:AH318">""</f>
        <v/>
      </c>
      <c r="AH318" s="2" t="str">
        <f t="shared" si="19"/>
        <v/>
      </c>
      <c r="AI318" s="1">
        <v>0.0</v>
      </c>
      <c r="AJ318" s="1">
        <v>4.06</v>
      </c>
      <c r="AK318" s="1" t="s">
        <v>1566</v>
      </c>
      <c r="AL318" s="1" t="s">
        <v>59</v>
      </c>
      <c r="AM318" s="1">
        <v>298.0</v>
      </c>
      <c r="AN318" s="1">
        <v>2015.0</v>
      </c>
      <c r="AO318" s="1">
        <v>2011.0</v>
      </c>
      <c r="AQ318" s="3">
        <v>45145.0</v>
      </c>
      <c r="AR318" s="1" t="s">
        <v>388</v>
      </c>
      <c r="AS318" s="1" t="s">
        <v>1567</v>
      </c>
      <c r="AT318" s="1" t="s">
        <v>31</v>
      </c>
      <c r="AX318" s="1">
        <v>0.0</v>
      </c>
      <c r="AY318" s="1">
        <v>0.0</v>
      </c>
    </row>
    <row r="319" spans="20:51" ht="15.75">
      <c r="T319" s="1">
        <v>6.0701439E7</v>
      </c>
      <c r="U319" s="1"/>
      <c r="V319" s="1"/>
      <c r="W319" s="1"/>
      <c r="X319" s="1"/>
      <c r="Y319" s="1" t="s">
        <v>1568</v>
      </c>
      <c r="Z319" s="1" t="s">
        <v>1569</v>
      </c>
      <c r="AA319" s="1" t="s">
        <v>1570</v>
      </c>
      <c r="AB319" s="1"/>
      <c r="AC319" s="1"/>
      <c r="AD319" s="1"/>
      <c r="AE319" s="1"/>
      <c r="AG319" s="2" t="str">
        <f>"1982153083"</f>
        <v>1982153083</v>
      </c>
      <c r="AH319" s="2" t="str">
        <f>"9781982153083"</f>
        <v>9781982153083</v>
      </c>
      <c r="AI319" s="1">
        <v>0.0</v>
      </c>
      <c r="AJ319" s="1">
        <v>3.7</v>
      </c>
      <c r="AK319" s="1" t="s">
        <v>101</v>
      </c>
      <c r="AL319" s="1" t="s">
        <v>41</v>
      </c>
      <c r="AM319" s="1">
        <v>336.0</v>
      </c>
      <c r="AN319" s="1">
        <v>2023.0</v>
      </c>
      <c r="AO319" s="1">
        <v>2023.0</v>
      </c>
      <c r="AQ319" s="3">
        <v>45163.0</v>
      </c>
      <c r="AR319" s="1" t="s">
        <v>388</v>
      </c>
      <c r="AS319" s="1" t="s">
        <v>1571</v>
      </c>
      <c r="AT319" s="1" t="s">
        <v>31</v>
      </c>
      <c r="AX319" s="1">
        <v>0.0</v>
      </c>
      <c r="AY319" s="1">
        <v>0.0</v>
      </c>
    </row>
    <row r="320" spans="20:51" ht="15.75">
      <c r="T320" s="1">
        <v>6.2888191E7</v>
      </c>
      <c r="U320" s="1"/>
      <c r="V320" s="1"/>
      <c r="W320" s="1"/>
      <c r="X320" s="1"/>
      <c r="Y320" s="1" t="s">
        <v>1572</v>
      </c>
      <c r="Z320" s="1" t="s">
        <v>1573</v>
      </c>
      <c r="AA320" s="1" t="s">
        <v>1574</v>
      </c>
      <c r="AB320" s="1"/>
      <c r="AC320" s="1"/>
      <c r="AD320" s="1"/>
      <c r="AE320" s="1"/>
      <c r="AG320" s="2" t="str">
        <f>"1638930368"</f>
        <v>1638930368</v>
      </c>
      <c r="AH320" s="2" t="str">
        <f>"9781638930365"</f>
        <v>9781638930365</v>
      </c>
      <c r="AI320" s="1">
        <v>0.0</v>
      </c>
      <c r="AJ320" s="1">
        <v>4.21</v>
      </c>
      <c r="AK320" s="1" t="s">
        <v>1575</v>
      </c>
      <c r="AL320" s="1" t="s">
        <v>41</v>
      </c>
      <c r="AM320" s="1">
        <v>336.0</v>
      </c>
      <c r="AN320" s="1">
        <v>2023.0</v>
      </c>
      <c r="AO320" s="1">
        <v>2023.0</v>
      </c>
      <c r="AQ320" s="3">
        <v>45127.0</v>
      </c>
      <c r="AR320" s="1" t="s">
        <v>388</v>
      </c>
      <c r="AS320" s="1" t="s">
        <v>1576</v>
      </c>
      <c r="AT320" s="1" t="s">
        <v>31</v>
      </c>
      <c r="AX320" s="1">
        <v>0.0</v>
      </c>
      <c r="AY320" s="1">
        <v>0.0</v>
      </c>
    </row>
    <row r="321" spans="20:51" ht="15.75">
      <c r="T321" s="1">
        <v>17343.0</v>
      </c>
      <c r="U321" s="1"/>
      <c r="V321" s="1"/>
      <c r="W321" s="1"/>
      <c r="X321" s="1"/>
      <c r="Y321" s="1" t="s">
        <v>1577</v>
      </c>
      <c r="Z321" s="1" t="s">
        <v>1578</v>
      </c>
      <c r="AA321" s="1" t="s">
        <v>1579</v>
      </c>
      <c r="AB321" s="1"/>
      <c r="AC321" s="1"/>
      <c r="AD321" s="1"/>
      <c r="AE321" s="1"/>
      <c r="AG321" s="2" t="str">
        <f t="shared" si="20" ref="AG321:AH321">""</f>
        <v/>
      </c>
      <c r="AH321" s="2" t="str">
        <f t="shared" si="20"/>
        <v/>
      </c>
      <c r="AI321" s="1">
        <v>0.0</v>
      </c>
      <c r="AJ321" s="1">
        <v>4.18</v>
      </c>
      <c r="AK321" s="1" t="s">
        <v>1580</v>
      </c>
      <c r="AL321" s="1" t="s">
        <v>28</v>
      </c>
      <c r="AM321" s="1">
        <v>313.0</v>
      </c>
      <c r="AN321" s="1">
        <v>2006.0</v>
      </c>
      <c r="AO321" s="1">
        <v>1956.0</v>
      </c>
      <c r="AQ321" s="3">
        <v>45114.0</v>
      </c>
      <c r="AR321" s="1" t="s">
        <v>388</v>
      </c>
      <c r="AS321" s="1" t="s">
        <v>1581</v>
      </c>
      <c r="AT321" s="1" t="s">
        <v>31</v>
      </c>
      <c r="AX321" s="1">
        <v>0.0</v>
      </c>
      <c r="AY321" s="1">
        <v>0.0</v>
      </c>
    </row>
    <row r="322" spans="20:51" ht="15.75">
      <c r="T322" s="1">
        <v>2214574.0</v>
      </c>
      <c r="U322" s="1"/>
      <c r="V322" s="1"/>
      <c r="W322" s="1"/>
      <c r="X322" s="1"/>
      <c r="Y322" s="1" t="s">
        <v>1582</v>
      </c>
      <c r="Z322" s="1" t="s">
        <v>1583</v>
      </c>
      <c r="AA322" s="1" t="s">
        <v>1584</v>
      </c>
      <c r="AB322" s="1"/>
      <c r="AC322" s="1"/>
      <c r="AD322" s="1"/>
      <c r="AE322" s="1"/>
      <c r="AG322" s="2" t="str">
        <f>"0151014248"</f>
        <v>0151014248</v>
      </c>
      <c r="AH322" s="2" t="str">
        <f>"9780151014248"</f>
        <v>9780151014248</v>
      </c>
      <c r="AI322" s="1">
        <v>0.0</v>
      </c>
      <c r="AJ322" s="1">
        <v>3.84</v>
      </c>
      <c r="AK322" s="1" t="s">
        <v>901</v>
      </c>
      <c r="AL322" s="1" t="s">
        <v>41</v>
      </c>
      <c r="AM322" s="1">
        <v>279.0</v>
      </c>
      <c r="AN322" s="1">
        <v>2008.0</v>
      </c>
      <c r="AO322" s="1">
        <v>2008.0</v>
      </c>
      <c r="AQ322" s="3">
        <v>45112.0</v>
      </c>
      <c r="AR322" s="1" t="s">
        <v>388</v>
      </c>
      <c r="AS322" s="1" t="s">
        <v>1585</v>
      </c>
      <c r="AT322" s="1" t="s">
        <v>31</v>
      </c>
      <c r="AX322" s="1">
        <v>0.0</v>
      </c>
      <c r="AY322" s="1">
        <v>0.0</v>
      </c>
    </row>
    <row r="323" spans="20:51" ht="15.75">
      <c r="T323" s="1">
        <v>4449027.0</v>
      </c>
      <c r="U323" s="1"/>
      <c r="V323" s="1"/>
      <c r="W323" s="1"/>
      <c r="X323" s="1"/>
      <c r="Y323" s="1" t="s">
        <v>1586</v>
      </c>
      <c r="Z323" s="1" t="s">
        <v>1587</v>
      </c>
      <c r="AA323" s="1" t="s">
        <v>1588</v>
      </c>
      <c r="AB323" s="1"/>
      <c r="AC323" s="1"/>
      <c r="AD323" s="1"/>
      <c r="AE323" s="1"/>
      <c r="AG323" s="2" t="str">
        <f>"0571243258"</f>
        <v>0571243258</v>
      </c>
      <c r="AH323" s="2" t="str">
        <f>"9780571243259"</f>
        <v>9780571243259</v>
      </c>
      <c r="AI323" s="1">
        <v>0.0</v>
      </c>
      <c r="AJ323" s="1">
        <v>3.08</v>
      </c>
      <c r="AK323" s="1" t="s">
        <v>1589</v>
      </c>
      <c r="AL323" s="1" t="s">
        <v>28</v>
      </c>
      <c r="AM323" s="1">
        <v>284.0</v>
      </c>
      <c r="AN323" s="1">
        <v>2008.0</v>
      </c>
      <c r="AO323" s="1">
        <v>1968.0</v>
      </c>
      <c r="AQ323" s="3">
        <v>45111.0</v>
      </c>
      <c r="AR323" s="1" t="s">
        <v>1590</v>
      </c>
      <c r="AS323" s="1" t="s">
        <v>1591</v>
      </c>
      <c r="AT323" s="1" t="s">
        <v>31</v>
      </c>
      <c r="AX323" s="1">
        <v>0.0</v>
      </c>
      <c r="AY323" s="1">
        <v>0.0</v>
      </c>
    </row>
    <row r="324" spans="20:51" ht="15.75">
      <c r="T324" s="1">
        <v>1565490.0</v>
      </c>
      <c r="U324" s="1"/>
      <c r="V324" s="1"/>
      <c r="W324" s="1"/>
      <c r="X324" s="1"/>
      <c r="Y324" s="1" t="s">
        <v>1592</v>
      </c>
      <c r="Z324" s="1" t="s">
        <v>1593</v>
      </c>
      <c r="AA324" s="1" t="s">
        <v>1594</v>
      </c>
      <c r="AB324" s="1"/>
      <c r="AC324" s="1"/>
      <c r="AD324" s="1"/>
      <c r="AE324" s="1"/>
      <c r="AG324" s="2" t="str">
        <f>"0349130221"</f>
        <v>0349130221</v>
      </c>
      <c r="AH324" s="2" t="str">
        <f>"9780349130224"</f>
        <v>9780349130224</v>
      </c>
      <c r="AI324" s="1">
        <v>0.0</v>
      </c>
      <c r="AJ324" s="1">
        <v>3.66</v>
      </c>
      <c r="AK324" s="1" t="s">
        <v>1595</v>
      </c>
      <c r="AL324" s="1" t="s">
        <v>28</v>
      </c>
      <c r="AM324" s="1">
        <v>240.0</v>
      </c>
      <c r="AN324" s="1">
        <v>1991.0</v>
      </c>
      <c r="AO324" s="1">
        <v>1969.0</v>
      </c>
      <c r="AQ324" s="3">
        <v>45111.0</v>
      </c>
      <c r="AR324" s="1" t="s">
        <v>1590</v>
      </c>
      <c r="AS324" s="1" t="s">
        <v>1596</v>
      </c>
      <c r="AT324" s="1" t="s">
        <v>31</v>
      </c>
      <c r="AX324" s="1">
        <v>0.0</v>
      </c>
      <c r="AY324" s="1">
        <v>0.0</v>
      </c>
    </row>
    <row r="325" spans="20:51" ht="15.75">
      <c r="T325" s="1">
        <v>1.3507212E7</v>
      </c>
      <c r="U325" s="1"/>
      <c r="V325" s="1"/>
      <c r="W325" s="1"/>
      <c r="X325" s="1"/>
      <c r="Y325" s="1" t="s">
        <v>1597</v>
      </c>
      <c r="Z325" s="1" t="s">
        <v>1598</v>
      </c>
      <c r="AA325" s="1" t="s">
        <v>1599</v>
      </c>
      <c r="AB325" s="1"/>
      <c r="AC325" s="1"/>
      <c r="AD325" s="1"/>
      <c r="AE325" s="1"/>
      <c r="AG325" s="2" t="str">
        <f t="shared" si="21" ref="AG325:AH325">""</f>
        <v/>
      </c>
      <c r="AH325" s="2" t="str">
        <f t="shared" si="21"/>
        <v/>
      </c>
      <c r="AI325" s="1">
        <v>0.0</v>
      </c>
      <c r="AJ325" s="1">
        <v>4.28</v>
      </c>
      <c r="AK325" s="1" t="s">
        <v>1600</v>
      </c>
      <c r="AL325" s="1" t="s">
        <v>41</v>
      </c>
      <c r="AM325" s="1">
        <v>412.0</v>
      </c>
      <c r="AN325" s="1">
        <v>2012.0</v>
      </c>
      <c r="AO325" s="1">
        <v>2012.0</v>
      </c>
      <c r="AQ325" s="3">
        <v>45111.0</v>
      </c>
      <c r="AR325" s="1" t="s">
        <v>1590</v>
      </c>
      <c r="AS325" s="1" t="s">
        <v>1601</v>
      </c>
      <c r="AT325" s="1" t="s">
        <v>31</v>
      </c>
      <c r="AX325" s="1">
        <v>0.0</v>
      </c>
      <c r="AY325" s="1">
        <v>0.0</v>
      </c>
    </row>
    <row r="326" spans="20:51" ht="15.75">
      <c r="T326" s="1">
        <v>6101138.0</v>
      </c>
      <c r="U326" s="1"/>
      <c r="V326" s="1"/>
      <c r="W326" s="1"/>
      <c r="X326" s="1"/>
      <c r="Y326" s="1" t="s">
        <v>1602</v>
      </c>
      <c r="Z326" s="1" t="s">
        <v>1598</v>
      </c>
      <c r="AA326" s="1" t="s">
        <v>1599</v>
      </c>
      <c r="AB326" s="1"/>
      <c r="AC326" s="1"/>
      <c r="AD326" s="1"/>
      <c r="AE326" s="1"/>
      <c r="AG326" s="2" t="str">
        <f>"0007230184"</f>
        <v>0007230184</v>
      </c>
      <c r="AH326" s="2" t="str">
        <f>""</f>
        <v/>
      </c>
      <c r="AI326" s="1">
        <v>0.0</v>
      </c>
      <c r="AJ326" s="1">
        <v>3.9</v>
      </c>
      <c r="AK326" s="1" t="s">
        <v>1603</v>
      </c>
      <c r="AL326" s="1" t="s">
        <v>28</v>
      </c>
      <c r="AM326" s="1">
        <v>653.0</v>
      </c>
      <c r="AN326" s="1">
        <v>2010.0</v>
      </c>
      <c r="AO326" s="1">
        <v>2009.0</v>
      </c>
      <c r="AQ326" s="3">
        <v>45111.0</v>
      </c>
      <c r="AR326" s="1" t="s">
        <v>1590</v>
      </c>
      <c r="AS326" s="1" t="s">
        <v>1604</v>
      </c>
      <c r="AT326" s="1" t="s">
        <v>31</v>
      </c>
      <c r="AX326" s="1">
        <v>0.0</v>
      </c>
      <c r="AY326" s="1">
        <v>0.0</v>
      </c>
    </row>
    <row r="327" spans="20:51" ht="15.75">
      <c r="T327" s="1">
        <v>9903.0</v>
      </c>
      <c r="U327" s="1"/>
      <c r="V327" s="1"/>
      <c r="W327" s="1"/>
      <c r="X327" s="1"/>
      <c r="Y327" s="1" t="s">
        <v>1605</v>
      </c>
      <c r="Z327" s="1" t="s">
        <v>1093</v>
      </c>
      <c r="AA327" s="1" t="s">
        <v>1094</v>
      </c>
      <c r="AB327" s="1"/>
      <c r="AC327" s="1"/>
      <c r="AD327" s="1"/>
      <c r="AE327" s="1"/>
      <c r="AG327" s="2" t="str">
        <f>"0099440830"</f>
        <v>0099440830</v>
      </c>
      <c r="AH327" s="2" t="str">
        <f>"9780099440833"</f>
        <v>9780099440833</v>
      </c>
      <c r="AI327" s="1">
        <v>0.0</v>
      </c>
      <c r="AJ327" s="1">
        <v>3.96</v>
      </c>
      <c r="AK327" s="1" t="s">
        <v>988</v>
      </c>
      <c r="AL327" s="1" t="s">
        <v>28</v>
      </c>
      <c r="AM327" s="1">
        <v>209.0</v>
      </c>
      <c r="AN327" s="1">
        <v>2003.0</v>
      </c>
      <c r="AO327" s="1">
        <v>1977.0</v>
      </c>
      <c r="AQ327" s="3">
        <v>45105.0</v>
      </c>
      <c r="AR327" s="1" t="s">
        <v>388</v>
      </c>
      <c r="AS327" s="1" t="s">
        <v>1606</v>
      </c>
      <c r="AT327" s="1" t="s">
        <v>31</v>
      </c>
      <c r="AX327" s="1">
        <v>0.0</v>
      </c>
      <c r="AY327" s="1">
        <v>0.0</v>
      </c>
    </row>
    <row r="328" spans="20:51" ht="15.75">
      <c r="T328" s="1">
        <v>6.114983E7</v>
      </c>
      <c r="U328" s="1"/>
      <c r="V328" s="1"/>
      <c r="W328" s="1"/>
      <c r="X328" s="1"/>
      <c r="Y328" s="1" t="s">
        <v>1607</v>
      </c>
      <c r="Z328" s="1" t="s">
        <v>1608</v>
      </c>
      <c r="AA328" s="1" t="s">
        <v>1609</v>
      </c>
      <c r="AB328" s="1"/>
      <c r="AC328" s="1"/>
      <c r="AD328" s="1"/>
      <c r="AE328" s="1"/>
      <c r="AF328" s="1" t="s">
        <v>1610</v>
      </c>
      <c r="AG328" s="2" t="str">
        <f>""</f>
        <v/>
      </c>
      <c r="AH328" s="2" t="str">
        <f>"9781681376745"</f>
        <v>9781681376745</v>
      </c>
      <c r="AI328" s="1">
        <v>0.0</v>
      </c>
      <c r="AJ328" s="1">
        <v>3.79</v>
      </c>
      <c r="AK328" s="1" t="s">
        <v>77</v>
      </c>
      <c r="AL328" s="1" t="s">
        <v>28</v>
      </c>
      <c r="AM328" s="1">
        <v>200.0</v>
      </c>
      <c r="AN328" s="1">
        <v>2023.0</v>
      </c>
      <c r="AO328" s="1">
        <v>1963.0</v>
      </c>
      <c r="AQ328" s="3">
        <v>45102.0</v>
      </c>
      <c r="AR328" s="1" t="s">
        <v>388</v>
      </c>
      <c r="AS328" s="1" t="s">
        <v>1611</v>
      </c>
      <c r="AT328" s="1" t="s">
        <v>31</v>
      </c>
      <c r="AX328" s="1">
        <v>0.0</v>
      </c>
      <c r="AY328" s="1">
        <v>0.0</v>
      </c>
    </row>
    <row r="329" spans="20:51" ht="15.75">
      <c r="T329" s="1">
        <v>827327.0</v>
      </c>
      <c r="U329" s="1"/>
      <c r="V329" s="1"/>
      <c r="W329" s="1"/>
      <c r="X329" s="1"/>
      <c r="Y329" s="1" t="s">
        <v>1612</v>
      </c>
      <c r="Z329" s="1" t="s">
        <v>1613</v>
      </c>
      <c r="AA329" s="1" t="s">
        <v>1614</v>
      </c>
      <c r="AB329" s="1"/>
      <c r="AC329" s="1"/>
      <c r="AD329" s="1"/>
      <c r="AE329" s="1"/>
      <c r="AF329" s="1" t="s">
        <v>1615</v>
      </c>
      <c r="AG329" s="2" t="str">
        <f>"1590170024"</f>
        <v>1590170024</v>
      </c>
      <c r="AH329" s="2" t="str">
        <f>"9781590170021"</f>
        <v>9781590170021</v>
      </c>
      <c r="AI329" s="1">
        <v>0.0</v>
      </c>
      <c r="AJ329" s="1">
        <v>3.99</v>
      </c>
      <c r="AK329" s="1" t="s">
        <v>77</v>
      </c>
      <c r="AL329" s="1" t="s">
        <v>28</v>
      </c>
      <c r="AM329" s="1">
        <v>643.0</v>
      </c>
      <c r="AN329" s="1">
        <v>2002.0</v>
      </c>
      <c r="AO329" s="1">
        <v>1961.0</v>
      </c>
      <c r="AQ329" s="3">
        <v>45102.0</v>
      </c>
      <c r="AR329" s="1" t="s">
        <v>388</v>
      </c>
      <c r="AS329" s="1" t="s">
        <v>1616</v>
      </c>
      <c r="AT329" s="1" t="s">
        <v>31</v>
      </c>
      <c r="AX329" s="1">
        <v>0.0</v>
      </c>
      <c r="AY329" s="1">
        <v>0.0</v>
      </c>
    </row>
    <row r="330" spans="20:51" ht="15.75">
      <c r="T330" s="1">
        <v>2.9099707E7</v>
      </c>
      <c r="U330" s="1"/>
      <c r="V330" s="1"/>
      <c r="W330" s="1"/>
      <c r="X330" s="1"/>
      <c r="Y330" s="1" t="s">
        <v>1617</v>
      </c>
      <c r="Z330" s="1" t="s">
        <v>1618</v>
      </c>
      <c r="AA330" s="1" t="s">
        <v>1619</v>
      </c>
      <c r="AB330" s="1"/>
      <c r="AC330" s="1"/>
      <c r="AD330" s="1"/>
      <c r="AE330" s="1"/>
      <c r="AF330" s="1" t="s">
        <v>1620</v>
      </c>
      <c r="AG330" s="2" t="str">
        <f>"8416542120"</f>
        <v>8416542120</v>
      </c>
      <c r="AH330" s="2" t="str">
        <f>"9788416542123"</f>
        <v>9788416542123</v>
      </c>
      <c r="AI330" s="1">
        <v>0.0</v>
      </c>
      <c r="AJ330" s="1">
        <v>3.47</v>
      </c>
      <c r="AK330" s="1" t="s">
        <v>1621</v>
      </c>
      <c r="AL330" s="1" t="s">
        <v>28</v>
      </c>
      <c r="AM330" s="1">
        <v>432.0</v>
      </c>
      <c r="AN330" s="1">
        <v>2016.0</v>
      </c>
      <c r="AO330" s="1">
        <v>1969.0</v>
      </c>
      <c r="AQ330" s="3">
        <v>45108.0</v>
      </c>
      <c r="AR330" s="1" t="s">
        <v>388</v>
      </c>
      <c r="AS330" s="1" t="s">
        <v>1622</v>
      </c>
      <c r="AT330" s="1" t="s">
        <v>31</v>
      </c>
      <c r="AX330" s="1">
        <v>0.0</v>
      </c>
      <c r="AY330" s="1">
        <v>0.0</v>
      </c>
    </row>
    <row r="331" spans="20:51" ht="15.75">
      <c r="T331" s="1">
        <v>41219.0</v>
      </c>
      <c r="U331" s="1"/>
      <c r="V331" s="1"/>
      <c r="W331" s="1"/>
      <c r="X331" s="1"/>
      <c r="Y331" s="1" t="s">
        <v>1623</v>
      </c>
      <c r="Z331" s="1" t="s">
        <v>1624</v>
      </c>
      <c r="AA331" s="1" t="s">
        <v>1625</v>
      </c>
      <c r="AB331" s="1"/>
      <c r="AC331" s="1"/>
      <c r="AD331" s="1"/>
      <c r="AE331" s="1"/>
      <c r="AG331" s="2" t="str">
        <f>"0679735909"</f>
        <v>0679735909</v>
      </c>
      <c r="AH331" s="2" t="str">
        <f>"9780679735908"</f>
        <v>9780679735908</v>
      </c>
      <c r="AI331" s="1">
        <v>0.0</v>
      </c>
      <c r="AJ331" s="1">
        <v>3.89</v>
      </c>
      <c r="AK331" s="1" t="s">
        <v>83</v>
      </c>
      <c r="AL331" s="1" t="s">
        <v>28</v>
      </c>
      <c r="AM331" s="1">
        <v>555.0</v>
      </c>
      <c r="AN331" s="1">
        <v>1991.0</v>
      </c>
      <c r="AO331" s="1">
        <v>1990.0</v>
      </c>
      <c r="AQ331" s="3">
        <v>45109.0</v>
      </c>
      <c r="AR331" s="1" t="s">
        <v>1590</v>
      </c>
      <c r="AS331" s="1" t="s">
        <v>1626</v>
      </c>
      <c r="AT331" s="1" t="s">
        <v>31</v>
      </c>
      <c r="AX331" s="1">
        <v>0.0</v>
      </c>
      <c r="AY331" s="1">
        <v>0.0</v>
      </c>
    </row>
    <row r="332" spans="20:51" ht="15.75">
      <c r="T332" s="1">
        <v>6.0433831E7</v>
      </c>
      <c r="U332" s="1"/>
      <c r="V332" s="1"/>
      <c r="W332" s="1"/>
      <c r="X332" s="1"/>
      <c r="Y332" s="1" t="s">
        <v>1627</v>
      </c>
      <c r="Z332" s="1" t="s">
        <v>1628</v>
      </c>
      <c r="AA332" s="1" t="s">
        <v>1629</v>
      </c>
      <c r="AB332" s="1"/>
      <c r="AC332" s="1"/>
      <c r="AD332" s="1"/>
      <c r="AE332" s="1"/>
      <c r="AG332" s="2" t="str">
        <f>"1681376199"</f>
        <v>1681376199</v>
      </c>
      <c r="AH332" s="2" t="str">
        <f>"9781681376196"</f>
        <v>9781681376196</v>
      </c>
      <c r="AI332" s="1">
        <v>0.0</v>
      </c>
      <c r="AJ332" s="1">
        <v>3.69</v>
      </c>
      <c r="AK332" s="1" t="s">
        <v>77</v>
      </c>
      <c r="AL332" s="1" t="s">
        <v>28</v>
      </c>
      <c r="AM332" s="1">
        <v>288.0</v>
      </c>
      <c r="AN332" s="1">
        <v>2022.0</v>
      </c>
      <c r="AO332" s="1">
        <v>1922.0</v>
      </c>
      <c r="AQ332" s="3">
        <v>45102.0</v>
      </c>
      <c r="AR332" s="1" t="s">
        <v>388</v>
      </c>
      <c r="AS332" s="1" t="s">
        <v>1630</v>
      </c>
      <c r="AT332" s="1" t="s">
        <v>31</v>
      </c>
      <c r="AX332" s="1">
        <v>0.0</v>
      </c>
      <c r="AY332" s="1">
        <v>0.0</v>
      </c>
    </row>
    <row r="333" spans="20:51" ht="15.75">
      <c r="T333" s="1">
        <v>2.478393E7</v>
      </c>
      <c r="U333" s="1"/>
      <c r="V333" s="1"/>
      <c r="W333" s="1"/>
      <c r="X333" s="1"/>
      <c r="Y333" s="1" t="s">
        <v>1631</v>
      </c>
      <c r="Z333" s="1" t="s">
        <v>1632</v>
      </c>
      <c r="AA333" s="1" t="s">
        <v>1633</v>
      </c>
      <c r="AB333" s="1"/>
      <c r="AC333" s="1"/>
      <c r="AD333" s="1"/>
      <c r="AE333" s="1"/>
      <c r="AF333" s="1" t="s">
        <v>1634</v>
      </c>
      <c r="AG333" s="2" t="str">
        <f>"1590179064"</f>
        <v>1590179064</v>
      </c>
      <c r="AH333" s="2" t="str">
        <f>"9781590179062"</f>
        <v>9781590179062</v>
      </c>
      <c r="AI333" s="1">
        <v>0.0</v>
      </c>
      <c r="AJ333" s="1">
        <v>3.85</v>
      </c>
      <c r="AK333" s="1" t="s">
        <v>77</v>
      </c>
      <c r="AL333" s="1" t="s">
        <v>28</v>
      </c>
      <c r="AM333" s="1">
        <v>464.0</v>
      </c>
      <c r="AN333" s="1">
        <v>2015.0</v>
      </c>
      <c r="AO333" s="1">
        <v>1964.0</v>
      </c>
      <c r="AQ333" s="3">
        <v>45102.0</v>
      </c>
      <c r="AR333" s="1" t="s">
        <v>388</v>
      </c>
      <c r="AS333" s="1" t="s">
        <v>1635</v>
      </c>
      <c r="AT333" s="1" t="s">
        <v>31</v>
      </c>
      <c r="AX333" s="1">
        <v>0.0</v>
      </c>
      <c r="AY333" s="1">
        <v>0.0</v>
      </c>
    </row>
    <row r="334" spans="20:51" ht="15.75">
      <c r="T334" s="1">
        <v>311642.0</v>
      </c>
      <c r="U334" s="1"/>
      <c r="V334" s="1"/>
      <c r="W334" s="1"/>
      <c r="X334" s="1"/>
      <c r="Y334" s="1" t="s">
        <v>1636</v>
      </c>
      <c r="Z334" s="1" t="s">
        <v>1637</v>
      </c>
      <c r="AA334" s="1" t="s">
        <v>1638</v>
      </c>
      <c r="AB334" s="1"/>
      <c r="AC334" s="1"/>
      <c r="AD334" s="1"/>
      <c r="AE334" s="1"/>
      <c r="AF334" s="1" t="s">
        <v>1639</v>
      </c>
      <c r="AG334" s="2" t="str">
        <f>"1564780953"</f>
        <v>1564780953</v>
      </c>
      <c r="AH334" s="2" t="str">
        <f>"9781564780959"</f>
        <v>9781564780959</v>
      </c>
      <c r="AI334" s="1">
        <v>0.0</v>
      </c>
      <c r="AJ334" s="1">
        <v>4.33</v>
      </c>
      <c r="AK334" s="1" t="s">
        <v>27</v>
      </c>
      <c r="AL334" s="1" t="s">
        <v>28</v>
      </c>
      <c r="AM334" s="1">
        <v>557.0</v>
      </c>
      <c r="AN334" s="1">
        <v>1996.0</v>
      </c>
      <c r="AO334" s="1">
        <v>1977.0</v>
      </c>
      <c r="AQ334" s="3">
        <v>45094.0</v>
      </c>
      <c r="AR334" s="1" t="s">
        <v>388</v>
      </c>
      <c r="AS334" s="1" t="s">
        <v>1640</v>
      </c>
      <c r="AT334" s="1" t="s">
        <v>31</v>
      </c>
      <c r="AX334" s="1">
        <v>0.0</v>
      </c>
      <c r="AY334" s="1">
        <v>0.0</v>
      </c>
    </row>
    <row r="335" spans="20:51" ht="15.75">
      <c r="T335" s="1">
        <v>8.033318E7</v>
      </c>
      <c r="U335" s="1"/>
      <c r="V335" s="1"/>
      <c r="W335" s="1"/>
      <c r="X335" s="1"/>
      <c r="Y335" s="1" t="s">
        <v>1641</v>
      </c>
      <c r="Z335" s="1" t="s">
        <v>1642</v>
      </c>
      <c r="AA335" s="1" t="s">
        <v>1643</v>
      </c>
      <c r="AB335" s="1"/>
      <c r="AC335" s="1"/>
      <c r="AD335" s="1"/>
      <c r="AE335" s="1"/>
      <c r="AG335" s="2" t="str">
        <f>"1628975180"</f>
        <v>1628975180</v>
      </c>
      <c r="AH335" s="2" t="str">
        <f>"9781628975185"</f>
        <v>9781628975185</v>
      </c>
      <c r="AI335" s="1">
        <v>0.0</v>
      </c>
      <c r="AJ335" s="1">
        <v>0.0</v>
      </c>
      <c r="AK335" s="1" t="s">
        <v>27</v>
      </c>
      <c r="AL335" s="1" t="s">
        <v>28</v>
      </c>
      <c r="AM335" s="1">
        <v>350.0</v>
      </c>
      <c r="AN335" s="1">
        <v>2024.0</v>
      </c>
      <c r="AQ335" s="3">
        <v>45101.0</v>
      </c>
      <c r="AR335" s="1" t="s">
        <v>388</v>
      </c>
      <c r="AS335" s="1" t="s">
        <v>1644</v>
      </c>
      <c r="AT335" s="1" t="s">
        <v>31</v>
      </c>
      <c r="AX335" s="1">
        <v>0.0</v>
      </c>
      <c r="AY335" s="1">
        <v>0.0</v>
      </c>
    </row>
    <row r="336" spans="20:51" ht="15.75">
      <c r="T336" s="1">
        <v>1.22286486E8</v>
      </c>
      <c r="U336" s="1"/>
      <c r="V336" s="1"/>
      <c r="W336" s="1"/>
      <c r="X336" s="1"/>
      <c r="Y336" s="1" t="s">
        <v>1645</v>
      </c>
      <c r="Z336" s="1" t="s">
        <v>1646</v>
      </c>
      <c r="AA336" s="1" t="s">
        <v>1647</v>
      </c>
      <c r="AB336" s="1"/>
      <c r="AC336" s="1"/>
      <c r="AD336" s="1"/>
      <c r="AE336" s="1"/>
      <c r="AF336" s="1" t="s">
        <v>1648</v>
      </c>
      <c r="AG336" s="2" t="str">
        <f t="shared" si="22" ref="AG336:AH336">""</f>
        <v/>
      </c>
      <c r="AH336" s="2" t="str">
        <f t="shared" si="22"/>
        <v/>
      </c>
      <c r="AI336" s="1">
        <v>0.0</v>
      </c>
      <c r="AJ336" s="1">
        <v>3.84</v>
      </c>
      <c r="AK336" s="1" t="s">
        <v>77</v>
      </c>
      <c r="AL336" s="1" t="s">
        <v>59</v>
      </c>
      <c r="AM336" s="1">
        <v>247.0</v>
      </c>
      <c r="AN336" s="1">
        <v>2023.0</v>
      </c>
      <c r="AO336" s="1">
        <v>1963.0</v>
      </c>
      <c r="AQ336" s="3">
        <v>45102.0</v>
      </c>
      <c r="AR336" s="1" t="s">
        <v>388</v>
      </c>
      <c r="AS336" s="1" t="s">
        <v>1649</v>
      </c>
      <c r="AT336" s="1" t="s">
        <v>31</v>
      </c>
      <c r="AX336" s="1">
        <v>0.0</v>
      </c>
      <c r="AY336" s="1">
        <v>0.0</v>
      </c>
    </row>
    <row r="337" spans="20:51" ht="15.75">
      <c r="T337" s="1">
        <v>188442.0</v>
      </c>
      <c r="U337" s="1"/>
      <c r="V337" s="1"/>
      <c r="W337" s="1"/>
      <c r="X337" s="1"/>
      <c r="Y337" s="1" t="s">
        <v>1650</v>
      </c>
      <c r="Z337" s="1" t="s">
        <v>1651</v>
      </c>
      <c r="AA337" s="1" t="s">
        <v>1652</v>
      </c>
      <c r="AB337" s="1"/>
      <c r="AC337" s="1"/>
      <c r="AD337" s="1"/>
      <c r="AE337" s="1"/>
      <c r="AF337" s="1" t="s">
        <v>1653</v>
      </c>
      <c r="AG337" s="2" t="str">
        <f>"0940322641"</f>
        <v>0940322641</v>
      </c>
      <c r="AH337" s="2" t="str">
        <f>"9780940322646"</f>
        <v>9780940322646</v>
      </c>
      <c r="AI337" s="1">
        <v>0.0</v>
      </c>
      <c r="AJ337" s="1">
        <v>3.48</v>
      </c>
      <c r="AK337" s="1" t="s">
        <v>77</v>
      </c>
      <c r="AL337" s="1" t="s">
        <v>28</v>
      </c>
      <c r="AM337" s="1">
        <v>304.0</v>
      </c>
      <c r="AN337" s="1">
        <v>2001.0</v>
      </c>
      <c r="AO337" s="1">
        <v>1935.0</v>
      </c>
      <c r="AQ337" s="3">
        <v>45102.0</v>
      </c>
      <c r="AR337" s="1" t="s">
        <v>388</v>
      </c>
      <c r="AS337" s="1" t="s">
        <v>1654</v>
      </c>
      <c r="AT337" s="1" t="s">
        <v>31</v>
      </c>
      <c r="AX337" s="1">
        <v>0.0</v>
      </c>
      <c r="AY337" s="1">
        <v>0.0</v>
      </c>
    </row>
    <row r="338" spans="20:51" ht="15.75">
      <c r="T338" s="1">
        <v>3.4941841E7</v>
      </c>
      <c r="U338" s="1"/>
      <c r="V338" s="1"/>
      <c r="W338" s="1"/>
      <c r="X338" s="1"/>
      <c r="Y338" s="1" t="s">
        <v>1655</v>
      </c>
      <c r="Z338" s="1" t="s">
        <v>1656</v>
      </c>
      <c r="AA338" s="1" t="s">
        <v>1657</v>
      </c>
      <c r="AB338" s="1"/>
      <c r="AC338" s="1"/>
      <c r="AD338" s="1"/>
      <c r="AE338" s="1"/>
      <c r="AF338" s="1" t="s">
        <v>1658</v>
      </c>
      <c r="AG338" s="2" t="str">
        <f>"168137126X"</f>
        <v>168137126X</v>
      </c>
      <c r="AH338" s="2" t="str">
        <f>"9781681371269"</f>
        <v>9781681371269</v>
      </c>
      <c r="AI338" s="1">
        <v>0.0</v>
      </c>
      <c r="AJ338" s="1">
        <v>3.79</v>
      </c>
      <c r="AK338" s="1" t="s">
        <v>77</v>
      </c>
      <c r="AL338" s="1" t="s">
        <v>59</v>
      </c>
      <c r="AM338" s="1">
        <v>272.0</v>
      </c>
      <c r="AN338" s="1">
        <v>2018.0</v>
      </c>
      <c r="AO338" s="1">
        <v>1842.0</v>
      </c>
      <c r="AQ338" s="3">
        <v>45102.0</v>
      </c>
      <c r="AR338" s="1" t="s">
        <v>388</v>
      </c>
      <c r="AS338" s="1" t="s">
        <v>1659</v>
      </c>
      <c r="AT338" s="1" t="s">
        <v>31</v>
      </c>
      <c r="AX338" s="1">
        <v>0.0</v>
      </c>
      <c r="AY338" s="1">
        <v>0.0</v>
      </c>
    </row>
    <row r="339" spans="20:51" ht="15.75">
      <c r="T339" s="1">
        <v>9.1290204E7</v>
      </c>
      <c r="U339" s="1"/>
      <c r="V339" s="1"/>
      <c r="W339" s="1"/>
      <c r="X339" s="1"/>
      <c r="Y339" s="1" t="s">
        <v>1660</v>
      </c>
      <c r="Z339" s="1" t="s">
        <v>1661</v>
      </c>
      <c r="AA339" s="1" t="s">
        <v>1662</v>
      </c>
      <c r="AB339" s="1"/>
      <c r="AC339" s="1"/>
      <c r="AD339" s="1"/>
      <c r="AE339" s="1"/>
      <c r="AG339" s="2" t="str">
        <f>"1913505669"</f>
        <v>1913505669</v>
      </c>
      <c r="AH339" s="2" t="str">
        <f>"9781913505660"</f>
        <v>9781913505660</v>
      </c>
      <c r="AI339" s="1">
        <v>0.0</v>
      </c>
      <c r="AJ339" s="1">
        <v>3.76</v>
      </c>
      <c r="AK339" s="1" t="s">
        <v>1663</v>
      </c>
      <c r="AL339" s="1" t="s">
        <v>41</v>
      </c>
      <c r="AM339" s="1">
        <v>320.0</v>
      </c>
      <c r="AN339" s="1">
        <v>2023.0</v>
      </c>
      <c r="AQ339" s="3">
        <v>45089.0</v>
      </c>
      <c r="AR339" s="1" t="s">
        <v>388</v>
      </c>
      <c r="AS339" s="1" t="s">
        <v>1664</v>
      </c>
      <c r="AT339" s="1" t="s">
        <v>31</v>
      </c>
      <c r="AX339" s="1">
        <v>0.0</v>
      </c>
      <c r="AY339" s="1">
        <v>0.0</v>
      </c>
    </row>
    <row r="340" spans="20:51" ht="15.75">
      <c r="T340" s="1">
        <v>198483.0</v>
      </c>
      <c r="U340" s="1"/>
      <c r="V340" s="1"/>
      <c r="W340" s="1"/>
      <c r="X340" s="1"/>
      <c r="Y340" s="1" t="s">
        <v>1665</v>
      </c>
      <c r="Z340" s="1" t="s">
        <v>1666</v>
      </c>
      <c r="AA340" s="1" t="s">
        <v>1667</v>
      </c>
      <c r="AB340" s="1"/>
      <c r="AC340" s="1"/>
      <c r="AD340" s="1"/>
      <c r="AE340" s="1"/>
      <c r="AG340" s="2" t="str">
        <f>"0140235191"</f>
        <v>0140235191</v>
      </c>
      <c r="AH340" s="2" t="str">
        <f>"9780140235197"</f>
        <v>9780140235197</v>
      </c>
      <c r="AI340" s="1">
        <v>0.0</v>
      </c>
      <c r="AJ340" s="1">
        <v>3.75</v>
      </c>
      <c r="AK340" s="1" t="s">
        <v>460</v>
      </c>
      <c r="AL340" s="1" t="s">
        <v>28</v>
      </c>
      <c r="AM340" s="1">
        <v>221.0</v>
      </c>
      <c r="AN340" s="1">
        <v>1986.0</v>
      </c>
      <c r="AO340" s="1">
        <v>1972.0</v>
      </c>
      <c r="AQ340" s="3">
        <v>45081.0</v>
      </c>
      <c r="AR340" s="1" t="s">
        <v>388</v>
      </c>
      <c r="AS340" s="1" t="s">
        <v>1668</v>
      </c>
      <c r="AT340" s="1" t="s">
        <v>31</v>
      </c>
      <c r="AX340" s="1">
        <v>0.0</v>
      </c>
      <c r="AY340" s="1">
        <v>0.0</v>
      </c>
    </row>
    <row r="341" spans="20:51" ht="15.75">
      <c r="T341" s="1">
        <v>110457.0</v>
      </c>
      <c r="U341" s="1"/>
      <c r="V341" s="1"/>
      <c r="W341" s="1"/>
      <c r="X341" s="1"/>
      <c r="Y341" s="1" t="s">
        <v>1669</v>
      </c>
      <c r="Z341" s="1" t="s">
        <v>995</v>
      </c>
      <c r="AA341" s="1" t="s">
        <v>996</v>
      </c>
      <c r="AB341" s="1"/>
      <c r="AC341" s="1"/>
      <c r="AD341" s="1"/>
      <c r="AE341" s="1"/>
      <c r="AF341" s="1" t="s">
        <v>1670</v>
      </c>
      <c r="AG341" s="2" t="str">
        <f>"0802150268"</f>
        <v>0802150268</v>
      </c>
      <c r="AH341" s="2" t="str">
        <f>"9780802150264"</f>
        <v>9780802150264</v>
      </c>
      <c r="AI341" s="1">
        <v>0.0</v>
      </c>
      <c r="AJ341" s="1">
        <v>3.56</v>
      </c>
      <c r="AK341" s="1" t="s">
        <v>35</v>
      </c>
      <c r="AL341" s="1" t="s">
        <v>28</v>
      </c>
      <c r="AM341" s="1">
        <v>160.0</v>
      </c>
      <c r="AN341" s="1">
        <v>1994.0</v>
      </c>
      <c r="AO341" s="1">
        <v>1928.0</v>
      </c>
      <c r="AQ341" s="3">
        <v>45081.0</v>
      </c>
      <c r="AR341" s="1" t="s">
        <v>388</v>
      </c>
      <c r="AS341" s="1" t="s">
        <v>1671</v>
      </c>
      <c r="AT341" s="1" t="s">
        <v>31</v>
      </c>
      <c r="AX341" s="1">
        <v>0.0</v>
      </c>
      <c r="AY341" s="1">
        <v>0.0</v>
      </c>
    </row>
    <row r="342" spans="20:51" ht="15.75">
      <c r="T342" s="1">
        <v>287490.0</v>
      </c>
      <c r="U342" s="1"/>
      <c r="V342" s="1"/>
      <c r="W342" s="1"/>
      <c r="X342" s="1"/>
      <c r="Y342" s="1" t="s">
        <v>1672</v>
      </c>
      <c r="Z342" s="1" t="s">
        <v>1673</v>
      </c>
      <c r="AA342" s="1" t="s">
        <v>1674</v>
      </c>
      <c r="AB342" s="1"/>
      <c r="AC342" s="1"/>
      <c r="AD342" s="1"/>
      <c r="AE342" s="1"/>
      <c r="AF342" s="1" t="s">
        <v>1675</v>
      </c>
      <c r="AG342" s="2" t="str">
        <f>"094032220X"</f>
        <v>094032220X</v>
      </c>
      <c r="AH342" s="2" t="str">
        <f>"9780940322202"</f>
        <v>9780940322202</v>
      </c>
      <c r="AI342" s="1">
        <v>0.0</v>
      </c>
      <c r="AJ342" s="1">
        <v>4.02</v>
      </c>
      <c r="AK342" s="1" t="s">
        <v>77</v>
      </c>
      <c r="AL342" s="1" t="s">
        <v>28</v>
      </c>
      <c r="AM342" s="1">
        <v>455.0</v>
      </c>
      <c r="AN342" s="1">
        <v>2000.0</v>
      </c>
      <c r="AO342" s="1">
        <v>1903.0</v>
      </c>
      <c r="AQ342" s="3">
        <v>45081.0</v>
      </c>
      <c r="AR342" s="1" t="s">
        <v>1676</v>
      </c>
      <c r="AS342" s="1" t="s">
        <v>1677</v>
      </c>
      <c r="AT342" s="1" t="s">
        <v>31</v>
      </c>
      <c r="AX342" s="1">
        <v>0.0</v>
      </c>
      <c r="AY342" s="1">
        <v>0.0</v>
      </c>
    </row>
    <row r="343" spans="20:51" ht="15.75">
      <c r="T343" s="1">
        <v>1034371.0</v>
      </c>
      <c r="U343" s="1"/>
      <c r="V343" s="1"/>
      <c r="W343" s="1"/>
      <c r="X343" s="1"/>
      <c r="Y343" s="1" t="s">
        <v>1678</v>
      </c>
      <c r="Z343" s="1" t="s">
        <v>1679</v>
      </c>
      <c r="AA343" s="1" t="s">
        <v>1680</v>
      </c>
      <c r="AB343" s="1"/>
      <c r="AC343" s="1"/>
      <c r="AD343" s="1"/>
      <c r="AE343" s="1"/>
      <c r="AG343" s="2" t="str">
        <f>"8433917994"</f>
        <v>8433917994</v>
      </c>
      <c r="AH343" s="2" t="str">
        <f>"9788433917997"</f>
        <v>9788433917997</v>
      </c>
      <c r="AI343" s="1">
        <v>0.0</v>
      </c>
      <c r="AJ343" s="1">
        <v>3.79</v>
      </c>
      <c r="AK343" s="1" t="s">
        <v>1681</v>
      </c>
      <c r="AL343" s="1" t="s">
        <v>28</v>
      </c>
      <c r="AM343" s="1">
        <v>160.0</v>
      </c>
      <c r="AN343" s="1">
        <v>1990.0</v>
      </c>
      <c r="AO343" s="1">
        <v>1972.0</v>
      </c>
      <c r="AQ343" s="3">
        <v>45079.0</v>
      </c>
      <c r="AR343" s="1" t="s">
        <v>388</v>
      </c>
      <c r="AS343" s="1" t="s">
        <v>1682</v>
      </c>
      <c r="AT343" s="1" t="s">
        <v>31</v>
      </c>
      <c r="AX343" s="1">
        <v>0.0</v>
      </c>
      <c r="AY343" s="1">
        <v>0.0</v>
      </c>
    </row>
    <row r="344" spans="20:51" ht="15.75">
      <c r="T344" s="1">
        <v>5.7739876E7</v>
      </c>
      <c r="U344" s="1"/>
      <c r="V344" s="1"/>
      <c r="W344" s="1"/>
      <c r="X344" s="1"/>
      <c r="Y344" s="1" t="s">
        <v>1683</v>
      </c>
      <c r="Z344" s="1" t="s">
        <v>684</v>
      </c>
      <c r="AA344" s="1" t="s">
        <v>685</v>
      </c>
      <c r="AB344" s="1"/>
      <c r="AC344" s="1"/>
      <c r="AD344" s="1"/>
      <c r="AE344" s="1"/>
      <c r="AG344" s="2" t="str">
        <f>"0385547935"</f>
        <v>0385547935</v>
      </c>
      <c r="AH344" s="2" t="str">
        <f>"9780385547932"</f>
        <v>9780385547932</v>
      </c>
      <c r="AI344" s="1">
        <v>0.0</v>
      </c>
      <c r="AJ344" s="1">
        <v>3.78</v>
      </c>
      <c r="AK344" s="1" t="s">
        <v>686</v>
      </c>
      <c r="AL344" s="1" t="s">
        <v>41</v>
      </c>
      <c r="AM344" s="1">
        <v>720.0</v>
      </c>
      <c r="AN344" s="1">
        <v>2022.0</v>
      </c>
      <c r="AO344" s="1">
        <v>2022.0</v>
      </c>
      <c r="AQ344" s="3">
        <v>44814.0</v>
      </c>
      <c r="AR344" s="1" t="s">
        <v>388</v>
      </c>
      <c r="AS344" s="1" t="s">
        <v>1684</v>
      </c>
      <c r="AT344" s="1" t="s">
        <v>31</v>
      </c>
      <c r="AX344" s="1">
        <v>0.0</v>
      </c>
      <c r="AY344" s="1">
        <v>0.0</v>
      </c>
    </row>
    <row r="345" spans="20:51" ht="15.75">
      <c r="T345" s="1">
        <v>88076.0</v>
      </c>
      <c r="U345" s="1"/>
      <c r="V345" s="1"/>
      <c r="W345" s="1"/>
      <c r="X345" s="1"/>
      <c r="Y345" s="1" t="s">
        <v>1685</v>
      </c>
      <c r="Z345" s="1" t="s">
        <v>1686</v>
      </c>
      <c r="AA345" s="1" t="s">
        <v>1687</v>
      </c>
      <c r="AB345" s="1"/>
      <c r="AC345" s="1"/>
      <c r="AD345" s="1"/>
      <c r="AE345" s="1"/>
      <c r="AF345" s="1" t="s">
        <v>1688</v>
      </c>
      <c r="AG345" s="2" t="str">
        <f>"1400040019"</f>
        <v>1400040019</v>
      </c>
      <c r="AH345" s="2" t="str">
        <f>"9781400040018"</f>
        <v>9781400040018</v>
      </c>
      <c r="AI345" s="1">
        <v>0.0</v>
      </c>
      <c r="AJ345" s="1">
        <v>4.42</v>
      </c>
      <c r="AK345" s="1" t="s">
        <v>1689</v>
      </c>
      <c r="AL345" s="1" t="s">
        <v>41</v>
      </c>
      <c r="AM345" s="1">
        <v>1492.0</v>
      </c>
      <c r="AN345" s="1">
        <v>2005.0</v>
      </c>
      <c r="AO345" s="1">
        <v>1943.0</v>
      </c>
      <c r="AQ345" s="3">
        <v>44932.0</v>
      </c>
      <c r="AR345" s="1" t="s">
        <v>388</v>
      </c>
      <c r="AS345" s="1" t="s">
        <v>1690</v>
      </c>
      <c r="AT345" s="1" t="s">
        <v>31</v>
      </c>
      <c r="AX345" s="1">
        <v>0.0</v>
      </c>
      <c r="AY345" s="1">
        <v>0.0</v>
      </c>
    </row>
    <row r="346" spans="20:51" ht="15.75">
      <c r="T346" s="1">
        <v>5.9202649E7</v>
      </c>
      <c r="U346" s="1"/>
      <c r="V346" s="1"/>
      <c r="W346" s="1"/>
      <c r="X346" s="1"/>
      <c r="Y346" s="1" t="s">
        <v>1691</v>
      </c>
      <c r="Z346" s="1" t="s">
        <v>1692</v>
      </c>
      <c r="AA346" s="1" t="s">
        <v>1693</v>
      </c>
      <c r="AB346" s="1"/>
      <c r="AC346" s="1"/>
      <c r="AD346" s="1"/>
      <c r="AE346" s="1"/>
      <c r="AF346" s="1" t="s">
        <v>1694</v>
      </c>
      <c r="AG346" s="2" t="str">
        <f>"1628974184"</f>
        <v>1628974184</v>
      </c>
      <c r="AH346" s="2" t="str">
        <f>"9781628974188"</f>
        <v>9781628974188</v>
      </c>
      <c r="AI346" s="1">
        <v>0.0</v>
      </c>
      <c r="AJ346" s="1">
        <v>3.45</v>
      </c>
      <c r="AK346" s="1" t="s">
        <v>27</v>
      </c>
      <c r="AL346" s="1" t="s">
        <v>65</v>
      </c>
      <c r="AM346" s="1">
        <v>900.0</v>
      </c>
      <c r="AN346" s="1">
        <v>2022.0</v>
      </c>
      <c r="AQ346" s="3">
        <v>44869.0</v>
      </c>
      <c r="AR346" s="1" t="s">
        <v>388</v>
      </c>
      <c r="AS346" s="1" t="s">
        <v>1695</v>
      </c>
      <c r="AT346" s="1" t="s">
        <v>31</v>
      </c>
      <c r="AX346" s="1">
        <v>0.0</v>
      </c>
      <c r="AY346" s="1">
        <v>0.0</v>
      </c>
    </row>
    <row r="347" spans="20:51" ht="15.75">
      <c r="T347" s="1">
        <v>98048.0</v>
      </c>
      <c r="U347" s="1"/>
      <c r="V347" s="1"/>
      <c r="W347" s="1"/>
      <c r="X347" s="1"/>
      <c r="Y347" s="1" t="s">
        <v>1696</v>
      </c>
      <c r="Z347" s="1" t="s">
        <v>1697</v>
      </c>
      <c r="AA347" s="1" t="s">
        <v>1698</v>
      </c>
      <c r="AB347" s="1"/>
      <c r="AC347" s="1"/>
      <c r="AD347" s="1"/>
      <c r="AE347" s="1"/>
      <c r="AG347" s="2" t="str">
        <f>"0142001821"</f>
        <v>0142001821</v>
      </c>
      <c r="AH347" s="2" t="str">
        <f>"9780142001820"</f>
        <v>9780142001820</v>
      </c>
      <c r="AI347" s="1">
        <v>0.0</v>
      </c>
      <c r="AJ347" s="1">
        <v>3.9</v>
      </c>
      <c r="AK347" s="1" t="s">
        <v>460</v>
      </c>
      <c r="AL347" s="1" t="s">
        <v>28</v>
      </c>
      <c r="AM347" s="1">
        <v>315.0</v>
      </c>
      <c r="AN347" s="1">
        <v>2003.0</v>
      </c>
      <c r="AO347" s="1">
        <v>2001.0</v>
      </c>
      <c r="AQ347" s="3">
        <v>44804.0</v>
      </c>
      <c r="AR347" s="1" t="s">
        <v>388</v>
      </c>
      <c r="AS347" s="1" t="s">
        <v>1699</v>
      </c>
      <c r="AT347" s="1" t="s">
        <v>31</v>
      </c>
      <c r="AX347" s="1">
        <v>0.0</v>
      </c>
      <c r="AY347" s="1">
        <v>0.0</v>
      </c>
    </row>
    <row r="348" spans="20:51" ht="15.75">
      <c r="T348" s="1">
        <v>119512.0</v>
      </c>
      <c r="U348" s="1"/>
      <c r="V348" s="1"/>
      <c r="W348" s="1"/>
      <c r="X348" s="1"/>
      <c r="Y348" s="1" t="s">
        <v>1700</v>
      </c>
      <c r="Z348" s="1" t="s">
        <v>1701</v>
      </c>
      <c r="AA348" s="1" t="s">
        <v>1702</v>
      </c>
      <c r="AB348" s="1"/>
      <c r="AC348" s="1"/>
      <c r="AD348" s="1"/>
      <c r="AE348" s="1"/>
      <c r="AF348" s="1" t="s">
        <v>1703</v>
      </c>
      <c r="AG348" s="2" t="str">
        <f>"0811215040"</f>
        <v>0811215040</v>
      </c>
      <c r="AH348" s="2" t="str">
        <f>"9780811215046"</f>
        <v>9780811215046</v>
      </c>
      <c r="AI348" s="1">
        <v>0.0</v>
      </c>
      <c r="AJ348" s="1">
        <v>4.16</v>
      </c>
      <c r="AK348" s="1" t="s">
        <v>95</v>
      </c>
      <c r="AL348" s="1" t="s">
        <v>28</v>
      </c>
      <c r="AM348" s="1">
        <v>314.0</v>
      </c>
      <c r="AN348" s="1">
        <v>2002.0</v>
      </c>
      <c r="AO348" s="1">
        <v>1989.0</v>
      </c>
      <c r="AQ348" s="3">
        <v>45058.0</v>
      </c>
      <c r="AR348" s="1" t="s">
        <v>388</v>
      </c>
      <c r="AS348" s="1" t="s">
        <v>1704</v>
      </c>
      <c r="AT348" s="1" t="s">
        <v>31</v>
      </c>
      <c r="AX348" s="1">
        <v>0.0</v>
      </c>
      <c r="AY348" s="1">
        <v>0.0</v>
      </c>
    </row>
    <row r="349" spans="20:51" ht="15.75">
      <c r="T349" s="1">
        <v>4.8595115E7</v>
      </c>
      <c r="U349" s="1"/>
      <c r="V349" s="1"/>
      <c r="W349" s="1"/>
      <c r="X349" s="1"/>
      <c r="Y349" s="1" t="s">
        <v>1705</v>
      </c>
      <c r="Z349" s="1" t="s">
        <v>1706</v>
      </c>
      <c r="AA349" s="1" t="s">
        <v>1707</v>
      </c>
      <c r="AB349" s="1"/>
      <c r="AC349" s="1"/>
      <c r="AD349" s="1"/>
      <c r="AE349" s="1"/>
      <c r="AG349" s="2" t="str">
        <f>"161219849X"</f>
        <v>161219849X</v>
      </c>
      <c r="AH349" s="2" t="str">
        <f>""</f>
        <v/>
      </c>
      <c r="AI349" s="1">
        <v>0.0</v>
      </c>
      <c r="AJ349" s="1">
        <v>4.16</v>
      </c>
      <c r="AK349" s="1" t="s">
        <v>1708</v>
      </c>
      <c r="AL349" s="1" t="s">
        <v>59</v>
      </c>
      <c r="AM349" s="1">
        <v>252.0</v>
      </c>
      <c r="AN349" s="1">
        <v>2020.0</v>
      </c>
      <c r="AO349" s="1">
        <v>2019.0</v>
      </c>
      <c r="AQ349" s="3">
        <v>44340.0</v>
      </c>
      <c r="AR349" s="1" t="s">
        <v>388</v>
      </c>
      <c r="AS349" s="1" t="s">
        <v>1709</v>
      </c>
      <c r="AT349" s="1" t="s">
        <v>31</v>
      </c>
      <c r="AX349" s="1">
        <v>0.0</v>
      </c>
      <c r="AY349" s="1">
        <v>0.0</v>
      </c>
    </row>
    <row r="350" spans="20:51" ht="15.75">
      <c r="T350" s="1">
        <v>1.4059541E7</v>
      </c>
      <c r="U350" s="1"/>
      <c r="V350" s="1"/>
      <c r="W350" s="1"/>
      <c r="X350" s="1"/>
      <c r="Y350" s="1" t="s">
        <v>1710</v>
      </c>
      <c r="Z350" s="1" t="s">
        <v>1711</v>
      </c>
      <c r="AA350" s="1" t="s">
        <v>1712</v>
      </c>
      <c r="AB350" s="1"/>
      <c r="AC350" s="1"/>
      <c r="AD350" s="1"/>
      <c r="AE350" s="1"/>
      <c r="AG350" s="2" t="str">
        <f>"014119894X"</f>
        <v>014119894X</v>
      </c>
      <c r="AH350" s="2" t="str">
        <f>"9780141198941"</f>
        <v>9780141198941</v>
      </c>
      <c r="AI350" s="1">
        <v>0.0</v>
      </c>
      <c r="AJ350" s="1">
        <v>3.67</v>
      </c>
      <c r="AK350" s="1" t="s">
        <v>460</v>
      </c>
      <c r="AL350" s="1" t="s">
        <v>28</v>
      </c>
      <c r="AM350" s="1">
        <v>238.0</v>
      </c>
      <c r="AN350" s="1">
        <v>2012.0</v>
      </c>
      <c r="AO350" s="1">
        <v>1824.0</v>
      </c>
      <c r="AQ350" s="3">
        <v>44265.0</v>
      </c>
      <c r="AR350" s="1" t="s">
        <v>388</v>
      </c>
      <c r="AS350" s="1" t="s">
        <v>1713</v>
      </c>
      <c r="AT350" s="1" t="s">
        <v>31</v>
      </c>
      <c r="AX350" s="1">
        <v>0.0</v>
      </c>
      <c r="AY350" s="1">
        <v>0.0</v>
      </c>
    </row>
    <row r="351" spans="20:51" ht="15.75">
      <c r="T351" s="1">
        <v>16286.0</v>
      </c>
      <c r="U351" s="1"/>
      <c r="V351" s="1"/>
      <c r="W351" s="1"/>
      <c r="X351" s="1"/>
      <c r="Y351" s="1" t="s">
        <v>1714</v>
      </c>
      <c r="Z351" s="1" t="s">
        <v>1715</v>
      </c>
      <c r="AA351" s="1" t="s">
        <v>1716</v>
      </c>
      <c r="AB351" s="1"/>
      <c r="AC351" s="1"/>
      <c r="AD351" s="1"/>
      <c r="AE351" s="1"/>
      <c r="AG351" s="2" t="str">
        <f>"0316296198"</f>
        <v>0316296198</v>
      </c>
      <c r="AH351" s="2" t="str">
        <f>"9780316296199"</f>
        <v>9780316296199</v>
      </c>
      <c r="AI351" s="1">
        <v>0.0</v>
      </c>
      <c r="AJ351" s="1">
        <v>4.05</v>
      </c>
      <c r="AK351" s="1" t="s">
        <v>1717</v>
      </c>
      <c r="AL351" s="1" t="s">
        <v>28</v>
      </c>
      <c r="AM351" s="1">
        <v>656.0</v>
      </c>
      <c r="AN351" s="1">
        <v>2001.0</v>
      </c>
      <c r="AO351" s="1">
        <v>1965.0</v>
      </c>
      <c r="AQ351" s="3">
        <v>44256.0</v>
      </c>
      <c r="AR351" s="1" t="s">
        <v>388</v>
      </c>
      <c r="AS351" s="1" t="s">
        <v>1718</v>
      </c>
      <c r="AT351" s="1" t="s">
        <v>31</v>
      </c>
      <c r="AX351" s="1">
        <v>0.0</v>
      </c>
      <c r="AY351" s="1">
        <v>0.0</v>
      </c>
    </row>
    <row r="352" spans="20:51" ht="15.75">
      <c r="T352" s="1">
        <v>3816454.0</v>
      </c>
      <c r="U352" s="1"/>
      <c r="V352" s="1"/>
      <c r="W352" s="1"/>
      <c r="X352" s="1"/>
      <c r="Y352" s="1" t="s">
        <v>1719</v>
      </c>
      <c r="Z352" s="1" t="s">
        <v>1720</v>
      </c>
      <c r="AA352" s="1" t="s">
        <v>1721</v>
      </c>
      <c r="AB352" s="1"/>
      <c r="AC352" s="1"/>
      <c r="AD352" s="1"/>
      <c r="AE352" s="1"/>
      <c r="AG352" s="2" t="str">
        <f>"0811217450"</f>
        <v>0811217450</v>
      </c>
      <c r="AH352" s="2" t="str">
        <f>"9780811217453"</f>
        <v>9780811217453</v>
      </c>
      <c r="AI352" s="1">
        <v>0.0</v>
      </c>
      <c r="AJ352" s="1">
        <v>3.78</v>
      </c>
      <c r="AK352" s="1" t="s">
        <v>95</v>
      </c>
      <c r="AL352" s="1" t="s">
        <v>28</v>
      </c>
      <c r="AM352" s="1">
        <v>106.0</v>
      </c>
      <c r="AN352" s="1">
        <v>2008.0</v>
      </c>
      <c r="AO352" s="1">
        <v>2008.0</v>
      </c>
      <c r="AQ352" s="3">
        <v>44252.0</v>
      </c>
      <c r="AR352" s="1" t="s">
        <v>388</v>
      </c>
      <c r="AS352" s="1" t="s">
        <v>1722</v>
      </c>
      <c r="AT352" s="1" t="s">
        <v>31</v>
      </c>
      <c r="AX352" s="1">
        <v>0.0</v>
      </c>
      <c r="AY352" s="1">
        <v>0.0</v>
      </c>
    </row>
    <row r="353" spans="20:51" ht="15.75">
      <c r="T353" s="1">
        <v>37380.0</v>
      </c>
      <c r="U353" s="1"/>
      <c r="V353" s="1"/>
      <c r="W353" s="1"/>
      <c r="X353" s="1"/>
      <c r="Y353" s="1" t="s">
        <v>1723</v>
      </c>
      <c r="Z353" s="1" t="s">
        <v>1724</v>
      </c>
      <c r="AA353" s="1" t="s">
        <v>1725</v>
      </c>
      <c r="AB353" s="1"/>
      <c r="AC353" s="1"/>
      <c r="AD353" s="1"/>
      <c r="AE353" s="1"/>
      <c r="AG353" s="2" t="str">
        <f>"0618084746"</f>
        <v>0618084746</v>
      </c>
      <c r="AH353" s="2" t="str">
        <f>"9780618084746"</f>
        <v>9780618084746</v>
      </c>
      <c r="AI353" s="1">
        <v>0.0</v>
      </c>
      <c r="AJ353" s="1">
        <v>3.99</v>
      </c>
      <c r="AK353" s="1" t="s">
        <v>1726</v>
      </c>
      <c r="AL353" s="1" t="s">
        <v>28</v>
      </c>
      <c r="AM353" s="1">
        <v>359.0</v>
      </c>
      <c r="AN353" s="1">
        <v>2000.0</v>
      </c>
      <c r="AO353" s="1">
        <v>1940.0</v>
      </c>
      <c r="AQ353" s="3">
        <v>44226.0</v>
      </c>
      <c r="AR353" s="1" t="s">
        <v>388</v>
      </c>
      <c r="AS353" s="1" t="s">
        <v>1727</v>
      </c>
      <c r="AT353" s="1" t="s">
        <v>31</v>
      </c>
      <c r="AX353" s="1">
        <v>0.0</v>
      </c>
      <c r="AY353" s="1">
        <v>0.0</v>
      </c>
    </row>
    <row r="354" spans="20:51" ht="15.75">
      <c r="T354" s="1">
        <v>5.4303848E7</v>
      </c>
      <c r="U354" s="1"/>
      <c r="V354" s="1"/>
      <c r="W354" s="1"/>
      <c r="X354" s="1"/>
      <c r="Y354" s="1" t="s">
        <v>1728</v>
      </c>
      <c r="Z354" s="1" t="s">
        <v>1729</v>
      </c>
      <c r="AA354" s="1" t="s">
        <v>1730</v>
      </c>
      <c r="AB354" s="1"/>
      <c r="AC354" s="1"/>
      <c r="AD354" s="1"/>
      <c r="AE354" s="1"/>
      <c r="AG354" s="2" t="str">
        <f t="shared" si="23" ref="AG354:AH354">""</f>
        <v/>
      </c>
      <c r="AH354" s="2" t="str">
        <f t="shared" si="23"/>
        <v/>
      </c>
      <c r="AI354" s="1">
        <v>0.0</v>
      </c>
      <c r="AJ354" s="1">
        <v>3.94</v>
      </c>
      <c r="AK354" s="1" t="s">
        <v>1731</v>
      </c>
      <c r="AL354" s="1" t="s">
        <v>41</v>
      </c>
      <c r="AM354" s="1">
        <v>191.0</v>
      </c>
      <c r="AN354" s="1">
        <v>2021.0</v>
      </c>
      <c r="AO354" s="1">
        <v>2021.0</v>
      </c>
      <c r="AQ354" s="3">
        <v>44216.0</v>
      </c>
      <c r="AR354" s="1" t="s">
        <v>388</v>
      </c>
      <c r="AS354" s="1" t="s">
        <v>1732</v>
      </c>
      <c r="AT354" s="1" t="s">
        <v>31</v>
      </c>
      <c r="AX354" s="1">
        <v>0.0</v>
      </c>
      <c r="AY354" s="1">
        <v>0.0</v>
      </c>
    </row>
    <row r="355" spans="20:51" ht="15.75">
      <c r="T355" s="1">
        <v>5.4120408E7</v>
      </c>
      <c r="U355" s="1"/>
      <c r="V355" s="1"/>
      <c r="W355" s="1"/>
      <c r="X355" s="1"/>
      <c r="Y355" s="1" t="s">
        <v>1733</v>
      </c>
      <c r="Z355" s="1" t="s">
        <v>1734</v>
      </c>
      <c r="AA355" s="1" t="s">
        <v>1735</v>
      </c>
      <c r="AB355" s="1"/>
      <c r="AC355" s="1"/>
      <c r="AD355" s="1"/>
      <c r="AE355" s="1"/>
      <c r="AG355" s="2" t="str">
        <f>"059331817X"</f>
        <v>059331817X</v>
      </c>
      <c r="AH355" s="2" t="str">
        <f>"9780593318171"</f>
        <v>9780593318171</v>
      </c>
      <c r="AI355" s="1">
        <v>0.0</v>
      </c>
      <c r="AJ355" s="1">
        <v>3.75</v>
      </c>
      <c r="AK355" s="1" t="s">
        <v>1736</v>
      </c>
      <c r="AL355" s="1" t="s">
        <v>41</v>
      </c>
      <c r="AM355" s="1">
        <v>303.0</v>
      </c>
      <c r="AN355" s="1">
        <v>2021.0</v>
      </c>
      <c r="AO355" s="1">
        <v>2021.0</v>
      </c>
      <c r="AQ355" s="3">
        <v>44216.0</v>
      </c>
      <c r="AR355" s="1" t="s">
        <v>388</v>
      </c>
      <c r="AS355" s="1" t="s">
        <v>1737</v>
      </c>
      <c r="AT355" s="1" t="s">
        <v>31</v>
      </c>
      <c r="AX355" s="1">
        <v>0.0</v>
      </c>
      <c r="AY355" s="1">
        <v>0.0</v>
      </c>
    </row>
    <row r="356" spans="20:51" ht="15.75">
      <c r="T356" s="1">
        <v>5.2692515E7</v>
      </c>
      <c r="U356" s="1"/>
      <c r="V356" s="1"/>
      <c r="W356" s="1"/>
      <c r="X356" s="1"/>
      <c r="Y356" s="1" t="s">
        <v>1738</v>
      </c>
      <c r="Z356" s="1" t="s">
        <v>1739</v>
      </c>
      <c r="AA356" s="1" t="s">
        <v>1740</v>
      </c>
      <c r="AB356" s="1"/>
      <c r="AC356" s="1"/>
      <c r="AD356" s="1"/>
      <c r="AE356" s="1"/>
      <c r="AF356" s="1" t="s">
        <v>1741</v>
      </c>
      <c r="AG356" s="2" t="str">
        <f>"1526622246"</f>
        <v>1526622246</v>
      </c>
      <c r="AH356" s="2" t="str">
        <f>"9781526622242"</f>
        <v>9781526622242</v>
      </c>
      <c r="AI356" s="1">
        <v>0.0</v>
      </c>
      <c r="AJ356" s="1">
        <v>3.61</v>
      </c>
      <c r="AK356" s="1" t="s">
        <v>1742</v>
      </c>
      <c r="AL356" s="1" t="s">
        <v>28</v>
      </c>
      <c r="AM356" s="1">
        <v>416.0</v>
      </c>
      <c r="AN356" s="1">
        <v>2020.0</v>
      </c>
      <c r="AO356" s="1">
        <v>2015.0</v>
      </c>
      <c r="AQ356" s="3">
        <v>44216.0</v>
      </c>
      <c r="AR356" s="1" t="s">
        <v>388</v>
      </c>
      <c r="AS356" s="1" t="s">
        <v>1743</v>
      </c>
      <c r="AT356" s="1" t="s">
        <v>31</v>
      </c>
      <c r="AX356" s="1">
        <v>0.0</v>
      </c>
      <c r="AY356" s="1">
        <v>0.0</v>
      </c>
    </row>
    <row r="357" spans="20:51" ht="15.75">
      <c r="T357" s="1">
        <v>5.3205917E7</v>
      </c>
      <c r="U357" s="1"/>
      <c r="V357" s="1"/>
      <c r="W357" s="1"/>
      <c r="X357" s="1"/>
      <c r="Y357" s="1" t="s">
        <v>1744</v>
      </c>
      <c r="Z357" s="1" t="s">
        <v>1745</v>
      </c>
      <c r="AA357" s="1" t="s">
        <v>1746</v>
      </c>
      <c r="AB357" s="1"/>
      <c r="AC357" s="1"/>
      <c r="AD357" s="1"/>
      <c r="AE357" s="1"/>
      <c r="AF357" s="1" t="s">
        <v>1747</v>
      </c>
      <c r="AG357" s="2" t="str">
        <f>"1250750555"</f>
        <v>1250750555</v>
      </c>
      <c r="AH357" s="2" t="str">
        <f>"9781250750556"</f>
        <v>9781250750556</v>
      </c>
      <c r="AI357" s="1">
        <v>0.0</v>
      </c>
      <c r="AJ357" s="1">
        <v>4.01</v>
      </c>
      <c r="AK357" s="1" t="s">
        <v>1748</v>
      </c>
      <c r="AL357" s="1" t="s">
        <v>41</v>
      </c>
      <c r="AM357" s="1">
        <v>208.0</v>
      </c>
      <c r="AN357" s="1">
        <v>2021.0</v>
      </c>
      <c r="AO357" s="1">
        <v>2011.0</v>
      </c>
      <c r="AQ357" s="3">
        <v>44216.0</v>
      </c>
      <c r="AR357" s="1" t="s">
        <v>388</v>
      </c>
      <c r="AS357" s="1" t="s">
        <v>1749</v>
      </c>
      <c r="AT357" s="1" t="s">
        <v>31</v>
      </c>
      <c r="AX357" s="1">
        <v>0.0</v>
      </c>
      <c r="AY357" s="1">
        <v>0.0</v>
      </c>
    </row>
    <row r="358" spans="20:51" ht="15.75">
      <c r="T358" s="1">
        <v>5.6561001E7</v>
      </c>
      <c r="U358" s="1"/>
      <c r="V358" s="1"/>
      <c r="W358" s="1"/>
      <c r="X358" s="1"/>
      <c r="Y358" s="1" t="s">
        <v>1750</v>
      </c>
      <c r="Z358" s="1" t="s">
        <v>1751</v>
      </c>
      <c r="AA358" s="1" t="s">
        <v>1752</v>
      </c>
      <c r="AB358" s="1"/>
      <c r="AC358" s="1"/>
      <c r="AD358" s="1"/>
      <c r="AE358" s="1"/>
      <c r="AG358" s="2" t="str">
        <f t="shared" si="24" ref="AG358:AH358">""</f>
        <v/>
      </c>
      <c r="AH358" s="2" t="str">
        <f t="shared" si="24"/>
        <v/>
      </c>
      <c r="AI358" s="1">
        <v>0.0</v>
      </c>
      <c r="AJ358" s="1">
        <v>3.6</v>
      </c>
      <c r="AK358" s="1" t="s">
        <v>634</v>
      </c>
      <c r="AL358" s="1" t="s">
        <v>59</v>
      </c>
      <c r="AM358" s="1">
        <v>304.0</v>
      </c>
      <c r="AN358" s="1">
        <v>2021.0</v>
      </c>
      <c r="AO358" s="1">
        <v>2021.0</v>
      </c>
      <c r="AQ358" s="3">
        <v>44216.0</v>
      </c>
      <c r="AR358" s="1" t="s">
        <v>388</v>
      </c>
      <c r="AS358" s="1" t="s">
        <v>1753</v>
      </c>
      <c r="AT358" s="1" t="s">
        <v>31</v>
      </c>
      <c r="AX358" s="1">
        <v>0.0</v>
      </c>
      <c r="AY358" s="1">
        <v>0.0</v>
      </c>
    </row>
    <row r="359" spans="20:51" ht="15.75">
      <c r="T359" s="1">
        <v>5.1134978E7</v>
      </c>
      <c r="U359" s="1"/>
      <c r="V359" s="1"/>
      <c r="W359" s="1"/>
      <c r="X359" s="1"/>
      <c r="Y359" s="1" t="s">
        <v>1754</v>
      </c>
      <c r="Z359" s="1" t="s">
        <v>1755</v>
      </c>
      <c r="AA359" s="1" t="s">
        <v>1756</v>
      </c>
      <c r="AB359" s="1"/>
      <c r="AC359" s="1"/>
      <c r="AD359" s="1"/>
      <c r="AE359" s="1"/>
      <c r="AG359" s="2" t="str">
        <f>"1913547035"</f>
        <v>1913547035</v>
      </c>
      <c r="AH359" s="2" t="str">
        <f>"9781913547035"</f>
        <v>9781913547035</v>
      </c>
      <c r="AI359" s="1">
        <v>0.0</v>
      </c>
      <c r="AJ359" s="1">
        <v>3.54</v>
      </c>
      <c r="AK359" s="1" t="s">
        <v>1757</v>
      </c>
      <c r="AL359" s="1" t="s">
        <v>28</v>
      </c>
      <c r="AM359" s="1">
        <v>160.0</v>
      </c>
      <c r="AN359" s="1">
        <v>2020.0</v>
      </c>
      <c r="AO359" s="1">
        <v>2020.0</v>
      </c>
      <c r="AQ359" s="3">
        <v>44216.0</v>
      </c>
      <c r="AR359" s="1" t="s">
        <v>388</v>
      </c>
      <c r="AS359" s="1" t="s">
        <v>1758</v>
      </c>
      <c r="AT359" s="1" t="s">
        <v>31</v>
      </c>
      <c r="AX359" s="1">
        <v>0.0</v>
      </c>
      <c r="AY359" s="1">
        <v>0.0</v>
      </c>
    </row>
    <row r="360" spans="20:51" ht="15.75">
      <c r="T360" s="1">
        <v>5.3492652E7</v>
      </c>
      <c r="U360" s="1"/>
      <c r="V360" s="1"/>
      <c r="W360" s="1"/>
      <c r="X360" s="1"/>
      <c r="Y360" s="1" t="s">
        <v>1759</v>
      </c>
      <c r="Z360" s="1" t="s">
        <v>1760</v>
      </c>
      <c r="AA360" s="1" t="s">
        <v>1761</v>
      </c>
      <c r="AB360" s="1"/>
      <c r="AC360" s="1"/>
      <c r="AD360" s="1"/>
      <c r="AE360" s="1"/>
      <c r="AF360" s="1" t="s">
        <v>1762</v>
      </c>
      <c r="AG360" s="2" t="str">
        <f>"0811230619"</f>
        <v>0811230619</v>
      </c>
      <c r="AH360" s="2" t="str">
        <f>"9780811230612"</f>
        <v>9780811230612</v>
      </c>
      <c r="AI360" s="1">
        <v>0.0</v>
      </c>
      <c r="AJ360" s="1">
        <v>4.29</v>
      </c>
      <c r="AK360" s="1" t="s">
        <v>95</v>
      </c>
      <c r="AL360" s="1" t="s">
        <v>41</v>
      </c>
      <c r="AM360" s="1">
        <v>176.0</v>
      </c>
      <c r="AN360" s="1">
        <v>2021.0</v>
      </c>
      <c r="AO360" s="1">
        <v>1969.0</v>
      </c>
      <c r="AQ360" s="3">
        <v>44216.0</v>
      </c>
      <c r="AR360" s="1" t="s">
        <v>388</v>
      </c>
      <c r="AS360" s="1" t="s">
        <v>1763</v>
      </c>
      <c r="AT360" s="1" t="s">
        <v>31</v>
      </c>
      <c r="AX360" s="1">
        <v>0.0</v>
      </c>
      <c r="AY360" s="1">
        <v>0.0</v>
      </c>
    </row>
    <row r="361" spans="20:51" ht="15.75">
      <c r="T361" s="1">
        <v>2659806.0</v>
      </c>
      <c r="U361" s="1"/>
      <c r="V361" s="1"/>
      <c r="W361" s="1"/>
      <c r="X361" s="1"/>
      <c r="Y361" s="1" t="s">
        <v>1764</v>
      </c>
      <c r="Z361" s="1" t="s">
        <v>1765</v>
      </c>
      <c r="AA361" s="1" t="s">
        <v>1766</v>
      </c>
      <c r="AB361" s="1"/>
      <c r="AC361" s="1"/>
      <c r="AD361" s="1"/>
      <c r="AE361" s="1"/>
      <c r="AG361" s="2" t="str">
        <f>"843396853X"</f>
        <v>843396853X</v>
      </c>
      <c r="AH361" s="2" t="str">
        <f>"9788433968531"</f>
        <v>9788433968531</v>
      </c>
      <c r="AI361" s="1">
        <v>0.0</v>
      </c>
      <c r="AJ361" s="1">
        <v>3.7</v>
      </c>
      <c r="AK361" s="1" t="s">
        <v>1681</v>
      </c>
      <c r="AL361" s="1" t="s">
        <v>28</v>
      </c>
      <c r="AM361" s="1">
        <v>256.0</v>
      </c>
      <c r="AN361" s="1">
        <v>2003.0</v>
      </c>
      <c r="AO361" s="1">
        <v>2003.0</v>
      </c>
      <c r="AQ361" s="3">
        <v>44166.0</v>
      </c>
      <c r="AR361" s="1" t="s">
        <v>388</v>
      </c>
      <c r="AS361" s="1" t="s">
        <v>1767</v>
      </c>
      <c r="AT361" s="1" t="s">
        <v>31</v>
      </c>
      <c r="AX361" s="1">
        <v>0.0</v>
      </c>
      <c r="AY361" s="1">
        <v>0.0</v>
      </c>
    </row>
    <row r="362" spans="20:51" ht="15.75">
      <c r="T362" s="1">
        <v>5.5711682E7</v>
      </c>
      <c r="U362" s="1"/>
      <c r="V362" s="1"/>
      <c r="W362" s="1"/>
      <c r="X362" s="1"/>
      <c r="Y362" s="1" t="s">
        <v>1768</v>
      </c>
      <c r="Z362" s="1" t="s">
        <v>1769</v>
      </c>
      <c r="AA362" s="1" t="s">
        <v>1770</v>
      </c>
      <c r="AB362" s="1"/>
      <c r="AC362" s="1"/>
      <c r="AD362" s="1"/>
      <c r="AE362" s="1"/>
      <c r="AG362" s="2" t="str">
        <f>"1982158301"</f>
        <v>1982158301</v>
      </c>
      <c r="AH362" s="2" t="str">
        <f>"9781982158309"</f>
        <v>9781982158309</v>
      </c>
      <c r="AI362" s="1">
        <v>0.0</v>
      </c>
      <c r="AJ362" s="1">
        <v>3.46</v>
      </c>
      <c r="AK362" s="1" t="s">
        <v>1771</v>
      </c>
      <c r="AL362" s="1" t="s">
        <v>41</v>
      </c>
      <c r="AM362" s="1">
        <v>304.0</v>
      </c>
      <c r="AN362" s="1">
        <v>2021.0</v>
      </c>
      <c r="AO362" s="1">
        <v>2021.0</v>
      </c>
      <c r="AQ362" s="3">
        <v>44216.0</v>
      </c>
      <c r="AR362" s="1" t="s">
        <v>388</v>
      </c>
      <c r="AS362" s="1" t="s">
        <v>1772</v>
      </c>
      <c r="AT362" s="1" t="s">
        <v>31</v>
      </c>
      <c r="AX362" s="1">
        <v>0.0</v>
      </c>
      <c r="AY362" s="1">
        <v>0.0</v>
      </c>
    </row>
    <row r="363" spans="20:51" ht="15.75">
      <c r="T363" s="1">
        <v>153426.0</v>
      </c>
      <c r="U363" s="1"/>
      <c r="V363" s="1"/>
      <c r="W363" s="1"/>
      <c r="X363" s="1"/>
      <c r="Y363" s="1" t="s">
        <v>1773</v>
      </c>
      <c r="Z363" s="1" t="s">
        <v>1760</v>
      </c>
      <c r="AA363" s="1" t="s">
        <v>1761</v>
      </c>
      <c r="AB363" s="1"/>
      <c r="AC363" s="1"/>
      <c r="AD363" s="1"/>
      <c r="AE363" s="1"/>
      <c r="AF363" s="1" t="s">
        <v>1774</v>
      </c>
      <c r="AG363" s="2" t="str">
        <f>"0816617120"</f>
        <v>0816617120</v>
      </c>
      <c r="AH363" s="2" t="str">
        <f>"9780816617128"</f>
        <v>9780816617128</v>
      </c>
      <c r="AI363" s="1">
        <v>0.0</v>
      </c>
      <c r="AJ363" s="1">
        <v>4.13</v>
      </c>
      <c r="AK363" s="1" t="s">
        <v>953</v>
      </c>
      <c r="AL363" s="1" t="s">
        <v>28</v>
      </c>
      <c r="AM363" s="1">
        <v>173.0</v>
      </c>
      <c r="AN363" s="1">
        <v>1988.0</v>
      </c>
      <c r="AO363" s="1">
        <v>1964.0</v>
      </c>
      <c r="AQ363" s="3">
        <v>44216.0</v>
      </c>
      <c r="AR363" s="1" t="s">
        <v>388</v>
      </c>
      <c r="AS363" s="1" t="s">
        <v>1775</v>
      </c>
      <c r="AT363" s="1" t="s">
        <v>31</v>
      </c>
      <c r="AX363" s="1">
        <v>0.0</v>
      </c>
      <c r="AY363" s="1">
        <v>0.0</v>
      </c>
    </row>
    <row r="364" spans="20:51" ht="15.75">
      <c r="T364" s="1">
        <v>5.6761975E7</v>
      </c>
      <c r="U364" s="1"/>
      <c r="V364" s="1"/>
      <c r="W364" s="1"/>
      <c r="X364" s="1"/>
      <c r="Y364" s="1" t="s">
        <v>1776</v>
      </c>
      <c r="Z364" s="1" t="s">
        <v>1777</v>
      </c>
      <c r="AA364" s="1" t="s">
        <v>1778</v>
      </c>
      <c r="AB364" s="1"/>
      <c r="AC364" s="1"/>
      <c r="AD364" s="1"/>
      <c r="AE364" s="1"/>
      <c r="AG364" s="2" t="str">
        <f t="shared" si="25" ref="AG364:AH364">""</f>
        <v/>
      </c>
      <c r="AH364" s="2" t="str">
        <f t="shared" si="25"/>
        <v/>
      </c>
      <c r="AI364" s="1">
        <v>0.0</v>
      </c>
      <c r="AJ364" s="1">
        <v>3.41</v>
      </c>
      <c r="AK364" s="1" t="s">
        <v>89</v>
      </c>
      <c r="AL364" s="1" t="s">
        <v>59</v>
      </c>
      <c r="AM364" s="1">
        <v>288.0</v>
      </c>
      <c r="AN364" s="1">
        <v>2021.0</v>
      </c>
      <c r="AO364" s="1">
        <v>2021.0</v>
      </c>
      <c r="AQ364" s="3">
        <v>44216.0</v>
      </c>
      <c r="AR364" s="1" t="s">
        <v>388</v>
      </c>
      <c r="AS364" s="1" t="s">
        <v>1779</v>
      </c>
      <c r="AT364" s="1" t="s">
        <v>31</v>
      </c>
      <c r="AX364" s="1">
        <v>0.0</v>
      </c>
      <c r="AY364" s="1">
        <v>0.0</v>
      </c>
    </row>
    <row r="365" spans="20:51" ht="15.75">
      <c r="T365" s="1">
        <v>63032.0</v>
      </c>
      <c r="U365" s="1"/>
      <c r="V365" s="1"/>
      <c r="W365" s="1"/>
      <c r="X365" s="1"/>
      <c r="Y365" s="1">
        <v>2666.0</v>
      </c>
      <c r="Z365" s="1" t="s">
        <v>1780</v>
      </c>
      <c r="AA365" s="1" t="s">
        <v>1781</v>
      </c>
      <c r="AB365" s="1"/>
      <c r="AC365" s="1"/>
      <c r="AD365" s="1"/>
      <c r="AE365" s="1"/>
      <c r="AG365" s="2" t="str">
        <f>"843396867X"</f>
        <v>843396867X</v>
      </c>
      <c r="AH365" s="2" t="str">
        <f>"9788433968678"</f>
        <v>9788433968678</v>
      </c>
      <c r="AI365" s="1">
        <v>0.0</v>
      </c>
      <c r="AJ365" s="1">
        <v>4.2</v>
      </c>
      <c r="AK365" s="1" t="s">
        <v>1681</v>
      </c>
      <c r="AL365" s="1" t="s">
        <v>28</v>
      </c>
      <c r="AM365" s="1">
        <v>1128.0</v>
      </c>
      <c r="AN365" s="1">
        <v>2004.0</v>
      </c>
      <c r="AO365" s="1">
        <v>2004.0</v>
      </c>
      <c r="AQ365" s="3">
        <v>43970.0</v>
      </c>
      <c r="AR365" s="1" t="s">
        <v>388</v>
      </c>
      <c r="AS365" s="1" t="s">
        <v>1782</v>
      </c>
      <c r="AT365" s="1" t="s">
        <v>31</v>
      </c>
      <c r="AX365" s="1">
        <v>0.0</v>
      </c>
      <c r="AY365" s="1">
        <v>0.0</v>
      </c>
    </row>
    <row r="366" spans="20:51" ht="15.75">
      <c r="T366" s="1">
        <v>215262.0</v>
      </c>
      <c r="U366" s="1"/>
      <c r="V366" s="1"/>
      <c r="W366" s="1"/>
      <c r="X366" s="1"/>
      <c r="Y366" s="1" t="s">
        <v>1783</v>
      </c>
      <c r="Z366" s="1" t="s">
        <v>1784</v>
      </c>
      <c r="AA366" s="1" t="s">
        <v>1785</v>
      </c>
      <c r="AB366" s="1"/>
      <c r="AC366" s="1"/>
      <c r="AD366" s="1"/>
      <c r="AE366" s="1"/>
      <c r="AG366" s="2" t="str">
        <f>"0720611792"</f>
        <v>0720611792</v>
      </c>
      <c r="AH366" s="2" t="str">
        <f>"9780720611793"</f>
        <v>9780720611793</v>
      </c>
      <c r="AI366" s="1">
        <v>0.0</v>
      </c>
      <c r="AJ366" s="1">
        <v>3.61</v>
      </c>
      <c r="AK366" s="1" t="s">
        <v>1786</v>
      </c>
      <c r="AL366" s="1" t="s">
        <v>28</v>
      </c>
      <c r="AM366" s="1">
        <v>234.0</v>
      </c>
      <c r="AN366" s="1">
        <v>2003.0</v>
      </c>
      <c r="AO366" s="1">
        <v>1943.0</v>
      </c>
      <c r="AQ366" s="3">
        <v>43952.0</v>
      </c>
      <c r="AR366" s="1" t="s">
        <v>388</v>
      </c>
      <c r="AS366" s="1" t="s">
        <v>1787</v>
      </c>
      <c r="AT366" s="1" t="s">
        <v>31</v>
      </c>
      <c r="AX366" s="1">
        <v>0.0</v>
      </c>
      <c r="AY366" s="1">
        <v>0.0</v>
      </c>
    </row>
    <row r="367" spans="20:51" ht="15.75">
      <c r="T367" s="1">
        <v>6077503.0</v>
      </c>
      <c r="U367" s="1"/>
      <c r="V367" s="1"/>
      <c r="W367" s="1"/>
      <c r="X367" s="1"/>
      <c r="Y367" s="1" t="s">
        <v>1788</v>
      </c>
      <c r="Z367" s="1" t="s">
        <v>1789</v>
      </c>
      <c r="AA367" s="1" t="s">
        <v>1790</v>
      </c>
      <c r="AB367" s="1"/>
      <c r="AC367" s="1"/>
      <c r="AD367" s="1"/>
      <c r="AE367" s="1"/>
      <c r="AF367" s="1" t="s">
        <v>1791</v>
      </c>
      <c r="AG367" s="2" t="str">
        <f>"0802118925"</f>
        <v>0802118925</v>
      </c>
      <c r="AH367" s="2" t="str">
        <f>"9780802118929"</f>
        <v>9780802118929</v>
      </c>
      <c r="AI367" s="1">
        <v>4.0</v>
      </c>
      <c r="AJ367" s="1">
        <v>2.85</v>
      </c>
      <c r="AK367" s="1" t="s">
        <v>35</v>
      </c>
      <c r="AL367" s="1" t="s">
        <v>41</v>
      </c>
      <c r="AM367" s="1">
        <v>208.0</v>
      </c>
      <c r="AN367" s="1">
        <v>2009.0</v>
      </c>
      <c r="AO367" s="1">
        <v>2008.0</v>
      </c>
      <c r="AP367" s="3">
        <v>43949.0</v>
      </c>
      <c r="AQ367" s="3">
        <v>43939.0</v>
      </c>
      <c r="AR367" s="1" t="s">
        <v>1792</v>
      </c>
      <c r="AS367" s="1" t="s">
        <v>1793</v>
      </c>
      <c r="AT367" s="1" t="s">
        <v>127</v>
      </c>
      <c r="AU367" s="1" t="s">
        <v>1794</v>
      </c>
      <c r="AX367" s="1">
        <v>1.0</v>
      </c>
      <c r="AY367" s="1">
        <v>0.0</v>
      </c>
    </row>
    <row r="368" spans="20:51" ht="15.75">
      <c r="T368" s="1">
        <v>3.0244626E7</v>
      </c>
      <c r="U368" s="1"/>
      <c r="V368" s="1"/>
      <c r="W368" s="1"/>
      <c r="X368" s="1"/>
      <c r="Y368" s="1" t="s">
        <v>1795</v>
      </c>
      <c r="Z368" s="1" t="s">
        <v>1796</v>
      </c>
      <c r="AA368" s="1" t="s">
        <v>1797</v>
      </c>
      <c r="AB368" s="1"/>
      <c r="AC368" s="1"/>
      <c r="AD368" s="1"/>
      <c r="AE368" s="1"/>
      <c r="AG368" s="2" t="str">
        <f>"1627794468"</f>
        <v>1627794468</v>
      </c>
      <c r="AH368" s="2" t="str">
        <f>"9781627794466"</f>
        <v>9781627794466</v>
      </c>
      <c r="AI368" s="1">
        <v>0.0</v>
      </c>
      <c r="AJ368" s="1">
        <v>3.95</v>
      </c>
      <c r="AK368" s="1" t="s">
        <v>1798</v>
      </c>
      <c r="AL368" s="1" t="s">
        <v>41</v>
      </c>
      <c r="AM368" s="1">
        <v>866.0</v>
      </c>
      <c r="AN368" s="1">
        <v>2017.0</v>
      </c>
      <c r="AO368" s="1">
        <v>2017.0</v>
      </c>
      <c r="AQ368" s="3">
        <v>42943.0</v>
      </c>
      <c r="AR368" s="1" t="s">
        <v>388</v>
      </c>
      <c r="AS368" s="1" t="s">
        <v>1799</v>
      </c>
      <c r="AT368" s="1" t="s">
        <v>31</v>
      </c>
      <c r="AX368" s="1">
        <v>0.0</v>
      </c>
      <c r="AY368" s="1">
        <v>0.0</v>
      </c>
    </row>
    <row r="369" spans="20:51" ht="15.75">
      <c r="T369" s="1">
        <v>3.0763882E7</v>
      </c>
      <c r="U369" s="1"/>
      <c r="V369" s="1"/>
      <c r="W369" s="1"/>
      <c r="X369" s="1"/>
      <c r="Y369" s="1" t="s">
        <v>1800</v>
      </c>
      <c r="Z369" s="1" t="s">
        <v>1801</v>
      </c>
      <c r="AA369" s="1" t="s">
        <v>1802</v>
      </c>
      <c r="AB369" s="1"/>
      <c r="AC369" s="1"/>
      <c r="AD369" s="1"/>
      <c r="AE369" s="1"/>
      <c r="AF369" s="1" t="s">
        <v>1803</v>
      </c>
      <c r="AG369" s="2" t="str">
        <f>"0399184597"</f>
        <v>0399184597</v>
      </c>
      <c r="AH369" s="2" t="str">
        <f>"9780399184598"</f>
        <v>9780399184598</v>
      </c>
      <c r="AI369" s="1">
        <v>0.0</v>
      </c>
      <c r="AJ369" s="1">
        <v>3.73</v>
      </c>
      <c r="AK369" s="1" t="s">
        <v>387</v>
      </c>
      <c r="AL369" s="1" t="s">
        <v>41</v>
      </c>
      <c r="AM369" s="1">
        <v>183.0</v>
      </c>
      <c r="AN369" s="1">
        <v>2017.0</v>
      </c>
      <c r="AO369" s="1">
        <v>2014.0</v>
      </c>
      <c r="AQ369" s="3">
        <v>43287.0</v>
      </c>
      <c r="AR369" s="1" t="s">
        <v>388</v>
      </c>
      <c r="AS369" s="1" t="s">
        <v>1804</v>
      </c>
      <c r="AT369" s="1" t="s">
        <v>31</v>
      </c>
      <c r="AX369" s="1">
        <v>0.0</v>
      </c>
      <c r="AY369" s="1">
        <v>0.0</v>
      </c>
    </row>
    <row r="370" spans="20:51" ht="15.75">
      <c r="T370" s="1">
        <v>1101679.0</v>
      </c>
      <c r="U370" s="1"/>
      <c r="V370" s="1"/>
      <c r="W370" s="1"/>
      <c r="X370" s="1"/>
      <c r="Y370" s="1" t="s">
        <v>1805</v>
      </c>
      <c r="Z370" s="1" t="s">
        <v>1806</v>
      </c>
      <c r="AA370" s="1" t="s">
        <v>1807</v>
      </c>
      <c r="AB370" s="1"/>
      <c r="AC370" s="1"/>
      <c r="AD370" s="1"/>
      <c r="AE370" s="1"/>
      <c r="AG370" s="2" t="str">
        <f>"0140241175"</f>
        <v>0140241175</v>
      </c>
      <c r="AH370" s="2" t="str">
        <f>"9780140241174"</f>
        <v>9780140241174</v>
      </c>
      <c r="AI370" s="1">
        <v>0.0</v>
      </c>
      <c r="AJ370" s="1">
        <v>3.98</v>
      </c>
      <c r="AK370" s="1" t="s">
        <v>1808</v>
      </c>
      <c r="AL370" s="1" t="s">
        <v>28</v>
      </c>
      <c r="AM370" s="1">
        <v>352.0</v>
      </c>
      <c r="AN370" s="1">
        <v>1996.0</v>
      </c>
      <c r="AO370" s="1">
        <v>1984.0</v>
      </c>
      <c r="AQ370" s="4">
        <v>42721.0</v>
      </c>
      <c r="AR370" s="1" t="s">
        <v>388</v>
      </c>
      <c r="AS370" s="1" t="s">
        <v>1809</v>
      </c>
      <c r="AT370" s="1" t="s">
        <v>31</v>
      </c>
      <c r="AX370" s="1">
        <v>0.0</v>
      </c>
      <c r="AY370" s="1">
        <v>0.0</v>
      </c>
    </row>
    <row r="371" spans="20:51" ht="15.75">
      <c r="T371" s="1">
        <v>1125111.0</v>
      </c>
      <c r="U371" s="1"/>
      <c r="V371" s="1"/>
      <c r="W371" s="1"/>
      <c r="X371" s="1"/>
      <c r="Y371" s="1" t="s">
        <v>1810</v>
      </c>
      <c r="Z371" s="1" t="s">
        <v>1811</v>
      </c>
      <c r="AA371" s="1" t="s">
        <v>1812</v>
      </c>
      <c r="AB371" s="1"/>
      <c r="AC371" s="1"/>
      <c r="AD371" s="1"/>
      <c r="AE371" s="1"/>
      <c r="AG371" s="2" t="str">
        <f>"074750847X"</f>
        <v>074750847X</v>
      </c>
      <c r="AH371" s="2" t="str">
        <f>"9780747508472"</f>
        <v>9780747508472</v>
      </c>
      <c r="AI371" s="1">
        <v>0.0</v>
      </c>
      <c r="AJ371" s="1">
        <v>3.76</v>
      </c>
      <c r="AK371" s="1" t="s">
        <v>1813</v>
      </c>
      <c r="AL371" s="1" t="s">
        <v>28</v>
      </c>
      <c r="AM371" s="1">
        <v>128.0</v>
      </c>
      <c r="AN371" s="1">
        <v>1991.0</v>
      </c>
      <c r="AO371" s="1">
        <v>1985.0</v>
      </c>
      <c r="AQ371" s="3">
        <v>43921.0</v>
      </c>
      <c r="AR371" s="1" t="s">
        <v>388</v>
      </c>
      <c r="AS371" s="1" t="s">
        <v>1814</v>
      </c>
      <c r="AT371" s="1" t="s">
        <v>31</v>
      </c>
      <c r="AX371" s="1">
        <v>0.0</v>
      </c>
      <c r="AY371" s="1">
        <v>0.0</v>
      </c>
    </row>
    <row r="372" spans="20:51" ht="15.75">
      <c r="T372" s="1">
        <v>14287.0</v>
      </c>
      <c r="U372" s="1"/>
      <c r="V372" s="1"/>
      <c r="W372" s="1"/>
      <c r="X372" s="1"/>
      <c r="Y372" s="1" t="s">
        <v>1815</v>
      </c>
      <c r="Z372" s="1" t="s">
        <v>1816</v>
      </c>
      <c r="AA372" s="1" t="s">
        <v>1817</v>
      </c>
      <c r="AB372" s="1"/>
      <c r="AC372" s="1"/>
      <c r="AD372" s="1"/>
      <c r="AE372" s="1"/>
      <c r="AF372" s="1" t="s">
        <v>1818</v>
      </c>
      <c r="AG372" s="2" t="str">
        <f>""</f>
        <v/>
      </c>
      <c r="AH372" s="2" t="str">
        <f>"9784770029041"</f>
        <v>9784770029041</v>
      </c>
      <c r="AI372" s="1">
        <v>0.0</v>
      </c>
      <c r="AJ372" s="1">
        <v>3.29</v>
      </c>
      <c r="AK372" s="1" t="s">
        <v>1819</v>
      </c>
      <c r="AL372" s="1" t="s">
        <v>28</v>
      </c>
      <c r="AM372" s="1">
        <v>126.0</v>
      </c>
      <c r="AN372" s="1">
        <v>2003.0</v>
      </c>
      <c r="AO372" s="1">
        <v>1976.0</v>
      </c>
      <c r="AQ372" s="3">
        <v>42544.0</v>
      </c>
      <c r="AR372" s="1" t="s">
        <v>388</v>
      </c>
      <c r="AS372" s="1" t="s">
        <v>1820</v>
      </c>
      <c r="AT372" s="1" t="s">
        <v>31</v>
      </c>
      <c r="AX372" s="1">
        <v>0.0</v>
      </c>
      <c r="AY372" s="1">
        <v>0.0</v>
      </c>
    </row>
    <row r="373" spans="20:51" ht="15.75">
      <c r="T373" s="1">
        <v>1.869884E7</v>
      </c>
      <c r="U373" s="1"/>
      <c r="V373" s="1"/>
      <c r="W373" s="1"/>
      <c r="X373" s="1"/>
      <c r="Y373" s="1" t="s">
        <v>1821</v>
      </c>
      <c r="Z373" s="1" t="s">
        <v>1822</v>
      </c>
      <c r="AA373" s="1" t="s">
        <v>1823</v>
      </c>
      <c r="AB373" s="1"/>
      <c r="AC373" s="1"/>
      <c r="AD373" s="1"/>
      <c r="AE373" s="1"/>
      <c r="AG373" s="2" t="str">
        <f>"0062280007"</f>
        <v>0062280007</v>
      </c>
      <c r="AH373" s="2" t="str">
        <f>"9780062280008"</f>
        <v>9780062280008</v>
      </c>
      <c r="AI373" s="1">
        <v>0.0</v>
      </c>
      <c r="AJ373" s="1">
        <v>3.44</v>
      </c>
      <c r="AK373" s="1" t="s">
        <v>194</v>
      </c>
      <c r="AL373" s="1" t="s">
        <v>41</v>
      </c>
      <c r="AM373" s="1">
        <v>384.0</v>
      </c>
      <c r="AN373" s="1">
        <v>2014.0</v>
      </c>
      <c r="AO373" s="1">
        <v>2014.0</v>
      </c>
      <c r="AQ373" s="3">
        <v>42593.0</v>
      </c>
      <c r="AR373" s="1" t="s">
        <v>388</v>
      </c>
      <c r="AS373" s="1" t="s">
        <v>1824</v>
      </c>
      <c r="AT373" s="1" t="s">
        <v>31</v>
      </c>
      <c r="AX373" s="1">
        <v>0.0</v>
      </c>
      <c r="AY373" s="1">
        <v>0.0</v>
      </c>
    </row>
    <row r="374" spans="20:51" ht="15.75">
      <c r="T374" s="1">
        <v>1.8938315E7</v>
      </c>
      <c r="U374" s="1"/>
      <c r="V374" s="1"/>
      <c r="W374" s="1"/>
      <c r="X374" s="1"/>
      <c r="Y374" s="1" t="s">
        <v>1825</v>
      </c>
      <c r="Z374" s="1" t="s">
        <v>1826</v>
      </c>
      <c r="AA374" s="1" t="s">
        <v>1827</v>
      </c>
      <c r="AB374" s="1"/>
      <c r="AC374" s="1"/>
      <c r="AD374" s="1"/>
      <c r="AE374" s="1"/>
      <c r="AF374" s="1" t="s">
        <v>1828</v>
      </c>
      <c r="AG374" s="2" t="str">
        <f>"0773543090"</f>
        <v>0773543090</v>
      </c>
      <c r="AH374" s="2" t="str">
        <f>"9780773543096"</f>
        <v>9780773543096</v>
      </c>
      <c r="AI374" s="1">
        <v>0.0</v>
      </c>
      <c r="AJ374" s="1">
        <v>4.34</v>
      </c>
      <c r="AK374" s="1" t="s">
        <v>1829</v>
      </c>
      <c r="AL374" s="1" t="s">
        <v>28</v>
      </c>
      <c r="AM374" s="1">
        <v>739.0</v>
      </c>
      <c r="AN374" s="1">
        <v>2014.0</v>
      </c>
      <c r="AO374" s="1">
        <v>1948.0</v>
      </c>
      <c r="AQ374" s="3">
        <v>42485.0</v>
      </c>
      <c r="AR374" s="1" t="s">
        <v>29</v>
      </c>
      <c r="AS374" s="1" t="s">
        <v>1830</v>
      </c>
      <c r="AT374" s="1" t="s">
        <v>31</v>
      </c>
      <c r="AX374" s="1">
        <v>0.0</v>
      </c>
      <c r="AY374" s="1">
        <v>0.0</v>
      </c>
    </row>
    <row r="375" spans="20:51" ht="15.75">
      <c r="T375" s="1">
        <v>133456.0</v>
      </c>
      <c r="U375" s="1"/>
      <c r="V375" s="1"/>
      <c r="W375" s="1"/>
      <c r="X375" s="1"/>
      <c r="Y375" s="1" t="s">
        <v>1831</v>
      </c>
      <c r="Z375" s="1" t="s">
        <v>1832</v>
      </c>
      <c r="AA375" s="1" t="s">
        <v>1833</v>
      </c>
      <c r="AB375" s="1"/>
      <c r="AC375" s="1"/>
      <c r="AD375" s="1"/>
      <c r="AE375" s="1"/>
      <c r="AG375" s="2" t="str">
        <f>"0312860390"</f>
        <v>0312860390</v>
      </c>
      <c r="AH375" s="2" t="str">
        <f>"9780312860394"</f>
        <v>9780312860394</v>
      </c>
      <c r="AI375" s="1">
        <v>0.0</v>
      </c>
      <c r="AJ375" s="1">
        <v>3.71</v>
      </c>
      <c r="AK375" s="1" t="s">
        <v>1834</v>
      </c>
      <c r="AL375" s="1" t="s">
        <v>28</v>
      </c>
      <c r="AM375" s="1">
        <v>224.0</v>
      </c>
      <c r="AN375" s="1">
        <v>1996.0</v>
      </c>
      <c r="AO375" s="1">
        <v>1987.0</v>
      </c>
      <c r="AQ375" s="3">
        <v>42100.0</v>
      </c>
      <c r="AR375" s="1" t="s">
        <v>388</v>
      </c>
      <c r="AS375" s="1" t="s">
        <v>1835</v>
      </c>
      <c r="AT375" s="1" t="s">
        <v>31</v>
      </c>
      <c r="AX375" s="1">
        <v>0.0</v>
      </c>
      <c r="AY375" s="1">
        <v>0.0</v>
      </c>
    </row>
    <row r="376" spans="20:51" ht="15.75">
      <c r="T376" s="1">
        <v>2.4826361E7</v>
      </c>
      <c r="U376" s="1"/>
      <c r="V376" s="1"/>
      <c r="W376" s="1"/>
      <c r="X376" s="1"/>
      <c r="Y376" s="1" t="s">
        <v>1836</v>
      </c>
      <c r="Z376" s="1" t="s">
        <v>1837</v>
      </c>
      <c r="AA376" s="1" t="s">
        <v>1838</v>
      </c>
      <c r="AB376" s="1"/>
      <c r="AC376" s="1"/>
      <c r="AD376" s="1"/>
      <c r="AE376" s="1"/>
      <c r="AF376" s="1" t="s">
        <v>1839</v>
      </c>
      <c r="AG376" s="2" t="str">
        <f>"0811223639"</f>
        <v>0811223639</v>
      </c>
      <c r="AH376" s="2" t="str">
        <f>"9780811223638"</f>
        <v>9780811223638</v>
      </c>
      <c r="AI376" s="1">
        <v>0.0</v>
      </c>
      <c r="AJ376" s="1">
        <v>4.06</v>
      </c>
      <c r="AK376" s="1" t="s">
        <v>95</v>
      </c>
      <c r="AL376" s="1" t="s">
        <v>28</v>
      </c>
      <c r="AM376" s="1">
        <v>470.0</v>
      </c>
      <c r="AN376" s="1">
        <v>2015.0</v>
      </c>
      <c r="AO376" s="1">
        <v>2002.0</v>
      </c>
      <c r="AQ376" s="3">
        <v>42345.0</v>
      </c>
      <c r="AR376" s="1" t="s">
        <v>388</v>
      </c>
      <c r="AS376" s="1" t="s">
        <v>1840</v>
      </c>
      <c r="AT376" s="1" t="s">
        <v>31</v>
      </c>
      <c r="AX376" s="1">
        <v>0.0</v>
      </c>
      <c r="AY376" s="1">
        <v>0.0</v>
      </c>
    </row>
    <row r="377" spans="20:51" ht="15.75">
      <c r="T377" s="1">
        <v>7442.0</v>
      </c>
      <c r="U377" s="1"/>
      <c r="V377" s="1"/>
      <c r="W377" s="1"/>
      <c r="X377" s="1"/>
      <c r="Y377" s="1" t="s">
        <v>1841</v>
      </c>
      <c r="Z377" s="1" t="s">
        <v>1842</v>
      </c>
      <c r="AA377" s="1" t="s">
        <v>1843</v>
      </c>
      <c r="AB377" s="1"/>
      <c r="AC377" s="1"/>
      <c r="AD377" s="1"/>
      <c r="AE377" s="1"/>
      <c r="AG377" s="2" t="str">
        <f>"0553380648"</f>
        <v>0553380648</v>
      </c>
      <c r="AH377" s="2" t="str">
        <f>"9780553380644"</f>
        <v>9780553380644</v>
      </c>
      <c r="AI377" s="1">
        <v>0.0</v>
      </c>
      <c r="AJ377" s="1">
        <v>3.92</v>
      </c>
      <c r="AK377" s="1" t="s">
        <v>1844</v>
      </c>
      <c r="AL377" s="1" t="s">
        <v>28</v>
      </c>
      <c r="AM377" s="1">
        <v>416.0</v>
      </c>
      <c r="AN377" s="1">
        <v>1999.0</v>
      </c>
      <c r="AO377" s="1">
        <v>1968.0</v>
      </c>
      <c r="AQ377" s="3">
        <v>42128.0</v>
      </c>
      <c r="AR377" s="1" t="s">
        <v>388</v>
      </c>
      <c r="AS377" s="1" t="s">
        <v>1845</v>
      </c>
      <c r="AT377" s="1" t="s">
        <v>31</v>
      </c>
      <c r="AX377" s="1">
        <v>0.0</v>
      </c>
      <c r="AY377" s="1">
        <v>0.0</v>
      </c>
    </row>
    <row r="378" spans="20:51" ht="15.75">
      <c r="T378" s="1">
        <v>2.4826356E7</v>
      </c>
      <c r="U378" s="1"/>
      <c r="V378" s="1"/>
      <c r="W378" s="1"/>
      <c r="X378" s="1"/>
      <c r="Y378" s="1" t="s">
        <v>1846</v>
      </c>
      <c r="Z378" s="1" t="s">
        <v>1847</v>
      </c>
      <c r="AA378" s="1" t="s">
        <v>1848</v>
      </c>
      <c r="AB378" s="1"/>
      <c r="AC378" s="1"/>
      <c r="AD378" s="1"/>
      <c r="AE378" s="1"/>
      <c r="AF378" s="1" t="s">
        <v>1849</v>
      </c>
      <c r="AG378" s="2" t="str">
        <f>"0811221083"</f>
        <v>0811221083</v>
      </c>
      <c r="AH378" s="2" t="str">
        <f>"9780811221085"</f>
        <v>9780811221085</v>
      </c>
      <c r="AI378" s="1">
        <v>0.0</v>
      </c>
      <c r="AJ378" s="1">
        <v>3.68</v>
      </c>
      <c r="AK378" s="1" t="s">
        <v>95</v>
      </c>
      <c r="AL378" s="1" t="s">
        <v>28</v>
      </c>
      <c r="AM378" s="1">
        <v>96.0</v>
      </c>
      <c r="AN378" s="1">
        <v>2015.0</v>
      </c>
      <c r="AO378" s="1">
        <v>2006.0</v>
      </c>
      <c r="AQ378" s="3">
        <v>42485.0</v>
      </c>
      <c r="AR378" s="1" t="s">
        <v>388</v>
      </c>
      <c r="AS378" s="1" t="s">
        <v>1850</v>
      </c>
      <c r="AT378" s="1" t="s">
        <v>31</v>
      </c>
      <c r="AX378" s="1">
        <v>0.0</v>
      </c>
      <c r="AY378" s="1">
        <v>0.0</v>
      </c>
    </row>
    <row r="379" spans="20:51" ht="15.75">
      <c r="T379" s="1">
        <v>1.8453074E7</v>
      </c>
      <c r="U379" s="1"/>
      <c r="V379" s="1"/>
      <c r="W379" s="1"/>
      <c r="X379" s="1"/>
      <c r="Y379" s="1" t="s">
        <v>1851</v>
      </c>
      <c r="Z379" s="1" t="s">
        <v>1852</v>
      </c>
      <c r="AA379" s="1" t="s">
        <v>1853</v>
      </c>
      <c r="AB379" s="1"/>
      <c r="AC379" s="1"/>
      <c r="AD379" s="1"/>
      <c r="AE379" s="1"/>
      <c r="AG379" s="2" t="str">
        <f>"0316033979"</f>
        <v>0316033979</v>
      </c>
      <c r="AH379" s="2" t="str">
        <f>"9780316033978"</f>
        <v>9780316033978</v>
      </c>
      <c r="AI379" s="1">
        <v>0.0</v>
      </c>
      <c r="AJ379" s="1">
        <v>3.08</v>
      </c>
      <c r="AK379" s="1" t="s">
        <v>380</v>
      </c>
      <c r="AL379" s="1" t="s">
        <v>41</v>
      </c>
      <c r="AM379" s="1">
        <v>352.0</v>
      </c>
      <c r="AN379" s="1">
        <v>2014.0</v>
      </c>
      <c r="AO379" s="1">
        <v>2014.0</v>
      </c>
      <c r="AQ379" s="3">
        <v>41844.0</v>
      </c>
      <c r="AR379" s="1" t="s">
        <v>388</v>
      </c>
      <c r="AS379" s="1" t="s">
        <v>1854</v>
      </c>
      <c r="AT379" s="1" t="s">
        <v>31</v>
      </c>
      <c r="AX379" s="1">
        <v>0.0</v>
      </c>
      <c r="AY379" s="1">
        <v>0.0</v>
      </c>
    </row>
    <row r="380" spans="20:51" ht="15.75">
      <c r="T380" s="1">
        <v>152808.0</v>
      </c>
      <c r="U380" s="1"/>
      <c r="V380" s="1"/>
      <c r="W380" s="1"/>
      <c r="X380" s="1"/>
      <c r="Y380" s="1" t="s">
        <v>1855</v>
      </c>
      <c r="Z380" s="1" t="s">
        <v>1847</v>
      </c>
      <c r="AA380" s="1" t="s">
        <v>1848</v>
      </c>
      <c r="AB380" s="1"/>
      <c r="AC380" s="1"/>
      <c r="AD380" s="1"/>
      <c r="AE380" s="1"/>
      <c r="AF380" s="1" t="s">
        <v>1856</v>
      </c>
      <c r="AG380" s="2" t="str">
        <f>"0811216314"</f>
        <v>0811216314</v>
      </c>
      <c r="AH380" s="2" t="str">
        <f>"9780811216319"</f>
        <v>9780811216319</v>
      </c>
      <c r="AI380" s="1">
        <v>0.0</v>
      </c>
      <c r="AJ380" s="1">
        <v>3.7</v>
      </c>
      <c r="AK380" s="1" t="s">
        <v>95</v>
      </c>
      <c r="AL380" s="1" t="s">
        <v>28</v>
      </c>
      <c r="AM380" s="1">
        <v>117.0</v>
      </c>
      <c r="AN380" s="1">
        <v>2007.0</v>
      </c>
      <c r="AO380" s="1">
        <v>1993.0</v>
      </c>
      <c r="AQ380" s="3">
        <v>41494.0</v>
      </c>
      <c r="AR380" s="1" t="s">
        <v>388</v>
      </c>
      <c r="AS380" s="1" t="s">
        <v>1857</v>
      </c>
      <c r="AT380" s="1" t="s">
        <v>31</v>
      </c>
      <c r="AX380" s="1">
        <v>0.0</v>
      </c>
      <c r="AY380" s="1">
        <v>0.0</v>
      </c>
    </row>
    <row r="381" spans="20:51" ht="15.75">
      <c r="T381" s="1">
        <v>1.3544002E7</v>
      </c>
      <c r="U381" s="1"/>
      <c r="V381" s="1"/>
      <c r="W381" s="1"/>
      <c r="X381" s="1"/>
      <c r="Y381" s="1" t="s">
        <v>1858</v>
      </c>
      <c r="Z381" s="1" t="s">
        <v>1859</v>
      </c>
      <c r="AA381" s="1" t="s">
        <v>1860</v>
      </c>
      <c r="AB381" s="1"/>
      <c r="AC381" s="1"/>
      <c r="AD381" s="1"/>
      <c r="AE381" s="1"/>
      <c r="AF381" s="1" t="s">
        <v>651</v>
      </c>
      <c r="AG381" s="2" t="str">
        <f>"0983477574"</f>
        <v>0983477574</v>
      </c>
      <c r="AH381" s="2" t="str">
        <f>"9780983477570"</f>
        <v>9780983477570</v>
      </c>
      <c r="AI381" s="1">
        <v>0.0</v>
      </c>
      <c r="AJ381" s="1">
        <v>3.61</v>
      </c>
      <c r="AK381" s="1" t="s">
        <v>1861</v>
      </c>
      <c r="AL381" s="1" t="s">
        <v>28</v>
      </c>
      <c r="AM381" s="1">
        <v>240.0</v>
      </c>
      <c r="AN381" s="1">
        <v>2012.0</v>
      </c>
      <c r="AO381" s="1">
        <v>2012.0</v>
      </c>
      <c r="AQ381" s="3">
        <v>41704.0</v>
      </c>
      <c r="AR381" s="1" t="s">
        <v>388</v>
      </c>
      <c r="AS381" s="1" t="s">
        <v>1862</v>
      </c>
      <c r="AT381" s="1" t="s">
        <v>31</v>
      </c>
      <c r="AX381" s="1">
        <v>0.0</v>
      </c>
      <c r="AY381" s="1">
        <v>0.0</v>
      </c>
    </row>
    <row r="382" spans="20:51" ht="15.75">
      <c r="T382" s="1">
        <v>31491.0</v>
      </c>
      <c r="U382" s="1"/>
      <c r="V382" s="1"/>
      <c r="W382" s="1"/>
      <c r="X382" s="1"/>
      <c r="Y382" s="1" t="s">
        <v>1863</v>
      </c>
      <c r="Z382" s="1" t="s">
        <v>918</v>
      </c>
      <c r="AA382" s="1" t="s">
        <v>919</v>
      </c>
      <c r="AB382" s="1"/>
      <c r="AC382" s="1"/>
      <c r="AD382" s="1"/>
      <c r="AE382" s="1"/>
      <c r="AF382" s="1" t="s">
        <v>1864</v>
      </c>
      <c r="AG382" s="2" t="str">
        <f>"0451530306"</f>
        <v>0451530306</v>
      </c>
      <c r="AH382" s="2" t="str">
        <f>"9780451530301"</f>
        <v>9780451530301</v>
      </c>
      <c r="AI382" s="1">
        <v>0.0</v>
      </c>
      <c r="AJ382" s="1">
        <v>3.7</v>
      </c>
      <c r="AK382" s="1" t="s">
        <v>658</v>
      </c>
      <c r="AL382" s="1" t="s">
        <v>28</v>
      </c>
      <c r="AM382" s="1">
        <v>544.0</v>
      </c>
      <c r="AN382" s="1">
        <v>2009.0</v>
      </c>
      <c r="AO382" s="1">
        <v>1915.0</v>
      </c>
      <c r="AQ382" s="3">
        <v>41529.0</v>
      </c>
      <c r="AR382" s="1" t="s">
        <v>388</v>
      </c>
      <c r="AS382" s="1" t="s">
        <v>1865</v>
      </c>
      <c r="AT382" s="1" t="s">
        <v>31</v>
      </c>
      <c r="AX382" s="1">
        <v>0.0</v>
      </c>
      <c r="AY382" s="1">
        <v>0.0</v>
      </c>
    </row>
    <row r="383" spans="20:51" ht="15.75">
      <c r="T383" s="1">
        <v>3483.0</v>
      </c>
      <c r="U383" s="1"/>
      <c r="V383" s="1"/>
      <c r="W383" s="1"/>
      <c r="X383" s="1"/>
      <c r="Y383" s="1" t="s">
        <v>1866</v>
      </c>
      <c r="Z383" s="1" t="s">
        <v>1867</v>
      </c>
      <c r="AA383" s="1" t="s">
        <v>1868</v>
      </c>
      <c r="AB383" s="1"/>
      <c r="AC383" s="1"/>
      <c r="AD383" s="1"/>
      <c r="AE383" s="1"/>
      <c r="AG383" s="2" t="str">
        <f>"067003777X"</f>
        <v>067003777X</v>
      </c>
      <c r="AH383" s="2" t="str">
        <f>"9780670037773"</f>
        <v>9780670037773</v>
      </c>
      <c r="AI383" s="1">
        <v>0.0</v>
      </c>
      <c r="AJ383" s="1">
        <v>3.7</v>
      </c>
      <c r="AK383" s="1" t="s">
        <v>119</v>
      </c>
      <c r="AL383" s="1" t="s">
        <v>41</v>
      </c>
      <c r="AM383" s="1">
        <v>514.0</v>
      </c>
      <c r="AN383" s="1">
        <v>2006.0</v>
      </c>
      <c r="AO383" s="1">
        <v>2006.0</v>
      </c>
      <c r="AQ383" s="3">
        <v>41778.0</v>
      </c>
      <c r="AR383" s="1" t="s">
        <v>388</v>
      </c>
      <c r="AS383" s="1" t="s">
        <v>1869</v>
      </c>
      <c r="AT383" s="1" t="s">
        <v>31</v>
      </c>
      <c r="AX383" s="1">
        <v>0.0</v>
      </c>
      <c r="AY383" s="1">
        <v>0.0</v>
      </c>
    </row>
    <row r="384" spans="20:51" ht="15.75">
      <c r="T384" s="1">
        <v>1.0862133E7</v>
      </c>
      <c r="U384" s="1"/>
      <c r="V384" s="1"/>
      <c r="W384" s="1"/>
      <c r="X384" s="1"/>
      <c r="Y384" s="1" t="s">
        <v>1870</v>
      </c>
      <c r="Z384" s="1" t="s">
        <v>1871</v>
      </c>
      <c r="AA384" s="1" t="s">
        <v>1872</v>
      </c>
      <c r="AB384" s="1"/>
      <c r="AC384" s="1"/>
      <c r="AD384" s="1"/>
      <c r="AE384" s="1"/>
      <c r="AG384" s="2" t="str">
        <f>"014312028X"</f>
        <v>014312028X</v>
      </c>
      <c r="AH384" s="2" t="str">
        <f>"9780143120285"</f>
        <v>9780143120285</v>
      </c>
      <c r="AI384" s="1">
        <v>1.0</v>
      </c>
      <c r="AJ384" s="1">
        <v>3.61</v>
      </c>
      <c r="AK384" s="1" t="s">
        <v>460</v>
      </c>
      <c r="AL384" s="1" t="s">
        <v>28</v>
      </c>
      <c r="AM384" s="1">
        <v>304.0</v>
      </c>
      <c r="AN384" s="1">
        <v>2012.0</v>
      </c>
      <c r="AO384" s="1">
        <v>1957.0</v>
      </c>
      <c r="AP384" s="3">
        <v>41611.0</v>
      </c>
      <c r="AQ384" s="4">
        <v>41601.0</v>
      </c>
      <c r="AR384" s="1" t="s">
        <v>1792</v>
      </c>
      <c r="AS384" s="1" t="s">
        <v>1873</v>
      </c>
      <c r="AT384" s="1" t="s">
        <v>127</v>
      </c>
      <c r="AU384" s="1" t="s">
        <v>1874</v>
      </c>
      <c r="AX384" s="1">
        <v>1.0</v>
      </c>
      <c r="AY384" s="1">
        <v>0.0</v>
      </c>
    </row>
    <row r="385" spans="20:51" ht="15.75">
      <c r="T385" s="1">
        <v>274566.0</v>
      </c>
      <c r="U385" s="1"/>
      <c r="V385" s="1"/>
      <c r="W385" s="1"/>
      <c r="X385" s="1"/>
      <c r="Y385" s="1" t="s">
        <v>1875</v>
      </c>
      <c r="Z385" s="1" t="s">
        <v>1876</v>
      </c>
      <c r="AA385" s="1" t="s">
        <v>1877</v>
      </c>
      <c r="AB385" s="1"/>
      <c r="AC385" s="1"/>
      <c r="AD385" s="1"/>
      <c r="AE385" s="1"/>
      <c r="AF385" s="1" t="s">
        <v>1878</v>
      </c>
      <c r="AG385" s="2" t="str">
        <f>"1564783960"</f>
        <v>1564783960</v>
      </c>
      <c r="AH385" s="2" t="str">
        <f>"9781564783967"</f>
        <v>9781564783967</v>
      </c>
      <c r="AI385" s="1">
        <v>0.0</v>
      </c>
      <c r="AJ385" s="1">
        <v>4.06</v>
      </c>
      <c r="AK385" s="1" t="s">
        <v>27</v>
      </c>
      <c r="AL385" s="1" t="s">
        <v>28</v>
      </c>
      <c r="AM385" s="1">
        <v>328.0</v>
      </c>
      <c r="AN385" s="1">
        <v>2016.0</v>
      </c>
      <c r="AO385" s="1">
        <v>1989.0</v>
      </c>
      <c r="AQ385" s="3">
        <v>41763.0</v>
      </c>
      <c r="AR385" s="1" t="s">
        <v>388</v>
      </c>
      <c r="AS385" s="1" t="s">
        <v>1879</v>
      </c>
      <c r="AT385" s="1" t="s">
        <v>31</v>
      </c>
      <c r="AX385" s="1">
        <v>0.0</v>
      </c>
      <c r="AY385" s="1">
        <v>0.0</v>
      </c>
    </row>
    <row r="386" spans="20:51" ht="15.75">
      <c r="T386" s="1">
        <v>3067592.0</v>
      </c>
      <c r="U386" s="1"/>
      <c r="V386" s="1"/>
      <c r="W386" s="1"/>
      <c r="X386" s="1"/>
      <c r="Y386" s="1" t="s">
        <v>1880</v>
      </c>
      <c r="Z386" s="1" t="s">
        <v>1881</v>
      </c>
      <c r="AA386" s="1" t="s">
        <v>1882</v>
      </c>
      <c r="AB386" s="1"/>
      <c r="AC386" s="1"/>
      <c r="AD386" s="1"/>
      <c r="AE386" s="1"/>
      <c r="AG386" s="2" t="str">
        <f>"0812976711"</f>
        <v>0812976711</v>
      </c>
      <c r="AH386" s="2" t="str">
        <f>"9780812976717"</f>
        <v>9780812976717</v>
      </c>
      <c r="AI386" s="1">
        <v>0.0</v>
      </c>
      <c r="AJ386" s="1">
        <v>3.71</v>
      </c>
      <c r="AK386" s="1" t="s">
        <v>1883</v>
      </c>
      <c r="AL386" s="1" t="s">
        <v>28</v>
      </c>
      <c r="AM386" s="1">
        <v>576.0</v>
      </c>
      <c r="AN386" s="1">
        <v>2008.0</v>
      </c>
      <c r="AO386" s="1">
        <v>1988.0</v>
      </c>
      <c r="AQ386" s="3">
        <v>41365.0</v>
      </c>
      <c r="AR386" s="1" t="s">
        <v>388</v>
      </c>
      <c r="AS386" s="1" t="s">
        <v>1884</v>
      </c>
      <c r="AT386" s="1" t="s">
        <v>31</v>
      </c>
      <c r="AX386" s="1">
        <v>0.0</v>
      </c>
      <c r="AY386" s="1">
        <v>0.0</v>
      </c>
    </row>
    <row r="387" spans="20:51" ht="15.75">
      <c r="T387" s="1">
        <v>12395.0</v>
      </c>
      <c r="U387" s="1"/>
      <c r="V387" s="1"/>
      <c r="W387" s="1"/>
      <c r="X387" s="1"/>
      <c r="Y387" s="1" t="s">
        <v>1885</v>
      </c>
      <c r="Z387" s="1" t="s">
        <v>1886</v>
      </c>
      <c r="AA387" s="1" t="s">
        <v>1887</v>
      </c>
      <c r="AB387" s="1"/>
      <c r="AC387" s="1"/>
      <c r="AD387" s="1"/>
      <c r="AE387" s="1"/>
      <c r="AF387" s="1" t="s">
        <v>1888</v>
      </c>
      <c r="AG387" s="2" t="str">
        <f>"0811216543"</f>
        <v>0811216543</v>
      </c>
      <c r="AH387" s="2" t="str">
        <f>"9780811216548"</f>
        <v>9780811216548</v>
      </c>
      <c r="AI387" s="1">
        <v>0.0</v>
      </c>
      <c r="AJ387" s="1">
        <v>4.2</v>
      </c>
      <c r="AK387" s="1" t="s">
        <v>95</v>
      </c>
      <c r="AL387" s="1" t="s">
        <v>28</v>
      </c>
      <c r="AM387" s="1">
        <v>453.0</v>
      </c>
      <c r="AN387" s="1">
        <v>2006.0</v>
      </c>
      <c r="AO387" s="1">
        <v>1932.0</v>
      </c>
      <c r="AQ387" s="3">
        <v>41306.0</v>
      </c>
      <c r="AR387" s="1" t="s">
        <v>388</v>
      </c>
      <c r="AS387" s="1" t="s">
        <v>1889</v>
      </c>
      <c r="AT387" s="1" t="s">
        <v>31</v>
      </c>
      <c r="AX387" s="1">
        <v>0.0</v>
      </c>
      <c r="AY387" s="1">
        <v>0.0</v>
      </c>
    </row>
    <row r="388" spans="20:51" ht="15.75">
      <c r="T388" s="1">
        <v>250113.0</v>
      </c>
      <c r="U388" s="1"/>
      <c r="V388" s="1"/>
      <c r="W388" s="1"/>
      <c r="X388" s="1"/>
      <c r="Y388" s="1" t="s">
        <v>1890</v>
      </c>
      <c r="Z388" s="1" t="s">
        <v>1891</v>
      </c>
      <c r="AA388" s="1" t="s">
        <v>1892</v>
      </c>
      <c r="AB388" s="1"/>
      <c r="AC388" s="1"/>
      <c r="AD388" s="1"/>
      <c r="AE388" s="1"/>
      <c r="AF388" s="1" t="s">
        <v>1893</v>
      </c>
      <c r="AG388" s="2" t="str">
        <f>"0810117096"</f>
        <v>0810117096</v>
      </c>
      <c r="AH388" s="2" t="str">
        <f>"9780810117099"</f>
        <v>9780810117099</v>
      </c>
      <c r="AI388" s="1">
        <v>0.0</v>
      </c>
      <c r="AJ388" s="1">
        <v>3.82</v>
      </c>
      <c r="AK388" s="1" t="s">
        <v>1894</v>
      </c>
      <c r="AL388" s="1" t="s">
        <v>28</v>
      </c>
      <c r="AM388" s="1">
        <v>204.0</v>
      </c>
      <c r="AN388" s="1">
        <v>1998.0</v>
      </c>
      <c r="AO388" s="1">
        <v>1934.0</v>
      </c>
      <c r="AQ388" s="3">
        <v>41365.0</v>
      </c>
      <c r="AR388" s="1" t="s">
        <v>388</v>
      </c>
      <c r="AS388" s="1" t="s">
        <v>1895</v>
      </c>
      <c r="AT388" s="1" t="s">
        <v>31</v>
      </c>
      <c r="AX388" s="1">
        <v>0.0</v>
      </c>
      <c r="AY388" s="1">
        <v>0.0</v>
      </c>
    </row>
    <row r="389" spans="20:51" ht="15.75">
      <c r="T389" s="1">
        <v>53925.0</v>
      </c>
      <c r="U389" s="1"/>
      <c r="V389" s="1"/>
      <c r="W389" s="1"/>
      <c r="X389" s="1"/>
      <c r="Y389" s="1" t="s">
        <v>1896</v>
      </c>
      <c r="Z389" s="1" t="s">
        <v>1897</v>
      </c>
      <c r="AA389" s="1" t="s">
        <v>1898</v>
      </c>
      <c r="AB389" s="1"/>
      <c r="AC389" s="1"/>
      <c r="AD389" s="1"/>
      <c r="AE389" s="1"/>
      <c r="AG389" s="2" t="str">
        <f>"0571139612"</f>
        <v>0571139612</v>
      </c>
      <c r="AH389" s="2" t="str">
        <f>"9780571139613"</f>
        <v>9780571139613</v>
      </c>
      <c r="AI389" s="1">
        <v>0.0</v>
      </c>
      <c r="AJ389" s="1">
        <v>4.24</v>
      </c>
      <c r="AK389" s="1" t="s">
        <v>1899</v>
      </c>
      <c r="AL389" s="1" t="s">
        <v>28</v>
      </c>
      <c r="AM389" s="1">
        <v>568.0</v>
      </c>
      <c r="AN389" s="1">
        <v>1986.0</v>
      </c>
      <c r="AO389" s="1">
        <v>1981.0</v>
      </c>
      <c r="AQ389" s="3">
        <v>41494.0</v>
      </c>
      <c r="AR389" s="1" t="s">
        <v>388</v>
      </c>
      <c r="AS389" s="1" t="s">
        <v>1900</v>
      </c>
      <c r="AT389" s="1" t="s">
        <v>31</v>
      </c>
      <c r="AX389" s="1">
        <v>0.0</v>
      </c>
      <c r="AY389" s="1">
        <v>0.0</v>
      </c>
    </row>
    <row r="390" spans="20:51" ht="15.75">
      <c r="T390" s="1">
        <v>9717.0</v>
      </c>
      <c r="U390" s="1"/>
      <c r="V390" s="1"/>
      <c r="W390" s="1"/>
      <c r="X390" s="1"/>
      <c r="Y390" s="1" t="s">
        <v>1901</v>
      </c>
      <c r="Z390" s="1" t="s">
        <v>1902</v>
      </c>
      <c r="AA390" s="1" t="s">
        <v>1903</v>
      </c>
      <c r="AB390" s="1"/>
      <c r="AC390" s="1"/>
      <c r="AD390" s="1"/>
      <c r="AE390" s="1"/>
      <c r="AF390" s="1" t="s">
        <v>1904</v>
      </c>
      <c r="AG390" s="2" t="str">
        <f>"0571224385"</f>
        <v>0571224385</v>
      </c>
      <c r="AH390" s="2" t="str">
        <f>"9780571224388"</f>
        <v>9780571224388</v>
      </c>
      <c r="AI390" s="1">
        <v>0.0</v>
      </c>
      <c r="AJ390" s="1">
        <v>4.11</v>
      </c>
      <c r="AK390" s="1" t="s">
        <v>474</v>
      </c>
      <c r="AL390" s="1" t="s">
        <v>28</v>
      </c>
      <c r="AM390" s="1">
        <v>314.0</v>
      </c>
      <c r="AN390" s="1">
        <v>2009.0</v>
      </c>
      <c r="AO390" s="1">
        <v>1984.0</v>
      </c>
      <c r="AQ390" s="3">
        <v>41494.0</v>
      </c>
      <c r="AR390" s="1" t="s">
        <v>388</v>
      </c>
      <c r="AS390" s="1" t="s">
        <v>1905</v>
      </c>
      <c r="AT390" s="1" t="s">
        <v>31</v>
      </c>
      <c r="AX390" s="1">
        <v>0.0</v>
      </c>
      <c r="AY390" s="1">
        <v>0.0</v>
      </c>
    </row>
    <row r="391" spans="20:51" ht="15.75">
      <c r="T391" s="1">
        <v>193585.0</v>
      </c>
      <c r="U391" s="1"/>
      <c r="V391" s="1"/>
      <c r="W391" s="1"/>
      <c r="X391" s="1"/>
      <c r="Y391" s="1" t="s">
        <v>1906</v>
      </c>
      <c r="Z391" s="1" t="s">
        <v>1907</v>
      </c>
      <c r="AA391" s="1" t="s">
        <v>1908</v>
      </c>
      <c r="AB391" s="1"/>
      <c r="AC391" s="1"/>
      <c r="AD391" s="1"/>
      <c r="AE391" s="1"/>
      <c r="AG391" s="2" t="str">
        <f>"0810124270"</f>
        <v>0810124270</v>
      </c>
      <c r="AH391" s="2" t="str">
        <f>"9780810124271"</f>
        <v>9780810124271</v>
      </c>
      <c r="AI391" s="1">
        <v>0.0</v>
      </c>
      <c r="AJ391" s="1">
        <v>4.33</v>
      </c>
      <c r="AK391" s="1" t="s">
        <v>1894</v>
      </c>
      <c r="AL391" s="1" t="s">
        <v>28</v>
      </c>
      <c r="AM391" s="1">
        <v>464.0</v>
      </c>
      <c r="AN391" s="1">
        <v>2007.0</v>
      </c>
      <c r="AO391" s="1">
        <v>2005.0</v>
      </c>
      <c r="AQ391" s="3">
        <v>41365.0</v>
      </c>
      <c r="AR391" s="1" t="s">
        <v>388</v>
      </c>
      <c r="AS391" s="1" t="s">
        <v>1909</v>
      </c>
      <c r="AT391" s="1" t="s">
        <v>31</v>
      </c>
      <c r="AX391" s="1">
        <v>0.0</v>
      </c>
      <c r="AY391" s="1">
        <v>0.0</v>
      </c>
    </row>
    <row r="392" spans="20:51" ht="15.75">
      <c r="T392" s="1">
        <v>179780.0</v>
      </c>
      <c r="U392" s="1"/>
      <c r="V392" s="1"/>
      <c r="W392" s="1"/>
      <c r="X392" s="1"/>
      <c r="Y392" s="1" t="s">
        <v>1910</v>
      </c>
      <c r="Z392" s="1" t="s">
        <v>1911</v>
      </c>
      <c r="AA392" s="1" t="s">
        <v>1912</v>
      </c>
      <c r="AB392" s="1"/>
      <c r="AC392" s="1"/>
      <c r="AD392" s="1"/>
      <c r="AE392" s="1"/>
      <c r="AG392" s="2" t="str">
        <f t="shared" si="26" ref="AG392:AH392">""</f>
        <v/>
      </c>
      <c r="AH392" s="2" t="str">
        <f t="shared" si="26"/>
        <v/>
      </c>
      <c r="AI392" s="1">
        <v>0.0</v>
      </c>
      <c r="AJ392" s="1">
        <v>4.2</v>
      </c>
      <c r="AK392" s="1" t="s">
        <v>1913</v>
      </c>
      <c r="AL392" s="1" t="s">
        <v>315</v>
      </c>
      <c r="AM392" s="1">
        <v>385.0</v>
      </c>
      <c r="AN392" s="1">
        <v>1994.0</v>
      </c>
      <c r="AO392" s="1">
        <v>1971.0</v>
      </c>
      <c r="AQ392" s="3">
        <v>41035.0</v>
      </c>
      <c r="AR392" s="1" t="s">
        <v>388</v>
      </c>
      <c r="AS392" s="1" t="s">
        <v>1914</v>
      </c>
      <c r="AT392" s="1" t="s">
        <v>31</v>
      </c>
      <c r="AX392" s="1">
        <v>0.0</v>
      </c>
      <c r="AY392" s="1">
        <v>0.0</v>
      </c>
    </row>
    <row r="393" spans="20:51" ht="15.75">
      <c r="T393" s="1">
        <v>4395.0</v>
      </c>
      <c r="U393" s="1"/>
      <c r="V393" s="1"/>
      <c r="W393" s="1"/>
      <c r="X393" s="1"/>
      <c r="Y393" s="1" t="s">
        <v>1915</v>
      </c>
      <c r="Z393" s="1" t="s">
        <v>1916</v>
      </c>
      <c r="AA393" s="1" t="s">
        <v>1917</v>
      </c>
      <c r="AB393" s="1"/>
      <c r="AC393" s="1"/>
      <c r="AD393" s="1"/>
      <c r="AE393" s="1"/>
      <c r="AG393" s="2" t="str">
        <f t="shared" si="27" ref="AG393:AH393">""</f>
        <v/>
      </c>
      <c r="AH393" s="2" t="str">
        <f t="shared" si="27"/>
        <v/>
      </c>
      <c r="AI393" s="1">
        <v>0.0</v>
      </c>
      <c r="AJ393" s="1">
        <v>4.0</v>
      </c>
      <c r="AK393" s="1" t="s">
        <v>460</v>
      </c>
      <c r="AL393" s="1" t="s">
        <v>28</v>
      </c>
      <c r="AM393" s="1">
        <v>455.0</v>
      </c>
      <c r="AN393" s="1">
        <v>2002.0</v>
      </c>
      <c r="AO393" s="1">
        <v>1939.0</v>
      </c>
      <c r="AQ393" s="3">
        <v>41049.0</v>
      </c>
      <c r="AR393" s="1" t="s">
        <v>388</v>
      </c>
      <c r="AS393" s="1" t="s">
        <v>1918</v>
      </c>
      <c r="AT393" s="1" t="s">
        <v>31</v>
      </c>
      <c r="AX393" s="1">
        <v>0.0</v>
      </c>
      <c r="AY393" s="1">
        <v>0.0</v>
      </c>
    </row>
    <row r="394" spans="20:51" ht="15.75">
      <c r="T394" s="1">
        <v>293101.0</v>
      </c>
      <c r="U394" s="1"/>
      <c r="V394" s="1"/>
      <c r="W394" s="1"/>
      <c r="X394" s="1"/>
      <c r="Y394" s="1" t="s">
        <v>1919</v>
      </c>
      <c r="Z394" s="1" t="s">
        <v>1920</v>
      </c>
      <c r="AA394" s="1" t="s">
        <v>1921</v>
      </c>
      <c r="AB394" s="1"/>
      <c r="AC394" s="1"/>
      <c r="AD394" s="1"/>
      <c r="AE394" s="1"/>
      <c r="AG394" s="2" t="str">
        <f>"0553116606"</f>
        <v>0553116606</v>
      </c>
      <c r="AH394" s="2" t="str">
        <f>"9780553116601"</f>
        <v>9780553116601</v>
      </c>
      <c r="AI394" s="1">
        <v>0.0</v>
      </c>
      <c r="AJ394" s="1">
        <v>3.84</v>
      </c>
      <c r="AK394" s="1" t="s">
        <v>1922</v>
      </c>
      <c r="AL394" s="1" t="s">
        <v>315</v>
      </c>
      <c r="AM394" s="1">
        <v>315.0</v>
      </c>
      <c r="AN394" s="1">
        <v>1978.0</v>
      </c>
      <c r="AO394" s="1">
        <v>1977.0</v>
      </c>
      <c r="AQ394" s="3">
        <v>41035.0</v>
      </c>
      <c r="AR394" s="1" t="s">
        <v>388</v>
      </c>
      <c r="AS394" s="1" t="s">
        <v>1923</v>
      </c>
      <c r="AT394" s="1" t="s">
        <v>31</v>
      </c>
      <c r="AX394" s="1">
        <v>0.0</v>
      </c>
      <c r="AY394" s="1">
        <v>0.0</v>
      </c>
    </row>
    <row r="395" spans="20:51" ht="15.75">
      <c r="T395" s="1">
        <v>6288.0</v>
      </c>
      <c r="U395" s="1"/>
      <c r="V395" s="1"/>
      <c r="W395" s="1"/>
      <c r="X395" s="1"/>
      <c r="Y395" s="1" t="s">
        <v>1924</v>
      </c>
      <c r="Z395" s="1" t="s">
        <v>1925</v>
      </c>
      <c r="AA395" s="1" t="s">
        <v>1926</v>
      </c>
      <c r="AB395" s="1"/>
      <c r="AC395" s="1"/>
      <c r="AD395" s="1"/>
      <c r="AE395" s="1"/>
      <c r="AG395" s="2" t="str">
        <f>"0307265439"</f>
        <v>0307265439</v>
      </c>
      <c r="AH395" s="2" t="str">
        <f>"9780307265432"</f>
        <v>9780307265432</v>
      </c>
      <c r="AI395" s="1">
        <v>0.0</v>
      </c>
      <c r="AJ395" s="1">
        <v>3.98</v>
      </c>
      <c r="AK395" s="1" t="s">
        <v>1736</v>
      </c>
      <c r="AL395" s="1" t="s">
        <v>41</v>
      </c>
      <c r="AM395" s="1">
        <v>241.0</v>
      </c>
      <c r="AN395" s="1">
        <v>2006.0</v>
      </c>
      <c r="AO395" s="1">
        <v>2006.0</v>
      </c>
      <c r="AQ395" s="3">
        <v>41035.0</v>
      </c>
      <c r="AR395" s="1" t="s">
        <v>388</v>
      </c>
      <c r="AS395" s="1" t="s">
        <v>1927</v>
      </c>
      <c r="AT395" s="1" t="s">
        <v>31</v>
      </c>
      <c r="AX395" s="1">
        <v>0.0</v>
      </c>
      <c r="AY395" s="1">
        <v>0.0</v>
      </c>
    </row>
    <row r="396" spans="20:51" ht="15.75">
      <c r="T396" s="1">
        <v>63038.0</v>
      </c>
      <c r="U396" s="1"/>
      <c r="V396" s="1"/>
      <c r="W396" s="1"/>
      <c r="X396" s="1"/>
      <c r="Y396" s="1" t="s">
        <v>1928</v>
      </c>
      <c r="Z396" s="1" t="s">
        <v>1929</v>
      </c>
      <c r="AA396" s="1" t="s">
        <v>1930</v>
      </c>
      <c r="AB396" s="1"/>
      <c r="AC396" s="1"/>
      <c r="AD396" s="1"/>
      <c r="AE396" s="1"/>
      <c r="AG396" s="2" t="str">
        <f>"1934169005"</f>
        <v>1934169005</v>
      </c>
      <c r="AH396" s="2" t="str">
        <f>"9781934169001"</f>
        <v>9781934169001</v>
      </c>
      <c r="AI396" s="1">
        <v>0.0</v>
      </c>
      <c r="AJ396" s="1">
        <v>4.24</v>
      </c>
      <c r="AK396" s="1" t="s">
        <v>1931</v>
      </c>
      <c r="AL396" s="1" t="s">
        <v>28</v>
      </c>
      <c r="AM396" s="1">
        <v>672.0</v>
      </c>
      <c r="AN396" s="1">
        <v>2006.0</v>
      </c>
      <c r="AO396" s="1">
        <v>1869.0</v>
      </c>
      <c r="AQ396" s="3">
        <v>41043.0</v>
      </c>
      <c r="AR396" s="1" t="s">
        <v>388</v>
      </c>
      <c r="AS396" s="1" t="s">
        <v>1932</v>
      </c>
      <c r="AT396" s="1" t="s">
        <v>31</v>
      </c>
      <c r="AX396" s="1">
        <v>0.0</v>
      </c>
      <c r="AY396" s="1">
        <v>0.0</v>
      </c>
    </row>
    <row r="397" spans="20:51" ht="15.75">
      <c r="T397" s="1">
        <v>890.0</v>
      </c>
      <c r="U397" s="1"/>
      <c r="V397" s="1"/>
      <c r="W397" s="1"/>
      <c r="X397" s="1"/>
      <c r="Y397" s="1" t="s">
        <v>1933</v>
      </c>
      <c r="Z397" s="1" t="s">
        <v>1916</v>
      </c>
      <c r="AA397" s="1" t="s">
        <v>1917</v>
      </c>
      <c r="AB397" s="1"/>
      <c r="AC397" s="1"/>
      <c r="AD397" s="1"/>
      <c r="AE397" s="1"/>
      <c r="AG397" s="2" t="str">
        <f>"0142000671"</f>
        <v>0142000671</v>
      </c>
      <c r="AH397" s="2" t="str">
        <f>"9780142000670"</f>
        <v>9780142000670</v>
      </c>
      <c r="AI397" s="1">
        <v>0.0</v>
      </c>
      <c r="AJ397" s="1">
        <v>3.88</v>
      </c>
      <c r="AK397" s="1" t="s">
        <v>460</v>
      </c>
      <c r="AL397" s="1" t="s">
        <v>28</v>
      </c>
      <c r="AM397" s="1">
        <v>107.0</v>
      </c>
      <c r="AN397" s="1">
        <v>2002.0</v>
      </c>
      <c r="AO397" s="1">
        <v>1937.0</v>
      </c>
      <c r="AP397" s="3">
        <v>41066.0</v>
      </c>
      <c r="AQ397" s="3">
        <v>41064.0</v>
      </c>
      <c r="AR397" s="1" t="s">
        <v>1792</v>
      </c>
      <c r="AS397" s="1" t="s">
        <v>1934</v>
      </c>
      <c r="AT397" s="1" t="s">
        <v>127</v>
      </c>
      <c r="AX397" s="1">
        <v>1.0</v>
      </c>
      <c r="AY397" s="1">
        <v>0.0</v>
      </c>
    </row>
    <row r="398" spans="20:51" ht="15.75">
      <c r="T398" s="1">
        <v>228296.0</v>
      </c>
      <c r="U398" s="1"/>
      <c r="V398" s="1"/>
      <c r="W398" s="1"/>
      <c r="X398" s="1"/>
      <c r="Y398" s="1" t="s">
        <v>1935</v>
      </c>
      <c r="Z398" s="1" t="s">
        <v>1936</v>
      </c>
      <c r="AA398" s="1" t="s">
        <v>1937</v>
      </c>
      <c r="AB398" s="1"/>
      <c r="AC398" s="1"/>
      <c r="AD398" s="1"/>
      <c r="AE398" s="1"/>
      <c r="AG398" s="2" t="str">
        <f>"0451194004"</f>
        <v>0451194004</v>
      </c>
      <c r="AH398" s="2" t="str">
        <f>"9780451194008"</f>
        <v>9780451194008</v>
      </c>
      <c r="AI398" s="1">
        <v>5.0</v>
      </c>
      <c r="AJ398" s="1">
        <v>4.03</v>
      </c>
      <c r="AK398" s="1" t="s">
        <v>658</v>
      </c>
      <c r="AL398" s="1" t="s">
        <v>41</v>
      </c>
      <c r="AM398" s="1">
        <v>308.0</v>
      </c>
      <c r="AN398" s="1">
        <v>1997.0</v>
      </c>
      <c r="AO398" s="1">
        <v>1967.0</v>
      </c>
      <c r="AP398" s="4">
        <v>41241.0</v>
      </c>
      <c r="AQ398" s="3">
        <v>41035.0</v>
      </c>
      <c r="AR398" s="1" t="s">
        <v>388</v>
      </c>
      <c r="AS398" s="1" t="s">
        <v>1938</v>
      </c>
      <c r="AT398" s="1" t="s">
        <v>31</v>
      </c>
      <c r="AX398" s="1">
        <v>1.0</v>
      </c>
      <c r="AY398" s="1">
        <v>0.0</v>
      </c>
    </row>
    <row r="399" spans="20:51" ht="15.75">
      <c r="T399" s="1">
        <v>46945.0</v>
      </c>
      <c r="U399" s="1"/>
      <c r="V399" s="1"/>
      <c r="W399" s="1"/>
      <c r="X399" s="1"/>
      <c r="Y399" s="1" t="s">
        <v>1939</v>
      </c>
      <c r="Z399" s="1" t="s">
        <v>1940</v>
      </c>
      <c r="AA399" s="1" t="s">
        <v>1941</v>
      </c>
      <c r="AB399" s="1"/>
      <c r="AC399" s="1"/>
      <c r="AD399" s="1"/>
      <c r="AE399" s="1"/>
      <c r="AF399" s="1" t="s">
        <v>1942</v>
      </c>
      <c r="AG399" s="2" t="str">
        <f>"1560252480"</f>
        <v>1560252480</v>
      </c>
      <c r="AH399" s="2" t="str">
        <f>"9781560252481"</f>
        <v>9781560252481</v>
      </c>
      <c r="AI399" s="1">
        <v>0.0</v>
      </c>
      <c r="AJ399" s="1">
        <v>4.1</v>
      </c>
      <c r="AK399" s="1" t="s">
        <v>304</v>
      </c>
      <c r="AL399" s="1" t="s">
        <v>28</v>
      </c>
      <c r="AM399" s="1">
        <v>279.0</v>
      </c>
      <c r="AN399" s="1">
        <v>1999.0</v>
      </c>
      <c r="AO399" s="1">
        <v>1978.0</v>
      </c>
      <c r="AP399" s="3">
        <v>41057.0</v>
      </c>
      <c r="AQ399" s="3">
        <v>41035.0</v>
      </c>
      <c r="AR399" s="1" t="s">
        <v>1792</v>
      </c>
      <c r="AS399" s="1" t="s">
        <v>1943</v>
      </c>
      <c r="AT399" s="1" t="s">
        <v>127</v>
      </c>
      <c r="AX399" s="1">
        <v>1.0</v>
      </c>
      <c r="AY399" s="1">
        <v>0.0</v>
      </c>
    </row>
    <row r="400" spans="20:51" ht="15.75">
      <c r="T400" s="1">
        <v>5107.0</v>
      </c>
      <c r="U400" s="1"/>
      <c r="V400" s="1"/>
      <c r="W400" s="1"/>
      <c r="X400" s="1"/>
      <c r="Y400" s="1" t="s">
        <v>1944</v>
      </c>
      <c r="Z400" s="1" t="s">
        <v>1945</v>
      </c>
      <c r="AA400" s="1" t="s">
        <v>1946</v>
      </c>
      <c r="AB400" s="1"/>
      <c r="AC400" s="1"/>
      <c r="AD400" s="1"/>
      <c r="AE400" s="1"/>
      <c r="AG400" s="2" t="str">
        <f>"0316769177"</f>
        <v>0316769177</v>
      </c>
      <c r="AH400" s="2" t="str">
        <f>"9780316769174"</f>
        <v>9780316769174</v>
      </c>
      <c r="AI400" s="1">
        <v>0.0</v>
      </c>
      <c r="AJ400" s="1">
        <v>3.8</v>
      </c>
      <c r="AK400" s="1" t="s">
        <v>1717</v>
      </c>
      <c r="AL400" s="1" t="s">
        <v>28</v>
      </c>
      <c r="AM400" s="1">
        <v>234.0</v>
      </c>
      <c r="AN400" s="1">
        <v>2001.0</v>
      </c>
      <c r="AO400" s="1">
        <v>1951.0</v>
      </c>
      <c r="AP400" s="3">
        <v>41047.0</v>
      </c>
      <c r="AQ400" s="3">
        <v>41018.0</v>
      </c>
      <c r="AR400" s="1" t="s">
        <v>1792</v>
      </c>
      <c r="AS400" s="1" t="s">
        <v>1947</v>
      </c>
      <c r="AT400" s="1" t="s">
        <v>127</v>
      </c>
      <c r="AX400" s="1">
        <v>1.0</v>
      </c>
      <c r="AY400" s="1">
        <v>0.0</v>
      </c>
    </row>
    <row r="401" spans="20:51" ht="15.75">
      <c r="T401" s="1">
        <v>68783.0</v>
      </c>
      <c r="U401" s="1"/>
      <c r="V401" s="1"/>
      <c r="W401" s="1"/>
      <c r="X401" s="1"/>
      <c r="Y401" s="1" t="s">
        <v>1948</v>
      </c>
      <c r="Z401" s="1" t="s">
        <v>1949</v>
      </c>
      <c r="AA401" s="1" t="s">
        <v>1950</v>
      </c>
      <c r="AB401" s="1"/>
      <c r="AC401" s="1"/>
      <c r="AD401" s="1"/>
      <c r="AE401" s="1"/>
      <c r="AG401" s="2" t="str">
        <f>"0679746048"</f>
        <v>0679746048</v>
      </c>
      <c r="AH401" s="2" t="str">
        <f>"9780679746041"</f>
        <v>9780679746041</v>
      </c>
      <c r="AI401" s="1">
        <v>0.0</v>
      </c>
      <c r="AJ401" s="1">
        <v>3.93</v>
      </c>
      <c r="AK401" s="1" t="s">
        <v>83</v>
      </c>
      <c r="AL401" s="1" t="s">
        <v>28</v>
      </c>
      <c r="AM401" s="1">
        <v>169.0</v>
      </c>
      <c r="AN401" s="1">
        <v>1994.0</v>
      </c>
      <c r="AO401" s="1">
        <v>1993.0</v>
      </c>
      <c r="AQ401" s="3">
        <v>40915.0</v>
      </c>
      <c r="AR401" s="1" t="s">
        <v>388</v>
      </c>
      <c r="AS401" s="1" t="s">
        <v>1951</v>
      </c>
      <c r="AT401" s="1" t="s">
        <v>31</v>
      </c>
      <c r="AX401" s="1">
        <v>0.0</v>
      </c>
      <c r="AY401" s="1">
        <v>0.0</v>
      </c>
    </row>
    <row r="402" spans="20:51" ht="15.75">
      <c r="T402" s="1">
        <v>383022.0</v>
      </c>
      <c r="U402" s="1"/>
      <c r="V402" s="1"/>
      <c r="W402" s="1"/>
      <c r="X402" s="1"/>
      <c r="Y402" s="1" t="s">
        <v>1952</v>
      </c>
      <c r="Z402" s="1" t="s">
        <v>1953</v>
      </c>
      <c r="AA402" s="1" t="s">
        <v>1954</v>
      </c>
      <c r="AB402" s="1"/>
      <c r="AC402" s="1"/>
      <c r="AD402" s="1"/>
      <c r="AE402" s="1"/>
      <c r="AF402" s="1" t="s">
        <v>1955</v>
      </c>
      <c r="AG402" s="2" t="str">
        <f>"1583220089"</f>
        <v>1583220089</v>
      </c>
      <c r="AH402" s="2" t="str">
        <f>"9781583220085"</f>
        <v>9781583220085</v>
      </c>
      <c r="AI402" s="1">
        <v>0.0</v>
      </c>
      <c r="AJ402" s="1">
        <v>3.88</v>
      </c>
      <c r="AK402" s="1" t="s">
        <v>1956</v>
      </c>
      <c r="AL402" s="1" t="s">
        <v>28</v>
      </c>
      <c r="AM402" s="1">
        <v>464.0</v>
      </c>
      <c r="AN402" s="1">
        <v>1999.0</v>
      </c>
      <c r="AO402" s="1">
        <v>1949.0</v>
      </c>
      <c r="AQ402" s="3">
        <v>41035.0</v>
      </c>
      <c r="AR402" s="1" t="s">
        <v>388</v>
      </c>
      <c r="AS402" s="1" t="s">
        <v>1957</v>
      </c>
      <c r="AT402" s="1" t="s">
        <v>31</v>
      </c>
      <c r="AX402" s="1">
        <v>0.0</v>
      </c>
      <c r="AY402" s="1">
        <v>0.0</v>
      </c>
    </row>
    <row r="403" spans="20:51" ht="15.75" hidden="1">
      <c r="T403" s="1">
        <v>1027539.0</v>
      </c>
      <c r="U403" s="1"/>
      <c r="V403" s="1"/>
      <c r="W403" s="1"/>
      <c r="X403" s="1"/>
      <c r="Y403" s="1" t="s">
        <v>1958</v>
      </c>
      <c r="Z403" s="1" t="s">
        <v>1959</v>
      </c>
      <c r="AA403" s="1" t="s">
        <v>1960</v>
      </c>
      <c r="AB403" s="1"/>
      <c r="AC403" s="1"/>
      <c r="AD403" s="1"/>
      <c r="AE403" s="1"/>
      <c r="AG403" s="2" t="str">
        <f>"0738202789"</f>
        <v>0738202789</v>
      </c>
      <c r="AH403" s="2" t="str">
        <f>"9780738202785"</f>
        <v>9780738202785</v>
      </c>
      <c r="AI403" s="1">
        <v>0.0</v>
      </c>
      <c r="AJ403" s="1">
        <v>4.25</v>
      </c>
      <c r="AK403" s="1" t="s">
        <v>46</v>
      </c>
      <c r="AL403" s="1" t="s">
        <v>41</v>
      </c>
      <c r="AM403" s="1">
        <v>320.0</v>
      </c>
      <c r="AN403" s="1">
        <v>2002.0</v>
      </c>
      <c r="AO403" s="1">
        <v>2002.0</v>
      </c>
      <c r="AQ403" s="3">
        <v>45176.0</v>
      </c>
      <c r="AR403" s="1" t="s">
        <v>1961</v>
      </c>
      <c r="AS403" s="1" t="s">
        <v>1962</v>
      </c>
      <c r="AT403" s="1" t="s">
        <v>31</v>
      </c>
      <c r="AX403" s="1">
        <v>0.0</v>
      </c>
      <c r="AY403" s="1">
        <v>0.0</v>
      </c>
    </row>
    <row r="404" spans="20:51" ht="15.75" hidden="1">
      <c r="T404" s="1">
        <v>12609.0</v>
      </c>
      <c r="U404" s="1"/>
      <c r="V404" s="1"/>
      <c r="W404" s="1"/>
      <c r="X404" s="1"/>
      <c r="Y404" s="1" t="s">
        <v>1963</v>
      </c>
      <c r="Z404" s="1" t="s">
        <v>1964</v>
      </c>
      <c r="AA404" s="1" t="s">
        <v>1965</v>
      </c>
      <c r="AB404" s="1"/>
      <c r="AC404" s="1"/>
      <c r="AD404" s="1"/>
      <c r="AE404" s="1"/>
      <c r="AG404" s="2" t="str">
        <f>"0374525641"</f>
        <v>0374525641</v>
      </c>
      <c r="AH404" s="2" t="str">
        <f>"9780374525644"</f>
        <v>9780374525644</v>
      </c>
      <c r="AI404" s="1">
        <v>0.0</v>
      </c>
      <c r="AJ404" s="1">
        <v>4.19</v>
      </c>
      <c r="AK404" s="1" t="s">
        <v>1966</v>
      </c>
      <c r="AL404" s="1" t="s">
        <v>28</v>
      </c>
      <c r="AM404" s="1">
        <v>341.0</v>
      </c>
      <c r="AN404" s="1">
        <v>2007.0</v>
      </c>
      <c r="AO404" s="1">
        <v>1997.0</v>
      </c>
      <c r="AQ404" s="3">
        <v>45177.0</v>
      </c>
      <c r="AR404" s="1" t="s">
        <v>1967</v>
      </c>
      <c r="AS404" s="1" t="s">
        <v>1968</v>
      </c>
      <c r="AT404" s="1" t="s">
        <v>31</v>
      </c>
      <c r="AX404" s="1">
        <v>0.0</v>
      </c>
      <c r="AY404" s="1">
        <v>0.0</v>
      </c>
    </row>
    <row r="405" spans="20:51" ht="15.75" hidden="1">
      <c r="T405" s="1">
        <v>5.9012057E7</v>
      </c>
      <c r="U405" s="1"/>
      <c r="V405" s="1"/>
      <c r="W405" s="1"/>
      <c r="X405" s="1"/>
      <c r="Y405" s="1" t="s">
        <v>1969</v>
      </c>
      <c r="Z405" s="1" t="s">
        <v>1970</v>
      </c>
      <c r="AA405" s="1" t="s">
        <v>1971</v>
      </c>
      <c r="AB405" s="1"/>
      <c r="AC405" s="1"/>
      <c r="AD405" s="1"/>
      <c r="AE405" s="1"/>
      <c r="AF405" s="1" t="s">
        <v>1972</v>
      </c>
      <c r="AG405" s="2" t="str">
        <f>"1839763272"</f>
        <v>1839763272</v>
      </c>
      <c r="AH405" s="2" t="str">
        <f>"9781839763274"</f>
        <v>9781839763274</v>
      </c>
      <c r="AI405" s="1">
        <v>0.0</v>
      </c>
      <c r="AJ405" s="1">
        <v>3.57</v>
      </c>
      <c r="AK405" s="1" t="s">
        <v>1973</v>
      </c>
      <c r="AL405" s="1" t="s">
        <v>41</v>
      </c>
      <c r="AM405" s="1">
        <v>368.0</v>
      </c>
      <c r="AN405" s="1">
        <v>2022.0</v>
      </c>
      <c r="AO405" s="1">
        <v>2022.0</v>
      </c>
      <c r="AQ405" s="3">
        <v>45163.0</v>
      </c>
      <c r="AR405" s="1" t="s">
        <v>1967</v>
      </c>
      <c r="AS405" s="1" t="s">
        <v>1974</v>
      </c>
      <c r="AT405" s="1" t="s">
        <v>31</v>
      </c>
      <c r="AX405" s="1">
        <v>0.0</v>
      </c>
      <c r="AY405" s="1">
        <v>0.0</v>
      </c>
    </row>
    <row r="406" spans="20:51" ht="15.75" hidden="1">
      <c r="T406" s="1">
        <v>10302.0</v>
      </c>
      <c r="U406" s="1"/>
      <c r="V406" s="1"/>
      <c r="W406" s="1"/>
      <c r="X406" s="1"/>
      <c r="Y406" s="1" t="s">
        <v>1975</v>
      </c>
      <c r="Z406" s="1" t="s">
        <v>1976</v>
      </c>
      <c r="AA406" s="1" t="s">
        <v>1977</v>
      </c>
      <c r="AB406" s="1"/>
      <c r="AC406" s="1"/>
      <c r="AD406" s="1"/>
      <c r="AE406" s="1"/>
      <c r="AG406" s="2" t="str">
        <f>"0345308239"</f>
        <v>0345308239</v>
      </c>
      <c r="AH406" s="2" t="str">
        <f>"9780345308238"</f>
        <v>9780345308238</v>
      </c>
      <c r="AI406" s="1">
        <v>0.0</v>
      </c>
      <c r="AJ406" s="1">
        <v>4.02</v>
      </c>
      <c r="AK406" s="1" t="s">
        <v>988</v>
      </c>
      <c r="AL406" s="1" t="s">
        <v>28</v>
      </c>
      <c r="AM406" s="1">
        <v>447.0</v>
      </c>
      <c r="AN406" s="1">
        <v>1993.0</v>
      </c>
      <c r="AO406" s="1">
        <v>1984.0</v>
      </c>
      <c r="AQ406" s="3">
        <v>45163.0</v>
      </c>
      <c r="AR406" s="1" t="s">
        <v>1967</v>
      </c>
      <c r="AS406" s="1" t="s">
        <v>1978</v>
      </c>
      <c r="AT406" s="1" t="s">
        <v>31</v>
      </c>
      <c r="AX406" s="1">
        <v>0.0</v>
      </c>
      <c r="AY406" s="1">
        <v>0.0</v>
      </c>
    </row>
    <row r="407" spans="20:51" ht="15.75" hidden="1">
      <c r="T407" s="1">
        <v>13932.0</v>
      </c>
      <c r="U407" s="1"/>
      <c r="V407" s="1"/>
      <c r="W407" s="1"/>
      <c r="X407" s="1"/>
      <c r="Y407" s="1" t="s">
        <v>1979</v>
      </c>
      <c r="Z407" s="1" t="s">
        <v>112</v>
      </c>
      <c r="AA407" s="1" t="s">
        <v>1980</v>
      </c>
      <c r="AB407" s="1"/>
      <c r="AC407" s="1"/>
      <c r="AD407" s="1"/>
      <c r="AE407" s="1"/>
      <c r="AG407" s="2" t="str">
        <f>"0684854678"</f>
        <v>0684854678</v>
      </c>
      <c r="AH407" s="2" t="str">
        <f>"9780684854670"</f>
        <v>9780684854670</v>
      </c>
      <c r="AI407" s="1">
        <v>0.0</v>
      </c>
      <c r="AJ407" s="1">
        <v>4.2</v>
      </c>
      <c r="AK407" s="1" t="s">
        <v>101</v>
      </c>
      <c r="AL407" s="1" t="s">
        <v>28</v>
      </c>
      <c r="AM407" s="1">
        <v>578.0</v>
      </c>
      <c r="AN407" s="1">
        <v>2002.0</v>
      </c>
      <c r="AO407" s="1">
        <v>2000.0</v>
      </c>
      <c r="AQ407" s="3">
        <v>45126.0</v>
      </c>
      <c r="AR407" s="1" t="s">
        <v>1981</v>
      </c>
      <c r="AS407" s="1" t="s">
        <v>1982</v>
      </c>
      <c r="AT407" s="1" t="s">
        <v>1983</v>
      </c>
      <c r="AX407" s="1">
        <v>1.0</v>
      </c>
      <c r="AY407" s="1">
        <v>0.0</v>
      </c>
    </row>
    <row r="408" spans="20:51" ht="15.75" hidden="1">
      <c r="T408" s="1">
        <v>2.5069299E7</v>
      </c>
      <c r="U408" s="1"/>
      <c r="V408" s="1"/>
      <c r="W408" s="1"/>
      <c r="X408" s="1"/>
      <c r="Y408" s="1" t="s">
        <v>1984</v>
      </c>
      <c r="Z408" s="1" t="s">
        <v>1985</v>
      </c>
      <c r="AA408" s="1" t="s">
        <v>1986</v>
      </c>
      <c r="AB408" s="1"/>
      <c r="AC408" s="1"/>
      <c r="AD408" s="1"/>
      <c r="AE408" s="1"/>
      <c r="AG408" s="2" t="str">
        <f>"9502305841"</f>
        <v>9502305841</v>
      </c>
      <c r="AH408" s="2" t="str">
        <f>"9789502305844"</f>
        <v>9789502305844</v>
      </c>
      <c r="AI408" s="1">
        <v>0.0</v>
      </c>
      <c r="AJ408" s="1">
        <v>4.67</v>
      </c>
      <c r="AK408" s="1" t="s">
        <v>1987</v>
      </c>
      <c r="AL408" s="1" t="s">
        <v>28</v>
      </c>
      <c r="AM408" s="1">
        <v>496.0</v>
      </c>
      <c r="AN408" s="1">
        <v>1996.0</v>
      </c>
      <c r="AO408" s="1">
        <v>1984.0</v>
      </c>
      <c r="AQ408" s="3">
        <v>45155.0</v>
      </c>
      <c r="AR408" s="1" t="s">
        <v>1988</v>
      </c>
      <c r="AS408" s="1" t="s">
        <v>1989</v>
      </c>
      <c r="AT408" s="1" t="s">
        <v>31</v>
      </c>
      <c r="AW408" s="1" t="s">
        <v>1990</v>
      </c>
      <c r="AX408" s="1">
        <v>0.0</v>
      </c>
      <c r="AY408" s="1">
        <v>1.0</v>
      </c>
    </row>
    <row r="409" spans="20:51" ht="15.75" hidden="1">
      <c r="T409" s="1">
        <v>6314671.0</v>
      </c>
      <c r="U409" s="1"/>
      <c r="V409" s="1"/>
      <c r="W409" s="1"/>
      <c r="X409" s="1"/>
      <c r="Y409" s="1" t="s">
        <v>1991</v>
      </c>
      <c r="Z409" s="1" t="s">
        <v>1992</v>
      </c>
      <c r="AA409" s="1" t="s">
        <v>1993</v>
      </c>
      <c r="AB409" s="1"/>
      <c r="AC409" s="1"/>
      <c r="AD409" s="1"/>
      <c r="AE409" s="1"/>
      <c r="AG409" s="2" t="str">
        <f>"0307275175"</f>
        <v>0307275175</v>
      </c>
      <c r="AH409" s="2" t="str">
        <f>"9780307275172"</f>
        <v>9780307275172</v>
      </c>
      <c r="AI409" s="1">
        <v>0.0</v>
      </c>
      <c r="AJ409" s="1">
        <v>3.94</v>
      </c>
      <c r="AK409" s="1" t="s">
        <v>83</v>
      </c>
      <c r="AL409" s="1" t="s">
        <v>28</v>
      </c>
      <c r="AM409" s="1">
        <v>238.0</v>
      </c>
      <c r="AN409" s="1">
        <v>2009.0</v>
      </c>
      <c r="AO409" s="1">
        <v>2008.0</v>
      </c>
      <c r="AQ409" s="3">
        <v>45129.0</v>
      </c>
      <c r="AR409" s="1" t="s">
        <v>1988</v>
      </c>
      <c r="AS409" s="1" t="s">
        <v>1994</v>
      </c>
      <c r="AT409" s="1" t="s">
        <v>31</v>
      </c>
      <c r="AX409" s="1">
        <v>0.0</v>
      </c>
      <c r="AY409" s="1">
        <v>1.0</v>
      </c>
    </row>
    <row r="410" spans="20:51" ht="15.75" hidden="1">
      <c r="T410" s="1">
        <v>5.7693329E7</v>
      </c>
      <c r="U410" s="1"/>
      <c r="V410" s="1"/>
      <c r="W410" s="1"/>
      <c r="X410" s="1"/>
      <c r="Y410" s="1" t="s">
        <v>1995</v>
      </c>
      <c r="Z410" s="1" t="s">
        <v>1996</v>
      </c>
      <c r="AA410" s="1" t="s">
        <v>1997</v>
      </c>
      <c r="AB410" s="1"/>
      <c r="AC410" s="1"/>
      <c r="AD410" s="1"/>
      <c r="AE410" s="1"/>
      <c r="AG410" s="2" t="str">
        <f>"1250278511"</f>
        <v>1250278511</v>
      </c>
      <c r="AH410" s="2" t="str">
        <f>"9781250278517"</f>
        <v>9781250278517</v>
      </c>
      <c r="AI410" s="1">
        <v>0.0</v>
      </c>
      <c r="AJ410" s="1">
        <v>4.18</v>
      </c>
      <c r="AK410" s="1" t="s">
        <v>1998</v>
      </c>
      <c r="AL410" s="1" t="s">
        <v>41</v>
      </c>
      <c r="AM410" s="1">
        <v>320.0</v>
      </c>
      <c r="AN410" s="1">
        <v>2022.0</v>
      </c>
      <c r="AO410" s="1">
        <v>2022.0</v>
      </c>
      <c r="AQ410" s="3">
        <v>45143.0</v>
      </c>
      <c r="AR410" s="1" t="s">
        <v>1967</v>
      </c>
      <c r="AS410" s="1" t="s">
        <v>1999</v>
      </c>
      <c r="AT410" s="1" t="s">
        <v>31</v>
      </c>
      <c r="AX410" s="1">
        <v>0.0</v>
      </c>
      <c r="AY410" s="1">
        <v>0.0</v>
      </c>
    </row>
    <row r="411" spans="20:51" ht="15.75" hidden="1">
      <c r="T411" s="1">
        <v>52458.0</v>
      </c>
      <c r="U411" s="1"/>
      <c r="V411" s="1"/>
      <c r="W411" s="1"/>
      <c r="X411" s="1"/>
      <c r="Y411" s="1" t="s">
        <v>2000</v>
      </c>
      <c r="Z411" s="1" t="s">
        <v>2001</v>
      </c>
      <c r="AA411" s="1" t="s">
        <v>2002</v>
      </c>
      <c r="AB411" s="1"/>
      <c r="AC411" s="1"/>
      <c r="AD411" s="1"/>
      <c r="AE411" s="1"/>
      <c r="AF411" s="1" t="s">
        <v>2003</v>
      </c>
      <c r="AG411" s="2" t="str">
        <f>"039529696X"</f>
        <v>039529696X</v>
      </c>
      <c r="AH411" s="2" t="str">
        <f>"9780395296967"</f>
        <v>9780395296967</v>
      </c>
      <c r="AI411" s="1">
        <v>0.0</v>
      </c>
      <c r="AJ411" s="1">
        <v>4.0</v>
      </c>
      <c r="AK411" s="1" t="s">
        <v>2004</v>
      </c>
      <c r="AL411" s="1" t="s">
        <v>28</v>
      </c>
      <c r="AM411" s="1">
        <v>471.0</v>
      </c>
      <c r="AN411" s="1">
        <v>1980.0</v>
      </c>
      <c r="AO411" s="1">
        <v>1941.0</v>
      </c>
      <c r="AQ411" s="3">
        <v>45113.0</v>
      </c>
      <c r="AR411" s="1" t="s">
        <v>1988</v>
      </c>
      <c r="AS411" s="1" t="s">
        <v>2005</v>
      </c>
      <c r="AT411" s="1" t="s">
        <v>31</v>
      </c>
      <c r="AX411" s="1">
        <v>1.0</v>
      </c>
      <c r="AY411" s="1">
        <v>1.0</v>
      </c>
    </row>
    <row r="412" spans="20:51" ht="15.75" hidden="1">
      <c r="T412" s="1">
        <v>974419.0</v>
      </c>
      <c r="U412" s="1"/>
      <c r="V412" s="1"/>
      <c r="W412" s="1"/>
      <c r="X412" s="1"/>
      <c r="Y412" s="1" t="s">
        <v>2006</v>
      </c>
      <c r="Z412" s="1" t="s">
        <v>2007</v>
      </c>
      <c r="AA412" s="1" t="s">
        <v>2008</v>
      </c>
      <c r="AB412" s="1"/>
      <c r="AC412" s="1"/>
      <c r="AD412" s="1"/>
      <c r="AE412" s="1"/>
      <c r="AG412" s="2" t="str">
        <f>"014101038X"</f>
        <v>014101038X</v>
      </c>
      <c r="AH412" s="2" t="str">
        <f>"9780141010380"</f>
        <v>9780141010380</v>
      </c>
      <c r="AI412" s="1">
        <v>0.0</v>
      </c>
      <c r="AJ412" s="1">
        <v>3.87</v>
      </c>
      <c r="AK412" s="1" t="s">
        <v>584</v>
      </c>
      <c r="AL412" s="1" t="s">
        <v>28</v>
      </c>
      <c r="AM412" s="1">
        <v>288.0</v>
      </c>
      <c r="AN412" s="1">
        <v>2003.0</v>
      </c>
      <c r="AO412" s="1">
        <v>2002.0</v>
      </c>
      <c r="AQ412" s="3">
        <v>45114.0</v>
      </c>
      <c r="AR412" s="1" t="s">
        <v>1988</v>
      </c>
      <c r="AS412" s="1" t="s">
        <v>2009</v>
      </c>
      <c r="AT412" s="1" t="s">
        <v>31</v>
      </c>
      <c r="AX412" s="1">
        <v>0.0</v>
      </c>
      <c r="AY412" s="1">
        <v>1.0</v>
      </c>
    </row>
    <row r="413" spans="20:51" ht="15.75" hidden="1">
      <c r="T413" s="1">
        <v>7951815.0</v>
      </c>
      <c r="U413" s="1"/>
      <c r="V413" s="1"/>
      <c r="W413" s="1"/>
      <c r="X413" s="1"/>
      <c r="Y413" s="1" t="s">
        <v>2010</v>
      </c>
      <c r="Z413" s="1" t="s">
        <v>2011</v>
      </c>
      <c r="AA413" s="1" t="s">
        <v>2012</v>
      </c>
      <c r="AB413" s="1"/>
      <c r="AC413" s="1"/>
      <c r="AD413" s="1"/>
      <c r="AE413" s="1"/>
      <c r="AG413" s="2" t="str">
        <f>"0143118218"</f>
        <v>0143118218</v>
      </c>
      <c r="AH413" s="2" t="str">
        <f>"9780143118213"</f>
        <v>9780143118213</v>
      </c>
      <c r="AI413" s="1">
        <v>0.0</v>
      </c>
      <c r="AJ413" s="1">
        <v>4.26</v>
      </c>
      <c r="AK413" s="1" t="s">
        <v>460</v>
      </c>
      <c r="AL413" s="1" t="s">
        <v>28</v>
      </c>
      <c r="AM413" s="1">
        <v>290.0</v>
      </c>
      <c r="AN413" s="1">
        <v>2010.0</v>
      </c>
      <c r="AO413" s="1">
        <v>2009.0</v>
      </c>
      <c r="AQ413" s="3">
        <v>45113.0</v>
      </c>
      <c r="AR413" s="1" t="s">
        <v>1988</v>
      </c>
      <c r="AS413" s="1" t="s">
        <v>2013</v>
      </c>
      <c r="AT413" s="1" t="s">
        <v>31</v>
      </c>
      <c r="AX413" s="1">
        <v>0.0</v>
      </c>
      <c r="AY413" s="1">
        <v>1.0</v>
      </c>
    </row>
    <row r="414" spans="20:51" ht="15.75" hidden="1">
      <c r="T414" s="1">
        <v>1.9254342E7</v>
      </c>
      <c r="U414" s="1"/>
      <c r="V414" s="1"/>
      <c r="W414" s="1"/>
      <c r="X414" s="1"/>
      <c r="Y414" s="1" t="s">
        <v>2014</v>
      </c>
      <c r="Z414" s="1" t="s">
        <v>2015</v>
      </c>
      <c r="AA414" s="1" t="s">
        <v>2016</v>
      </c>
      <c r="AB414" s="1"/>
      <c r="AC414" s="1"/>
      <c r="AD414" s="1"/>
      <c r="AE414" s="1"/>
      <c r="AF414" s="1" t="s">
        <v>509</v>
      </c>
      <c r="AG414" s="2" t="str">
        <f t="shared" si="28" ref="AG414:AH414">""</f>
        <v/>
      </c>
      <c r="AH414" s="2" t="str">
        <f t="shared" si="28"/>
        <v/>
      </c>
      <c r="AI414" s="1">
        <v>0.0</v>
      </c>
      <c r="AJ414" s="1">
        <v>4.24</v>
      </c>
      <c r="AK414" s="1" t="s">
        <v>2017</v>
      </c>
      <c r="AL414" s="1" t="s">
        <v>59</v>
      </c>
      <c r="AM414" s="1">
        <v>394.0</v>
      </c>
      <c r="AN414" s="1">
        <v>2013.0</v>
      </c>
      <c r="AO414" s="1">
        <v>1982.0</v>
      </c>
      <c r="AQ414" s="3">
        <v>45113.0</v>
      </c>
      <c r="AR414" s="1" t="s">
        <v>1967</v>
      </c>
      <c r="AS414" s="1" t="s">
        <v>2018</v>
      </c>
      <c r="AT414" s="1" t="s">
        <v>31</v>
      </c>
      <c r="AX414" s="1">
        <v>0.0</v>
      </c>
      <c r="AY414" s="1">
        <v>0.0</v>
      </c>
    </row>
    <row r="415" spans="20:51" ht="15.75" hidden="1">
      <c r="T415" s="1">
        <v>89522.0</v>
      </c>
      <c r="U415" s="1"/>
      <c r="V415" s="1"/>
      <c r="W415" s="1"/>
      <c r="X415" s="1"/>
      <c r="Y415" s="1" t="s">
        <v>2019</v>
      </c>
      <c r="Z415" s="1" t="s">
        <v>2020</v>
      </c>
      <c r="AA415" s="1" t="s">
        <v>2021</v>
      </c>
      <c r="AB415" s="1"/>
      <c r="AC415" s="1"/>
      <c r="AD415" s="1"/>
      <c r="AE415" s="1"/>
      <c r="AF415" s="1" t="s">
        <v>2022</v>
      </c>
      <c r="AG415" s="2" t="str">
        <f>"0306811596"</f>
        <v>0306811596</v>
      </c>
      <c r="AH415" s="2" t="str">
        <f>"9780306811593"</f>
        <v>9780306811593</v>
      </c>
      <c r="AI415" s="1">
        <v>0.0</v>
      </c>
      <c r="AJ415" s="1">
        <v>3.72</v>
      </c>
      <c r="AK415" s="1" t="s">
        <v>304</v>
      </c>
      <c r="AL415" s="1" t="s">
        <v>28</v>
      </c>
      <c r="AM415" s="1">
        <v>269.0</v>
      </c>
      <c r="AN415" s="1">
        <v>2002.0</v>
      </c>
      <c r="AO415" s="1">
        <v>1995.0</v>
      </c>
      <c r="AQ415" s="3">
        <v>45113.0</v>
      </c>
      <c r="AR415" s="1" t="s">
        <v>1988</v>
      </c>
      <c r="AS415" s="1" t="s">
        <v>2023</v>
      </c>
      <c r="AT415" s="1" t="s">
        <v>31</v>
      </c>
      <c r="AX415" s="1">
        <v>0.0</v>
      </c>
      <c r="AY415" s="1">
        <v>1.0</v>
      </c>
    </row>
    <row r="416" spans="20:51" ht="15.75" hidden="1">
      <c r="T416" s="1">
        <v>3.5271203E7</v>
      </c>
      <c r="U416" s="1"/>
      <c r="V416" s="1"/>
      <c r="W416" s="1"/>
      <c r="X416" s="1"/>
      <c r="Y416" s="1" t="s">
        <v>2024</v>
      </c>
      <c r="Z416" s="1" t="s">
        <v>2025</v>
      </c>
      <c r="AA416" s="1" t="s">
        <v>2026</v>
      </c>
      <c r="AB416" s="1"/>
      <c r="AC416" s="1"/>
      <c r="AD416" s="1"/>
      <c r="AE416" s="1"/>
      <c r="AG416" s="2" t="str">
        <f>"0062390864"</f>
        <v>0062390864</v>
      </c>
      <c r="AH416" s="2" t="str">
        <f>"9780062390868"</f>
        <v>9780062390868</v>
      </c>
      <c r="AI416" s="1">
        <v>0.0</v>
      </c>
      <c r="AJ416" s="1">
        <v>3.91</v>
      </c>
      <c r="AK416" s="1" t="s">
        <v>2027</v>
      </c>
      <c r="AL416" s="1" t="s">
        <v>28</v>
      </c>
      <c r="AM416" s="1">
        <v>338.0</v>
      </c>
      <c r="AN416" s="1">
        <v>2018.0</v>
      </c>
      <c r="AO416" s="1">
        <v>2017.0</v>
      </c>
      <c r="AQ416" s="3">
        <v>45113.0</v>
      </c>
      <c r="AR416" s="1" t="s">
        <v>1988</v>
      </c>
      <c r="AS416" s="1" t="s">
        <v>2028</v>
      </c>
      <c r="AT416" s="1" t="s">
        <v>31</v>
      </c>
      <c r="AX416" s="1">
        <v>0.0</v>
      </c>
      <c r="AY416" s="1">
        <v>1.0</v>
      </c>
    </row>
    <row r="417" spans="20:51" ht="15.75" hidden="1">
      <c r="T417" s="1">
        <v>1657001.0</v>
      </c>
      <c r="U417" s="1"/>
      <c r="V417" s="1"/>
      <c r="W417" s="1"/>
      <c r="X417" s="1"/>
      <c r="Y417" s="1" t="s">
        <v>2029</v>
      </c>
      <c r="Z417" s="1" t="s">
        <v>2030</v>
      </c>
      <c r="AA417" s="1" t="s">
        <v>2031</v>
      </c>
      <c r="AB417" s="1"/>
      <c r="AC417" s="1"/>
      <c r="AD417" s="1"/>
      <c r="AE417" s="1"/>
      <c r="AF417" s="1" t="s">
        <v>2032</v>
      </c>
      <c r="AG417" s="2" t="str">
        <f>"1590172582"</f>
        <v>1590172582</v>
      </c>
      <c r="AH417" s="2" t="str">
        <f>"9781590172582"</f>
        <v>9781590172582</v>
      </c>
      <c r="AI417" s="1">
        <v>0.0</v>
      </c>
      <c r="AJ417" s="1">
        <v>4.13</v>
      </c>
      <c r="AK417" s="1" t="s">
        <v>77</v>
      </c>
      <c r="AL417" s="1" t="s">
        <v>28</v>
      </c>
      <c r="AM417" s="1">
        <v>312.0</v>
      </c>
      <c r="AN417" s="1">
        <v>2008.0</v>
      </c>
      <c r="AO417" s="1">
        <v>1936.0</v>
      </c>
      <c r="AQ417" s="3">
        <v>45102.0</v>
      </c>
      <c r="AR417" s="1" t="s">
        <v>1967</v>
      </c>
      <c r="AS417" s="1" t="s">
        <v>2033</v>
      </c>
      <c r="AT417" s="1" t="s">
        <v>31</v>
      </c>
      <c r="AX417" s="1">
        <v>0.0</v>
      </c>
      <c r="AY417" s="1">
        <v>0.0</v>
      </c>
    </row>
    <row r="418" spans="20:51" ht="15.75" hidden="1">
      <c r="T418" s="1">
        <v>7.5293505E7</v>
      </c>
      <c r="U418" s="1"/>
      <c r="V418" s="1"/>
      <c r="W418" s="1"/>
      <c r="X418" s="1"/>
      <c r="Y418" s="1" t="s">
        <v>2034</v>
      </c>
      <c r="Z418" s="1" t="s">
        <v>2035</v>
      </c>
      <c r="AA418" s="1" t="s">
        <v>2036</v>
      </c>
      <c r="AB418" s="1"/>
      <c r="AC418" s="1"/>
      <c r="AD418" s="1"/>
      <c r="AE418" s="1"/>
      <c r="AG418" s="2" t="str">
        <f>"0593448561"</f>
        <v>0593448561</v>
      </c>
      <c r="AH418" s="2" t="str">
        <f>"9780593448564"</f>
        <v>9780593448564</v>
      </c>
      <c r="AI418" s="1">
        <v>0.0</v>
      </c>
      <c r="AJ418" s="1">
        <v>4.21</v>
      </c>
      <c r="AK418" s="1" t="s">
        <v>988</v>
      </c>
      <c r="AL418" s="1" t="s">
        <v>41</v>
      </c>
      <c r="AM418" s="1">
        <v>352.0</v>
      </c>
      <c r="AN418" s="1">
        <v>2023.0</v>
      </c>
      <c r="AQ418" s="3">
        <v>45095.0</v>
      </c>
      <c r="AR418" s="1" t="s">
        <v>1967</v>
      </c>
      <c r="AS418" s="1" t="s">
        <v>2037</v>
      </c>
      <c r="AT418" s="1" t="s">
        <v>31</v>
      </c>
      <c r="AX418" s="1">
        <v>0.0</v>
      </c>
      <c r="AY418" s="1">
        <v>0.0</v>
      </c>
    </row>
    <row r="419" spans="20:51" ht="15.75" hidden="1">
      <c r="T419" s="1">
        <v>6.0323152E7</v>
      </c>
      <c r="U419" s="1"/>
      <c r="V419" s="1"/>
      <c r="W419" s="1"/>
      <c r="X419" s="1"/>
      <c r="Y419" s="1" t="s">
        <v>2038</v>
      </c>
      <c r="Z419" s="1" t="s">
        <v>2039</v>
      </c>
      <c r="AA419" s="1" t="s">
        <v>2040</v>
      </c>
      <c r="AB419" s="1"/>
      <c r="AC419" s="1"/>
      <c r="AD419" s="1"/>
      <c r="AE419" s="1"/>
      <c r="AG419" s="2" t="str">
        <f>"0063251280"</f>
        <v>0063251280</v>
      </c>
      <c r="AH419" s="2" t="str">
        <f>"9780063251281"</f>
        <v>9780063251281</v>
      </c>
      <c r="AI419" s="1">
        <v>0.0</v>
      </c>
      <c r="AJ419" s="1">
        <v>4.49</v>
      </c>
      <c r="AK419" s="1" t="s">
        <v>2027</v>
      </c>
      <c r="AL419" s="1" t="s">
        <v>41</v>
      </c>
      <c r="AM419" s="1">
        <v>496.0</v>
      </c>
      <c r="AN419" s="1">
        <v>2023.0</v>
      </c>
      <c r="AO419" s="1">
        <v>2023.0</v>
      </c>
      <c r="AQ419" s="3">
        <v>45088.0</v>
      </c>
      <c r="AR419" s="1" t="s">
        <v>2041</v>
      </c>
      <c r="AS419" s="1" t="s">
        <v>2042</v>
      </c>
      <c r="AT419" s="1" t="s">
        <v>31</v>
      </c>
      <c r="AX419" s="1">
        <v>0.0</v>
      </c>
      <c r="AY419" s="1">
        <v>0.0</v>
      </c>
    </row>
    <row r="420" spans="20:51" ht="15.75" hidden="1">
      <c r="T420" s="1">
        <v>3.5969564E7</v>
      </c>
      <c r="U420" s="1"/>
      <c r="V420" s="1"/>
      <c r="W420" s="1"/>
      <c r="X420" s="1"/>
      <c r="Y420" s="1" t="s">
        <v>2043</v>
      </c>
      <c r="Z420" s="1" t="s">
        <v>2044</v>
      </c>
      <c r="AA420" s="1" t="s">
        <v>2045</v>
      </c>
      <c r="AB420" s="1"/>
      <c r="AC420" s="1"/>
      <c r="AD420" s="1"/>
      <c r="AE420" s="1"/>
      <c r="AG420" s="2" t="str">
        <f>"1101911530"</f>
        <v>1101911530</v>
      </c>
      <c r="AH420" s="2" t="str">
        <f>"9781101911532"</f>
        <v>9781101911532</v>
      </c>
      <c r="AI420" s="1">
        <v>0.0</v>
      </c>
      <c r="AJ420" s="1">
        <v>3.89</v>
      </c>
      <c r="AK420" s="1" t="s">
        <v>83</v>
      </c>
      <c r="AL420" s="1" t="s">
        <v>28</v>
      </c>
      <c r="AM420" s="1">
        <v>203.0</v>
      </c>
      <c r="AN420" s="1">
        <v>2018.0</v>
      </c>
      <c r="AO420" s="1">
        <v>2017.0</v>
      </c>
      <c r="AQ420" s="3">
        <v>45029.0</v>
      </c>
      <c r="AR420" s="1" t="s">
        <v>1967</v>
      </c>
      <c r="AS420" s="1" t="s">
        <v>2046</v>
      </c>
      <c r="AT420" s="1" t="s">
        <v>31</v>
      </c>
      <c r="AX420" s="1">
        <v>0.0</v>
      </c>
      <c r="AY420" s="1">
        <v>0.0</v>
      </c>
    </row>
    <row r="421" spans="20:51" ht="15.75" hidden="1">
      <c r="T421" s="1">
        <v>6.0880789E7</v>
      </c>
      <c r="U421" s="1"/>
      <c r="V421" s="1"/>
      <c r="W421" s="1"/>
      <c r="X421" s="1"/>
      <c r="Y421" s="1" t="s">
        <v>2047</v>
      </c>
      <c r="Z421" s="1" t="s">
        <v>2048</v>
      </c>
      <c r="AA421" s="1" t="s">
        <v>2049</v>
      </c>
      <c r="AB421" s="1"/>
      <c r="AC421" s="1"/>
      <c r="AD421" s="1"/>
      <c r="AE421" s="1"/>
      <c r="AG421" s="2" t="str">
        <f>"0593185234"</f>
        <v>0593185234</v>
      </c>
      <c r="AH421" s="2" t="str">
        <f>"9780593185230"</f>
        <v>9780593185230</v>
      </c>
      <c r="AI421" s="1">
        <v>0.0</v>
      </c>
      <c r="AJ421" s="1">
        <v>4.05</v>
      </c>
      <c r="AK421" s="1" t="s">
        <v>2050</v>
      </c>
      <c r="AL421" s="1" t="s">
        <v>41</v>
      </c>
      <c r="AM421" s="1">
        <v>384.0</v>
      </c>
      <c r="AN421" s="1">
        <v>2023.0</v>
      </c>
      <c r="AQ421" s="4">
        <v>44922.0</v>
      </c>
      <c r="AR421" s="1" t="s">
        <v>1967</v>
      </c>
      <c r="AS421" s="1" t="s">
        <v>2051</v>
      </c>
      <c r="AT421" s="1" t="s">
        <v>31</v>
      </c>
      <c r="AX421" s="1">
        <v>0.0</v>
      </c>
      <c r="AY421" s="1">
        <v>0.0</v>
      </c>
    </row>
    <row r="422" spans="20:51" ht="15.75" hidden="1">
      <c r="T422" s="1">
        <v>6146412.0</v>
      </c>
      <c r="U422" s="1"/>
      <c r="V422" s="1"/>
      <c r="W422" s="1"/>
      <c r="X422" s="1"/>
      <c r="Y422" s="1" t="s">
        <v>2052</v>
      </c>
      <c r="Z422" s="1" t="s">
        <v>2053</v>
      </c>
      <c r="AA422" s="1" t="s">
        <v>2054</v>
      </c>
      <c r="AB422" s="1"/>
      <c r="AC422" s="1"/>
      <c r="AD422" s="1"/>
      <c r="AE422" s="1"/>
      <c r="AG422" s="2" t="str">
        <f>"0199204519"</f>
        <v>0199204519</v>
      </c>
      <c r="AH422" s="2" t="str">
        <f>"9780199204519"</f>
        <v>9780199204519</v>
      </c>
      <c r="AI422" s="1">
        <v>0.0</v>
      </c>
      <c r="AJ422" s="1">
        <v>4.03</v>
      </c>
      <c r="AK422" s="1" t="s">
        <v>214</v>
      </c>
      <c r="AL422" s="1" t="s">
        <v>41</v>
      </c>
      <c r="AM422" s="1">
        <v>380.0</v>
      </c>
      <c r="AN422" s="1">
        <v>2009.0</v>
      </c>
      <c r="AO422" s="1">
        <v>2009.0</v>
      </c>
      <c r="AQ422" s="3">
        <v>45070.0</v>
      </c>
      <c r="AR422" s="1" t="s">
        <v>2041</v>
      </c>
      <c r="AS422" s="1" t="s">
        <v>2055</v>
      </c>
      <c r="AT422" s="1" t="s">
        <v>31</v>
      </c>
      <c r="AX422" s="1">
        <v>0.0</v>
      </c>
      <c r="AY422" s="1">
        <v>0.0</v>
      </c>
    </row>
    <row r="423" spans="20:51" ht="15.75" hidden="1">
      <c r="T423" s="1">
        <v>4.1551923E7</v>
      </c>
      <c r="U423" s="1"/>
      <c r="V423" s="1"/>
      <c r="W423" s="1"/>
      <c r="X423" s="1"/>
      <c r="Y423" s="1" t="s">
        <v>2056</v>
      </c>
      <c r="Z423" s="1" t="s">
        <v>2057</v>
      </c>
      <c r="AA423" s="1" t="s">
        <v>2058</v>
      </c>
      <c r="AB423" s="1"/>
      <c r="AC423" s="1"/>
      <c r="AD423" s="1"/>
      <c r="AE423" s="1"/>
      <c r="AG423" s="2" t="str">
        <f>"0199946124"</f>
        <v>0199946124</v>
      </c>
      <c r="AH423" s="2" t="str">
        <f>"9780199946129"</f>
        <v>9780199946129</v>
      </c>
      <c r="AI423" s="1">
        <v>0.0</v>
      </c>
      <c r="AJ423" s="1">
        <v>3.74</v>
      </c>
      <c r="AK423" s="1" t="s">
        <v>214</v>
      </c>
      <c r="AL423" s="1" t="s">
        <v>41</v>
      </c>
      <c r="AM423" s="1">
        <v>499.0</v>
      </c>
      <c r="AN423" s="1">
        <v>2019.0</v>
      </c>
      <c r="AQ423" s="4">
        <v>44484.0</v>
      </c>
      <c r="AR423" s="1" t="s">
        <v>2041</v>
      </c>
      <c r="AS423" s="1" t="s">
        <v>2059</v>
      </c>
      <c r="AT423" s="1" t="s">
        <v>31</v>
      </c>
      <c r="AX423" s="1">
        <v>0.0</v>
      </c>
      <c r="AY423" s="1">
        <v>0.0</v>
      </c>
    </row>
    <row r="424" spans="20:51" ht="15.75" hidden="1">
      <c r="T424" s="1">
        <v>129909.0</v>
      </c>
      <c r="U424" s="1"/>
      <c r="V424" s="1"/>
      <c r="W424" s="1"/>
      <c r="X424" s="1"/>
      <c r="Y424" s="1" t="s">
        <v>2060</v>
      </c>
      <c r="Z424" s="1" t="s">
        <v>2061</v>
      </c>
      <c r="AA424" s="1" t="s">
        <v>2062</v>
      </c>
      <c r="AB424" s="1"/>
      <c r="AC424" s="1"/>
      <c r="AD424" s="1"/>
      <c r="AE424" s="1"/>
      <c r="AF424" s="1" t="s">
        <v>2063</v>
      </c>
      <c r="AG424" s="2" t="str">
        <f>"0465056520"</f>
        <v>0465056520</v>
      </c>
      <c r="AH424" s="2" t="str">
        <f>"9780465056521"</f>
        <v>9780465056521</v>
      </c>
      <c r="AI424" s="1">
        <v>0.0</v>
      </c>
      <c r="AJ424" s="1">
        <v>4.58</v>
      </c>
      <c r="AK424" s="1" t="s">
        <v>46</v>
      </c>
      <c r="AL424" s="1" t="s">
        <v>41</v>
      </c>
      <c r="AM424" s="1">
        <v>288.0</v>
      </c>
      <c r="AN424" s="1">
        <v>2007.0</v>
      </c>
      <c r="AO424" s="1">
        <v>2007.0</v>
      </c>
      <c r="AQ424" s="3">
        <v>44468.0</v>
      </c>
      <c r="AR424" s="1" t="s">
        <v>1967</v>
      </c>
      <c r="AS424" s="1" t="s">
        <v>2064</v>
      </c>
      <c r="AT424" s="1" t="s">
        <v>31</v>
      </c>
      <c r="AX424" s="1">
        <v>0.0</v>
      </c>
      <c r="AY424" s="1">
        <v>0.0</v>
      </c>
    </row>
    <row r="425" spans="20:51" ht="15.75" hidden="1">
      <c r="T425" s="1">
        <v>445060.0</v>
      </c>
      <c r="U425" s="1"/>
      <c r="V425" s="1"/>
      <c r="W425" s="1"/>
      <c r="X425" s="1"/>
      <c r="Y425" s="1" t="s">
        <v>2065</v>
      </c>
      <c r="Z425" s="1" t="s">
        <v>2066</v>
      </c>
      <c r="AA425" s="1" t="s">
        <v>2067</v>
      </c>
      <c r="AB425" s="1"/>
      <c r="AC425" s="1"/>
      <c r="AD425" s="1"/>
      <c r="AE425" s="1"/>
      <c r="AG425" s="2" t="str">
        <f>"1860648940"</f>
        <v>1860648940</v>
      </c>
      <c r="AH425" s="2" t="str">
        <f>"9781860648946"</f>
        <v>9781860648946</v>
      </c>
      <c r="AI425" s="1">
        <v>0.0</v>
      </c>
      <c r="AJ425" s="1">
        <v>3.95</v>
      </c>
      <c r="AK425" s="1" t="s">
        <v>2068</v>
      </c>
      <c r="AL425" s="1" t="s">
        <v>28</v>
      </c>
      <c r="AM425" s="1">
        <v>288.0</v>
      </c>
      <c r="AN425" s="1">
        <v>2003.0</v>
      </c>
      <c r="AO425" s="1">
        <v>1978.0</v>
      </c>
      <c r="AQ425" s="3">
        <v>44261.0</v>
      </c>
      <c r="AR425" s="1" t="s">
        <v>1967</v>
      </c>
      <c r="AS425" s="1" t="s">
        <v>2069</v>
      </c>
      <c r="AT425" s="1" t="s">
        <v>31</v>
      </c>
      <c r="AX425" s="1">
        <v>0.0</v>
      </c>
      <c r="AY425" s="1">
        <v>0.0</v>
      </c>
    </row>
    <row r="426" spans="20:51" ht="15.75" hidden="1">
      <c r="T426" s="1">
        <v>31788.0</v>
      </c>
      <c r="U426" s="1"/>
      <c r="V426" s="1"/>
      <c r="W426" s="1"/>
      <c r="X426" s="1"/>
      <c r="Y426" s="1" t="s">
        <v>2070</v>
      </c>
      <c r="Z426" s="1" t="s">
        <v>1519</v>
      </c>
      <c r="AA426" s="1" t="s">
        <v>1520</v>
      </c>
      <c r="AB426" s="1"/>
      <c r="AC426" s="1"/>
      <c r="AD426" s="1"/>
      <c r="AE426" s="1"/>
      <c r="AG426" s="2" t="str">
        <f>"025207467X"</f>
        <v>025207467X</v>
      </c>
      <c r="AH426" s="2" t="str">
        <f>"9780252074677"</f>
        <v>9780252074677</v>
      </c>
      <c r="AI426" s="1">
        <v>0.0</v>
      </c>
      <c r="AJ426" s="1">
        <v>3.45</v>
      </c>
      <c r="AK426" s="1" t="s">
        <v>2071</v>
      </c>
      <c r="AL426" s="1" t="s">
        <v>28</v>
      </c>
      <c r="AM426" s="1">
        <v>240.0</v>
      </c>
      <c r="AN426" s="1">
        <v>2007.0</v>
      </c>
      <c r="AO426" s="1">
        <v>2003.0</v>
      </c>
      <c r="AQ426" s="3">
        <v>44261.0</v>
      </c>
      <c r="AR426" s="1" t="s">
        <v>2072</v>
      </c>
      <c r="AS426" s="1" t="s">
        <v>2073</v>
      </c>
      <c r="AT426" s="1" t="s">
        <v>31</v>
      </c>
      <c r="AX426" s="1">
        <v>0.0</v>
      </c>
      <c r="AY426" s="1">
        <v>0.0</v>
      </c>
    </row>
    <row r="427" spans="20:51" ht="15.75" hidden="1">
      <c r="T427" s="1">
        <v>5.7295388E7</v>
      </c>
      <c r="U427" s="1"/>
      <c r="V427" s="1"/>
      <c r="W427" s="1"/>
      <c r="X427" s="1"/>
      <c r="Y427" s="1" t="s">
        <v>2074</v>
      </c>
      <c r="Z427" s="1" t="s">
        <v>2075</v>
      </c>
      <c r="AA427" s="1" t="s">
        <v>2076</v>
      </c>
      <c r="AB427" s="1"/>
      <c r="AC427" s="1"/>
      <c r="AD427" s="1"/>
      <c r="AE427" s="1"/>
      <c r="AG427" s="2" t="str">
        <f>"1913462420"</f>
        <v>1913462420</v>
      </c>
      <c r="AH427" s="2" t="str">
        <f>"9781913462420"</f>
        <v>9781913462420</v>
      </c>
      <c r="AI427" s="1">
        <v>0.0</v>
      </c>
      <c r="AJ427" s="1">
        <v>3.65</v>
      </c>
      <c r="AK427" s="1" t="s">
        <v>2077</v>
      </c>
      <c r="AL427" s="1" t="s">
        <v>28</v>
      </c>
      <c r="AM427" s="1">
        <v>180.0</v>
      </c>
      <c r="AN427" s="1">
        <v>2021.0</v>
      </c>
      <c r="AO427" s="1">
        <v>2021.0</v>
      </c>
      <c r="AQ427" s="3">
        <v>44402.0</v>
      </c>
      <c r="AR427" s="1" t="s">
        <v>2041</v>
      </c>
      <c r="AS427" s="1" t="s">
        <v>2078</v>
      </c>
      <c r="AT427" s="1" t="s">
        <v>31</v>
      </c>
      <c r="AX427" s="1">
        <v>0.0</v>
      </c>
      <c r="AY427" s="1">
        <v>0.0</v>
      </c>
    </row>
    <row r="428" spans="20:51" ht="15.75" hidden="1">
      <c r="T428" s="1">
        <v>455388.0</v>
      </c>
      <c r="U428" s="1"/>
      <c r="V428" s="1"/>
      <c r="W428" s="1"/>
      <c r="X428" s="1"/>
      <c r="Y428" s="1" t="s">
        <v>2079</v>
      </c>
      <c r="Z428" s="1" t="s">
        <v>2080</v>
      </c>
      <c r="AA428" s="1" t="s">
        <v>2081</v>
      </c>
      <c r="AB428" s="1"/>
      <c r="AC428" s="1"/>
      <c r="AD428" s="1"/>
      <c r="AE428" s="1"/>
      <c r="AF428" s="1" t="s">
        <v>2082</v>
      </c>
      <c r="AG428" s="2" t="str">
        <f>"0393323803"</f>
        <v>0393323803</v>
      </c>
      <c r="AH428" s="2" t="str">
        <f>"9780393323801"</f>
        <v>9780393323801</v>
      </c>
      <c r="AI428" s="1">
        <v>0.0</v>
      </c>
      <c r="AJ428" s="1">
        <v>4.1</v>
      </c>
      <c r="AK428" s="1" t="s">
        <v>113</v>
      </c>
      <c r="AL428" s="1" t="s">
        <v>28</v>
      </c>
      <c r="AM428" s="1">
        <v>414.0</v>
      </c>
      <c r="AN428" s="1">
        <v>2003.0</v>
      </c>
      <c r="AO428" s="1">
        <v>2000.0</v>
      </c>
      <c r="AQ428" s="3">
        <v>44263.0</v>
      </c>
      <c r="AR428" s="1" t="s">
        <v>2072</v>
      </c>
      <c r="AS428" s="1" t="s">
        <v>2083</v>
      </c>
      <c r="AT428" s="1" t="s">
        <v>31</v>
      </c>
      <c r="AX428" s="1">
        <v>0.0</v>
      </c>
      <c r="AY428" s="1">
        <v>0.0</v>
      </c>
    </row>
    <row r="429" spans="20:51" ht="15.75" hidden="1">
      <c r="T429" s="1">
        <v>162022.0</v>
      </c>
      <c r="U429" s="1"/>
      <c r="V429" s="1"/>
      <c r="W429" s="1"/>
      <c r="X429" s="1"/>
      <c r="Y429" s="1" t="s">
        <v>2084</v>
      </c>
      <c r="Z429" s="1" t="s">
        <v>2085</v>
      </c>
      <c r="AA429" s="1" t="s">
        <v>2086</v>
      </c>
      <c r="AB429" s="1"/>
      <c r="AC429" s="1"/>
      <c r="AD429" s="1"/>
      <c r="AE429" s="1"/>
      <c r="AG429" s="2" t="str">
        <f>"0691019835"</f>
        <v>0691019835</v>
      </c>
      <c r="AH429" s="2" t="str">
        <f>"9780691019833"</f>
        <v>9780691019833</v>
      </c>
      <c r="AI429" s="1">
        <v>0.0</v>
      </c>
      <c r="AJ429" s="1">
        <v>4.24</v>
      </c>
      <c r="AK429" s="1" t="s">
        <v>141</v>
      </c>
      <c r="AL429" s="1" t="s">
        <v>28</v>
      </c>
      <c r="AM429" s="1">
        <v>552.0</v>
      </c>
      <c r="AN429" s="1">
        <v>1974.0</v>
      </c>
      <c r="AO429" s="1">
        <v>1950.0</v>
      </c>
      <c r="AQ429" s="3">
        <v>44263.0</v>
      </c>
      <c r="AR429" s="1" t="s">
        <v>2072</v>
      </c>
      <c r="AS429" s="1" t="s">
        <v>2087</v>
      </c>
      <c r="AT429" s="1" t="s">
        <v>31</v>
      </c>
      <c r="AX429" s="1">
        <v>0.0</v>
      </c>
      <c r="AY429" s="1">
        <v>0.0</v>
      </c>
    </row>
    <row r="430" spans="20:51" ht="15.75" hidden="1">
      <c r="T430" s="1">
        <v>9646.0</v>
      </c>
      <c r="U430" s="1"/>
      <c r="V430" s="1"/>
      <c r="W430" s="1"/>
      <c r="X430" s="1"/>
      <c r="Y430" s="1" t="s">
        <v>2088</v>
      </c>
      <c r="Z430" s="1" t="s">
        <v>2089</v>
      </c>
      <c r="AA430" s="1" t="s">
        <v>2090</v>
      </c>
      <c r="AB430" s="1"/>
      <c r="AC430" s="1"/>
      <c r="AD430" s="1"/>
      <c r="AE430" s="1"/>
      <c r="AG430" s="2" t="str">
        <f>"0156421178"</f>
        <v>0156421178</v>
      </c>
      <c r="AH430" s="2" t="str">
        <f>"9780156421171"</f>
        <v>9780156421171</v>
      </c>
      <c r="AI430" s="1">
        <v>0.0</v>
      </c>
      <c r="AJ430" s="1">
        <v>4.09</v>
      </c>
      <c r="AK430" s="1" t="s">
        <v>2091</v>
      </c>
      <c r="AL430" s="1" t="s">
        <v>28</v>
      </c>
      <c r="AM430" s="1">
        <v>232.0</v>
      </c>
      <c r="AN430" s="1">
        <v>1980.0</v>
      </c>
      <c r="AO430" s="1">
        <v>1938.0</v>
      </c>
      <c r="AQ430" s="3">
        <v>44242.0</v>
      </c>
      <c r="AR430" s="1" t="s">
        <v>1967</v>
      </c>
      <c r="AS430" s="1" t="s">
        <v>2092</v>
      </c>
      <c r="AT430" s="1" t="s">
        <v>31</v>
      </c>
      <c r="AX430" s="1">
        <v>0.0</v>
      </c>
      <c r="AY430" s="1">
        <v>0.0</v>
      </c>
    </row>
    <row r="431" spans="20:51" ht="15.75" hidden="1">
      <c r="T431" s="1">
        <v>953566.0</v>
      </c>
      <c r="U431" s="1"/>
      <c r="V431" s="1"/>
      <c r="W431" s="1"/>
      <c r="X431" s="1"/>
      <c r="Y431" s="1" t="s">
        <v>2093</v>
      </c>
      <c r="Z431" s="1" t="s">
        <v>2094</v>
      </c>
      <c r="AA431" s="1" t="s">
        <v>2095</v>
      </c>
      <c r="AB431" s="1"/>
      <c r="AC431" s="1"/>
      <c r="AD431" s="1"/>
      <c r="AE431" s="1"/>
      <c r="AG431" s="2" t="str">
        <f>"158567592X"</f>
        <v>158567592X</v>
      </c>
      <c r="AH431" s="2" t="str">
        <f>"9781585675920"</f>
        <v>9781585675920</v>
      </c>
      <c r="AI431" s="1">
        <v>0.0</v>
      </c>
      <c r="AJ431" s="1">
        <v>3.97</v>
      </c>
      <c r="AK431" s="1" t="s">
        <v>2096</v>
      </c>
      <c r="AL431" s="1" t="s">
        <v>41</v>
      </c>
      <c r="AM431" s="1">
        <v>689.0</v>
      </c>
      <c r="AN431" s="1">
        <v>2005.0</v>
      </c>
      <c r="AO431" s="1">
        <v>2002.0</v>
      </c>
      <c r="AQ431" s="3">
        <v>44242.0</v>
      </c>
      <c r="AR431" s="1" t="s">
        <v>1967</v>
      </c>
      <c r="AS431" s="1" t="s">
        <v>2097</v>
      </c>
      <c r="AT431" s="1" t="s">
        <v>31</v>
      </c>
      <c r="AX431" s="1">
        <v>0.0</v>
      </c>
      <c r="AY431" s="1">
        <v>0.0</v>
      </c>
    </row>
    <row r="432" spans="20:51" ht="15.75" hidden="1">
      <c r="T432" s="1">
        <v>7815.0</v>
      </c>
      <c r="U432" s="1"/>
      <c r="V432" s="1"/>
      <c r="W432" s="1"/>
      <c r="X432" s="1"/>
      <c r="Y432" s="1" t="s">
        <v>2098</v>
      </c>
      <c r="Z432" s="1" t="s">
        <v>2099</v>
      </c>
      <c r="AA432" s="1" t="s">
        <v>2100</v>
      </c>
      <c r="AB432" s="1"/>
      <c r="AC432" s="1"/>
      <c r="AD432" s="1"/>
      <c r="AE432" s="1"/>
      <c r="AG432" s="2" t="str">
        <f>"1400078431"</f>
        <v>1400078431</v>
      </c>
      <c r="AH432" s="2" t="str">
        <f>"9781400078431"</f>
        <v>9781400078431</v>
      </c>
      <c r="AI432" s="1">
        <v>0.0</v>
      </c>
      <c r="AJ432" s="1">
        <v>3.93</v>
      </c>
      <c r="AK432" s="1" t="s">
        <v>83</v>
      </c>
      <c r="AL432" s="1" t="s">
        <v>28</v>
      </c>
      <c r="AM432" s="1">
        <v>227.0</v>
      </c>
      <c r="AN432" s="1">
        <v>2007.0</v>
      </c>
      <c r="AO432" s="1">
        <v>2005.0</v>
      </c>
      <c r="AQ432" s="3">
        <v>44242.0</v>
      </c>
      <c r="AR432" s="1" t="s">
        <v>1967</v>
      </c>
      <c r="AS432" s="1" t="s">
        <v>2101</v>
      </c>
      <c r="AT432" s="1" t="s">
        <v>31</v>
      </c>
      <c r="AX432" s="1">
        <v>0.0</v>
      </c>
      <c r="AY432" s="1">
        <v>0.0</v>
      </c>
    </row>
    <row r="433" spans="20:51" ht="15.75" hidden="1">
      <c r="T433" s="1">
        <v>12335.0</v>
      </c>
      <c r="U433" s="1"/>
      <c r="V433" s="1"/>
      <c r="W433" s="1"/>
      <c r="X433" s="1"/>
      <c r="Y433" s="1" t="s">
        <v>2102</v>
      </c>
      <c r="Z433" s="1" t="s">
        <v>2103</v>
      </c>
      <c r="AA433" s="1" t="s">
        <v>2104</v>
      </c>
      <c r="AB433" s="1"/>
      <c r="AC433" s="1"/>
      <c r="AD433" s="1"/>
      <c r="AE433" s="1"/>
      <c r="AG433" s="2" t="str">
        <f>"0375760814"</f>
        <v>0375760814</v>
      </c>
      <c r="AH433" s="2" t="str">
        <f>"9780375760815"</f>
        <v>9780375760815</v>
      </c>
      <c r="AI433" s="1">
        <v>0.0</v>
      </c>
      <c r="AJ433" s="1">
        <v>3.91</v>
      </c>
      <c r="AK433" s="1" t="s">
        <v>2105</v>
      </c>
      <c r="AL433" s="1" t="s">
        <v>28</v>
      </c>
      <c r="AM433" s="1">
        <v>608.0</v>
      </c>
      <c r="AN433" s="1">
        <v>2002.0</v>
      </c>
      <c r="AO433" s="1">
        <v>2001.0</v>
      </c>
      <c r="AQ433" s="3">
        <v>44242.0</v>
      </c>
      <c r="AR433" s="1" t="s">
        <v>1967</v>
      </c>
      <c r="AS433" s="1" t="s">
        <v>2106</v>
      </c>
      <c r="AT433" s="1" t="s">
        <v>31</v>
      </c>
      <c r="AX433" s="1">
        <v>0.0</v>
      </c>
      <c r="AY433" s="1">
        <v>0.0</v>
      </c>
    </row>
    <row r="434" spans="20:51" ht="15.75" hidden="1">
      <c r="T434" s="1">
        <v>239186.0</v>
      </c>
      <c r="U434" s="1"/>
      <c r="V434" s="1"/>
      <c r="W434" s="1"/>
      <c r="X434" s="1"/>
      <c r="Y434" s="1" t="s">
        <v>2107</v>
      </c>
      <c r="Z434" s="1" t="s">
        <v>2108</v>
      </c>
      <c r="AA434" s="1" t="s">
        <v>2109</v>
      </c>
      <c r="AB434" s="1"/>
      <c r="AC434" s="1"/>
      <c r="AD434" s="1"/>
      <c r="AE434" s="1"/>
      <c r="AG434" s="2" t="str">
        <f>"0375708278"</f>
        <v>0375708278</v>
      </c>
      <c r="AH434" s="2" t="str">
        <f>"9780375708275"</f>
        <v>9780375708275</v>
      </c>
      <c r="AI434" s="1">
        <v>0.0</v>
      </c>
      <c r="AJ434" s="1">
        <v>4.04</v>
      </c>
      <c r="AK434" s="1" t="s">
        <v>2110</v>
      </c>
      <c r="AL434" s="1" t="s">
        <v>28</v>
      </c>
      <c r="AM434" s="1">
        <v>323.0</v>
      </c>
      <c r="AN434" s="1">
        <v>2000.0</v>
      </c>
      <c r="AO434" s="1">
        <v>1999.0</v>
      </c>
      <c r="AQ434" s="3">
        <v>44254.0</v>
      </c>
      <c r="AR434" s="1" t="s">
        <v>2041</v>
      </c>
      <c r="AS434" s="1" t="s">
        <v>2111</v>
      </c>
      <c r="AT434" s="1" t="s">
        <v>31</v>
      </c>
      <c r="AX434" s="1">
        <v>0.0</v>
      </c>
      <c r="AY434" s="1">
        <v>0.0</v>
      </c>
    </row>
    <row r="435" spans="20:51" ht="15.75" hidden="1">
      <c r="T435" s="1">
        <v>5.1542645E7</v>
      </c>
      <c r="U435" s="1"/>
      <c r="V435" s="1"/>
      <c r="W435" s="1"/>
      <c r="X435" s="1"/>
      <c r="Y435" s="1" t="s">
        <v>2112</v>
      </c>
      <c r="Z435" s="1" t="s">
        <v>2113</v>
      </c>
      <c r="AA435" s="1" t="s">
        <v>2114</v>
      </c>
      <c r="AB435" s="1"/>
      <c r="AC435" s="1"/>
      <c r="AD435" s="1"/>
      <c r="AE435" s="1"/>
      <c r="AG435" s="2" t="str">
        <f>"0374231184"</f>
        <v>0374231184</v>
      </c>
      <c r="AH435" s="2" t="str">
        <f>"9780374231187"</f>
        <v>9780374231187</v>
      </c>
      <c r="AI435" s="1">
        <v>0.0</v>
      </c>
      <c r="AJ435" s="1">
        <v>4.06</v>
      </c>
      <c r="AK435" s="1" t="s">
        <v>89</v>
      </c>
      <c r="AL435" s="1" t="s">
        <v>41</v>
      </c>
      <c r="AM435" s="1">
        <v>368.0</v>
      </c>
      <c r="AN435" s="1">
        <v>2020.0</v>
      </c>
      <c r="AO435" s="1">
        <v>2019.0</v>
      </c>
      <c r="AQ435" s="3">
        <v>44238.0</v>
      </c>
      <c r="AR435" s="1" t="s">
        <v>2072</v>
      </c>
      <c r="AS435" s="1" t="s">
        <v>2115</v>
      </c>
      <c r="AT435" s="1" t="s">
        <v>31</v>
      </c>
      <c r="AX435" s="1">
        <v>0.0</v>
      </c>
      <c r="AY435" s="1">
        <v>0.0</v>
      </c>
    </row>
    <row r="436" spans="20:51" ht="15.75" hidden="1">
      <c r="T436" s="1">
        <v>247709.0</v>
      </c>
      <c r="U436" s="1"/>
      <c r="V436" s="1"/>
      <c r="W436" s="1"/>
      <c r="X436" s="1"/>
      <c r="Y436" s="1" t="s">
        <v>2116</v>
      </c>
      <c r="Z436" s="1" t="s">
        <v>2117</v>
      </c>
      <c r="AA436" s="1" t="s">
        <v>2118</v>
      </c>
      <c r="AB436" s="1"/>
      <c r="AC436" s="1"/>
      <c r="AD436" s="1"/>
      <c r="AE436" s="1"/>
      <c r="AF436" s="1" t="s">
        <v>2119</v>
      </c>
      <c r="AG436" s="2" t="str">
        <f>"1558613951"</f>
        <v>1558613951</v>
      </c>
      <c r="AH436" s="2" t="str">
        <f>"9781558613959"</f>
        <v>9781558613959</v>
      </c>
      <c r="AI436" s="1">
        <v>0.0</v>
      </c>
      <c r="AJ436" s="1">
        <v>3.91</v>
      </c>
      <c r="AK436" s="1" t="s">
        <v>2120</v>
      </c>
      <c r="AL436" s="1" t="s">
        <v>28</v>
      </c>
      <c r="AM436" s="1">
        <v>304.0</v>
      </c>
      <c r="AN436" s="1">
        <v>2002.0</v>
      </c>
      <c r="AO436" s="1">
        <v>1996.0</v>
      </c>
      <c r="AQ436" s="3">
        <v>44238.0</v>
      </c>
      <c r="AR436" s="1" t="s">
        <v>1967</v>
      </c>
      <c r="AS436" s="1" t="s">
        <v>2121</v>
      </c>
      <c r="AT436" s="1" t="s">
        <v>31</v>
      </c>
      <c r="AX436" s="1">
        <v>0.0</v>
      </c>
      <c r="AY436" s="1">
        <v>0.0</v>
      </c>
    </row>
    <row r="437" spans="20:51" ht="15.75" hidden="1">
      <c r="T437" s="1">
        <v>4.4244939E7</v>
      </c>
      <c r="U437" s="1"/>
      <c r="V437" s="1"/>
      <c r="W437" s="1"/>
      <c r="X437" s="1"/>
      <c r="Y437" s="1" t="s">
        <v>2122</v>
      </c>
      <c r="Z437" s="1" t="s">
        <v>2123</v>
      </c>
      <c r="AA437" s="1" t="s">
        <v>2124</v>
      </c>
      <c r="AB437" s="1"/>
      <c r="AC437" s="1"/>
      <c r="AD437" s="1"/>
      <c r="AE437" s="1"/>
      <c r="AG437" s="2" t="str">
        <f>"0190673060"</f>
        <v>0190673060</v>
      </c>
      <c r="AH437" s="2" t="str">
        <f>"9780190673062"</f>
        <v>9780190673062</v>
      </c>
      <c r="AI437" s="1">
        <v>0.0</v>
      </c>
      <c r="AJ437" s="1">
        <v>4.1</v>
      </c>
      <c r="AK437" s="1" t="s">
        <v>214</v>
      </c>
      <c r="AL437" s="1" t="s">
        <v>41</v>
      </c>
      <c r="AM437" s="1">
        <v>320.0</v>
      </c>
      <c r="AN437" s="1">
        <v>2019.0</v>
      </c>
      <c r="AO437" s="1">
        <v>2019.0</v>
      </c>
      <c r="AQ437" s="3">
        <v>44235.0</v>
      </c>
      <c r="AR437" s="1" t="s">
        <v>2041</v>
      </c>
      <c r="AS437" s="1" t="s">
        <v>2125</v>
      </c>
      <c r="AT437" s="1" t="s">
        <v>31</v>
      </c>
      <c r="AX437" s="1">
        <v>0.0</v>
      </c>
      <c r="AY437" s="1">
        <v>0.0</v>
      </c>
    </row>
    <row r="438" spans="20:51" ht="15.75" hidden="1">
      <c r="T438" s="1">
        <v>1686.0</v>
      </c>
      <c r="U438" s="1"/>
      <c r="V438" s="1"/>
      <c r="W438" s="1"/>
      <c r="X438" s="1"/>
      <c r="Y438" s="1" t="s">
        <v>2126</v>
      </c>
      <c r="Z438" s="1" t="s">
        <v>2127</v>
      </c>
      <c r="AA438" s="1" t="s">
        <v>2128</v>
      </c>
      <c r="AB438" s="1"/>
      <c r="AC438" s="1"/>
      <c r="AD438" s="1"/>
      <c r="AE438" s="1"/>
      <c r="AG438" s="2" t="str">
        <f>"0520227573"</f>
        <v>0520227573</v>
      </c>
      <c r="AH438" s="2" t="str">
        <f>"9780520227576"</f>
        <v>9780520227576</v>
      </c>
      <c r="AI438" s="1">
        <v>0.0</v>
      </c>
      <c r="AJ438" s="1">
        <v>4.28</v>
      </c>
      <c r="AK438" s="1" t="s">
        <v>1306</v>
      </c>
      <c r="AL438" s="1" t="s">
        <v>28</v>
      </c>
      <c r="AM438" s="1">
        <v>576.0</v>
      </c>
      <c r="AN438" s="1">
        <v>2000.0</v>
      </c>
      <c r="AO438" s="1">
        <v>1967.0</v>
      </c>
      <c r="AQ438" s="3">
        <v>44242.0</v>
      </c>
      <c r="AR438" s="1" t="s">
        <v>2072</v>
      </c>
      <c r="AS438" s="1" t="s">
        <v>2129</v>
      </c>
      <c r="AT438" s="1" t="s">
        <v>31</v>
      </c>
      <c r="AX438" s="1">
        <v>0.0</v>
      </c>
      <c r="AY438" s="1">
        <v>0.0</v>
      </c>
    </row>
    <row r="439" spans="20:51" ht="15.75" hidden="1">
      <c r="T439" s="1">
        <v>157507.0</v>
      </c>
      <c r="U439" s="1"/>
      <c r="V439" s="1"/>
      <c r="W439" s="1"/>
      <c r="X439" s="1"/>
      <c r="Y439" s="1" t="s">
        <v>2130</v>
      </c>
      <c r="Z439" s="1" t="s">
        <v>2131</v>
      </c>
      <c r="AA439" s="1" t="s">
        <v>2132</v>
      </c>
      <c r="AB439" s="1"/>
      <c r="AC439" s="1"/>
      <c r="AD439" s="1"/>
      <c r="AE439" s="1"/>
      <c r="AG439" s="2" t="str">
        <f>"0099450070"</f>
        <v>0099450070</v>
      </c>
      <c r="AH439" s="2" t="str">
        <f>"9780099450078"</f>
        <v>9780099450078</v>
      </c>
      <c r="AI439" s="1">
        <v>0.0</v>
      </c>
      <c r="AJ439" s="1">
        <v>4.19</v>
      </c>
      <c r="AK439" s="1" t="s">
        <v>2133</v>
      </c>
      <c r="AL439" s="1" t="s">
        <v>28</v>
      </c>
      <c r="AM439" s="1">
        <v>864.0</v>
      </c>
      <c r="AN439" s="1">
        <v>2004.0</v>
      </c>
      <c r="AO439" s="1">
        <v>1993.0</v>
      </c>
      <c r="AQ439" s="3">
        <v>44237.0</v>
      </c>
      <c r="AR439" s="1" t="s">
        <v>1967</v>
      </c>
      <c r="AS439" s="1" t="s">
        <v>2134</v>
      </c>
      <c r="AT439" s="1" t="s">
        <v>31</v>
      </c>
      <c r="AX439" s="1">
        <v>0.0</v>
      </c>
      <c r="AY439" s="1">
        <v>0.0</v>
      </c>
    </row>
    <row r="440" spans="20:51" ht="15.75" hidden="1">
      <c r="T440" s="1">
        <v>98994.0</v>
      </c>
      <c r="U440" s="1"/>
      <c r="V440" s="1"/>
      <c r="W440" s="1"/>
      <c r="X440" s="1"/>
      <c r="Y440" s="1" t="s">
        <v>2135</v>
      </c>
      <c r="Z440" s="1" t="s">
        <v>2136</v>
      </c>
      <c r="AA440" s="1" t="s">
        <v>2137</v>
      </c>
      <c r="AB440" s="1"/>
      <c r="AC440" s="1"/>
      <c r="AD440" s="1"/>
      <c r="AE440" s="1"/>
      <c r="AF440" s="1" t="s">
        <v>2138</v>
      </c>
      <c r="AG440" s="2" t="str">
        <f>"0312227302"</f>
        <v>0312227302</v>
      </c>
      <c r="AH440" s="2" t="str">
        <f>"9780312227302"</f>
        <v>9780312227302</v>
      </c>
      <c r="AI440" s="1">
        <v>0.0</v>
      </c>
      <c r="AJ440" s="1">
        <v>4.02</v>
      </c>
      <c r="AK440" s="1" t="s">
        <v>2139</v>
      </c>
      <c r="AL440" s="1" t="s">
        <v>28</v>
      </c>
      <c r="AM440" s="1">
        <v>336.0</v>
      </c>
      <c r="AN440" s="1">
        <v>1999.0</v>
      </c>
      <c r="AO440" s="1">
        <v>1981.0</v>
      </c>
      <c r="AQ440" s="3">
        <v>44222.0</v>
      </c>
      <c r="AR440" s="1" t="s">
        <v>2041</v>
      </c>
      <c r="AS440" s="1" t="s">
        <v>2140</v>
      </c>
      <c r="AT440" s="1" t="s">
        <v>31</v>
      </c>
      <c r="AX440" s="1">
        <v>0.0</v>
      </c>
      <c r="AY440" s="1">
        <v>0.0</v>
      </c>
    </row>
    <row r="441" spans="20:51" ht="15.75" hidden="1">
      <c r="T441" s="1">
        <v>3.06872E7</v>
      </c>
      <c r="U441" s="1"/>
      <c r="V441" s="1"/>
      <c r="W441" s="1"/>
      <c r="X441" s="1"/>
      <c r="Y441" s="1" t="s">
        <v>2043</v>
      </c>
      <c r="Z441" s="1" t="s">
        <v>2044</v>
      </c>
      <c r="AA441" s="1" t="s">
        <v>2045</v>
      </c>
      <c r="AB441" s="1"/>
      <c r="AC441" s="1"/>
      <c r="AD441" s="1"/>
      <c r="AE441" s="1"/>
      <c r="AF441" s="1" t="s">
        <v>2141</v>
      </c>
      <c r="AG441" s="2" t="str">
        <f>"1101924926"</f>
        <v>1101924926</v>
      </c>
      <c r="AH441" s="2" t="str">
        <f>"9781101924921"</f>
        <v>9781101924921</v>
      </c>
      <c r="AI441" s="1">
        <v>0.0</v>
      </c>
      <c r="AJ441" s="1">
        <v>3.89</v>
      </c>
      <c r="AK441" s="1" t="s">
        <v>2142</v>
      </c>
      <c r="AL441" s="1" t="s">
        <v>2143</v>
      </c>
      <c r="AM441" s="1">
        <v>5.0</v>
      </c>
      <c r="AN441" s="1">
        <v>2017.0</v>
      </c>
      <c r="AO441" s="1">
        <v>2017.0</v>
      </c>
      <c r="AQ441" s="3">
        <v>44205.0</v>
      </c>
      <c r="AR441" s="1" t="s">
        <v>2072</v>
      </c>
      <c r="AS441" s="1" t="s">
        <v>2144</v>
      </c>
      <c r="AT441" s="1" t="s">
        <v>31</v>
      </c>
      <c r="AX441" s="1">
        <v>0.0</v>
      </c>
      <c r="AY441" s="1">
        <v>0.0</v>
      </c>
    </row>
    <row r="442" spans="20:51" ht="15.75" hidden="1">
      <c r="T442" s="1">
        <v>24113.0</v>
      </c>
      <c r="U442" s="1"/>
      <c r="V442" s="1"/>
      <c r="W442" s="1"/>
      <c r="X442" s="1"/>
      <c r="Y442" s="1" t="s">
        <v>2145</v>
      </c>
      <c r="Z442" s="1" t="s">
        <v>2146</v>
      </c>
      <c r="AA442" s="1" t="s">
        <v>2147</v>
      </c>
      <c r="AB442" s="1"/>
      <c r="AC442" s="1"/>
      <c r="AD442" s="1"/>
      <c r="AE442" s="1"/>
      <c r="AG442" s="2" t="str">
        <f>"0465026567"</f>
        <v>0465026567</v>
      </c>
      <c r="AH442" s="2" t="str">
        <f>"9780465026562"</f>
        <v>9780465026562</v>
      </c>
      <c r="AI442" s="1">
        <v>0.0</v>
      </c>
      <c r="AJ442" s="1">
        <v>4.29</v>
      </c>
      <c r="AK442" s="1" t="s">
        <v>46</v>
      </c>
      <c r="AL442" s="1" t="s">
        <v>28</v>
      </c>
      <c r="AM442" s="1">
        <v>756.0</v>
      </c>
      <c r="AN442" s="1">
        <v>1999.0</v>
      </c>
      <c r="AO442" s="1">
        <v>1979.0</v>
      </c>
      <c r="AQ442" s="3">
        <v>44205.0</v>
      </c>
      <c r="AR442" s="1" t="s">
        <v>1967</v>
      </c>
      <c r="AS442" s="1" t="s">
        <v>2148</v>
      </c>
      <c r="AT442" s="1" t="s">
        <v>31</v>
      </c>
      <c r="AX442" s="1">
        <v>0.0</v>
      </c>
      <c r="AY442" s="1">
        <v>0.0</v>
      </c>
    </row>
    <row r="443" spans="20:51" ht="15.75" hidden="1">
      <c r="T443" s="1">
        <v>672798.0</v>
      </c>
      <c r="U443" s="1"/>
      <c r="V443" s="1"/>
      <c r="W443" s="1"/>
      <c r="X443" s="1"/>
      <c r="Y443" s="1" t="s">
        <v>2149</v>
      </c>
      <c r="Z443" s="1" t="s">
        <v>525</v>
      </c>
      <c r="AA443" s="1" t="s">
        <v>526</v>
      </c>
      <c r="AB443" s="1"/>
      <c r="AC443" s="1"/>
      <c r="AD443" s="1"/>
      <c r="AE443" s="1"/>
      <c r="AG443" s="2" t="str">
        <f>"014139000X"</f>
        <v>014139000X</v>
      </c>
      <c r="AH443" s="2" t="str">
        <f>"9780141390000"</f>
        <v>9780141390000</v>
      </c>
      <c r="AI443" s="1">
        <v>0.0</v>
      </c>
      <c r="AJ443" s="1">
        <v>4.0</v>
      </c>
      <c r="AK443" s="1" t="s">
        <v>119</v>
      </c>
      <c r="AL443" s="1" t="s">
        <v>28</v>
      </c>
      <c r="AN443" s="1">
        <v>2000.0</v>
      </c>
      <c r="AO443" s="1">
        <v>1973.0</v>
      </c>
      <c r="AQ443" s="3">
        <v>44222.0</v>
      </c>
      <c r="AR443" s="1" t="s">
        <v>2041</v>
      </c>
      <c r="AS443" s="1" t="s">
        <v>2150</v>
      </c>
      <c r="AT443" s="1" t="s">
        <v>31</v>
      </c>
      <c r="AX443" s="1">
        <v>0.0</v>
      </c>
      <c r="AY443" s="1">
        <v>0.0</v>
      </c>
    </row>
    <row r="444" spans="20:51" ht="15.75" hidden="1">
      <c r="T444" s="1">
        <v>314227.0</v>
      </c>
      <c r="U444" s="1"/>
      <c r="V444" s="1"/>
      <c r="W444" s="1"/>
      <c r="X444" s="1"/>
      <c r="Y444" s="1" t="s">
        <v>2151</v>
      </c>
      <c r="Z444" s="1" t="s">
        <v>2152</v>
      </c>
      <c r="AA444" s="1" t="s">
        <v>2153</v>
      </c>
      <c r="AB444" s="1"/>
      <c r="AC444" s="1"/>
      <c r="AD444" s="1"/>
      <c r="AE444" s="1"/>
      <c r="AG444" s="2" t="str">
        <f>"0719068479"</f>
        <v>0719068479</v>
      </c>
      <c r="AH444" s="2" t="str">
        <f>"9780719068478"</f>
        <v>9780719068478</v>
      </c>
      <c r="AI444" s="1">
        <v>0.0</v>
      </c>
      <c r="AJ444" s="1">
        <v>3.83</v>
      </c>
      <c r="AK444" s="1" t="s">
        <v>2154</v>
      </c>
      <c r="AL444" s="1" t="s">
        <v>28</v>
      </c>
      <c r="AM444" s="1">
        <v>392.0</v>
      </c>
      <c r="AN444" s="1">
        <v>2006.0</v>
      </c>
      <c r="AO444" s="1">
        <v>2007.0</v>
      </c>
      <c r="AQ444" s="3">
        <v>44222.0</v>
      </c>
      <c r="AR444" s="1" t="s">
        <v>2041</v>
      </c>
      <c r="AS444" s="1" t="s">
        <v>2155</v>
      </c>
      <c r="AT444" s="1" t="s">
        <v>31</v>
      </c>
      <c r="AX444" s="1">
        <v>0.0</v>
      </c>
      <c r="AY444" s="1">
        <v>0.0</v>
      </c>
    </row>
    <row r="445" spans="20:51" ht="15.75" hidden="1">
      <c r="T445" s="1">
        <v>236900.0</v>
      </c>
      <c r="U445" s="1"/>
      <c r="V445" s="1"/>
      <c r="W445" s="1"/>
      <c r="X445" s="1"/>
      <c r="Y445" s="1" t="s">
        <v>2156</v>
      </c>
      <c r="Z445" s="1" t="s">
        <v>2157</v>
      </c>
      <c r="AA445" s="1" t="s">
        <v>2158</v>
      </c>
      <c r="AB445" s="1"/>
      <c r="AC445" s="1"/>
      <c r="AD445" s="1"/>
      <c r="AE445" s="1"/>
      <c r="AG445" s="2" t="str">
        <f>"0674024052"</f>
        <v>0674024052</v>
      </c>
      <c r="AH445" s="2" t="str">
        <f>"9780674024052"</f>
        <v>9780674024052</v>
      </c>
      <c r="AI445" s="1">
        <v>0.0</v>
      </c>
      <c r="AJ445" s="1">
        <v>3.84</v>
      </c>
      <c r="AK445" s="1" t="s">
        <v>107</v>
      </c>
      <c r="AL445" s="1" t="s">
        <v>28</v>
      </c>
      <c r="AM445" s="1">
        <v>272.0</v>
      </c>
      <c r="AN445" s="1">
        <v>2007.0</v>
      </c>
      <c r="AO445" s="1">
        <v>2005.0</v>
      </c>
      <c r="AQ445" s="3">
        <v>44222.0</v>
      </c>
      <c r="AR445" s="1" t="s">
        <v>2041</v>
      </c>
      <c r="AS445" s="1" t="s">
        <v>2159</v>
      </c>
      <c r="AT445" s="1" t="s">
        <v>31</v>
      </c>
      <c r="AX445" s="1">
        <v>0.0</v>
      </c>
      <c r="AY445" s="1">
        <v>0.0</v>
      </c>
    </row>
    <row r="446" spans="20:51" ht="15.75" hidden="1">
      <c r="T446" s="1">
        <v>478.0</v>
      </c>
      <c r="U446" s="1"/>
      <c r="V446" s="1"/>
      <c r="W446" s="1"/>
      <c r="X446" s="1"/>
      <c r="Y446" s="1" t="s">
        <v>2160</v>
      </c>
      <c r="Z446" s="1" t="s">
        <v>2161</v>
      </c>
      <c r="AA446" s="1" t="s">
        <v>2162</v>
      </c>
      <c r="AB446" s="1"/>
      <c r="AC446" s="1"/>
      <c r="AD446" s="1"/>
      <c r="AE446" s="1"/>
      <c r="AG446" s="2" t="str">
        <f>"0743203046"</f>
        <v>0743203046</v>
      </c>
      <c r="AH446" s="2" t="str">
        <f>"9780743203043"</f>
        <v>9780743203043</v>
      </c>
      <c r="AI446" s="1">
        <v>0.0</v>
      </c>
      <c r="AJ446" s="1">
        <v>3.83</v>
      </c>
      <c r="AK446" s="1" t="s">
        <v>2163</v>
      </c>
      <c r="AL446" s="1" t="s">
        <v>28</v>
      </c>
      <c r="AM446" s="1">
        <v>544.0</v>
      </c>
      <c r="AN446" s="1">
        <v>2001.0</v>
      </c>
      <c r="AO446" s="1">
        <v>2000.0</v>
      </c>
      <c r="AQ446" s="3">
        <v>44171.0</v>
      </c>
      <c r="AR446" s="1" t="s">
        <v>1967</v>
      </c>
      <c r="AS446" s="1" t="s">
        <v>2164</v>
      </c>
      <c r="AT446" s="1" t="s">
        <v>31</v>
      </c>
      <c r="AX446" s="1">
        <v>0.0</v>
      </c>
      <c r="AY446" s="1">
        <v>0.0</v>
      </c>
    </row>
    <row r="447" spans="20:51" ht="15.75" hidden="1">
      <c r="T447" s="1">
        <v>276214.0</v>
      </c>
      <c r="U447" s="1"/>
      <c r="V447" s="1"/>
      <c r="W447" s="1"/>
      <c r="X447" s="1"/>
      <c r="Y447" s="1" t="s">
        <v>2165</v>
      </c>
      <c r="Z447" s="1" t="s">
        <v>2166</v>
      </c>
      <c r="AA447" s="1" t="s">
        <v>2167</v>
      </c>
      <c r="AB447" s="1"/>
      <c r="AC447" s="1"/>
      <c r="AD447" s="1"/>
      <c r="AE447" s="1"/>
      <c r="AF447" s="1" t="s">
        <v>2168</v>
      </c>
      <c r="AG447" s="2" t="str">
        <f>"0674399749"</f>
        <v>0674399749</v>
      </c>
      <c r="AH447" s="2" t="str">
        <f>"9780674399747"</f>
        <v>9780674399747</v>
      </c>
      <c r="AI447" s="1">
        <v>0.0</v>
      </c>
      <c r="AJ447" s="1">
        <v>4.0</v>
      </c>
      <c r="AK447" s="1" t="s">
        <v>2169</v>
      </c>
      <c r="AL447" s="1" t="s">
        <v>28</v>
      </c>
      <c r="AM447" s="1">
        <v>670.0</v>
      </c>
      <c r="AN447" s="1">
        <v>1992.0</v>
      </c>
      <c r="AO447" s="1">
        <v>1985.0</v>
      </c>
      <c r="AQ447" s="3">
        <v>44166.0</v>
      </c>
      <c r="AR447" s="1" t="s">
        <v>2041</v>
      </c>
      <c r="AS447" s="1" t="s">
        <v>2170</v>
      </c>
      <c r="AT447" s="1" t="s">
        <v>31</v>
      </c>
      <c r="AX447" s="1">
        <v>0.0</v>
      </c>
      <c r="AY447" s="1">
        <v>0.0</v>
      </c>
    </row>
    <row r="448" spans="20:51" ht="15.75" hidden="1">
      <c r="T448" s="1">
        <v>5.0403455E7</v>
      </c>
      <c r="U448" s="1"/>
      <c r="V448" s="1"/>
      <c r="W448" s="1"/>
      <c r="X448" s="1"/>
      <c r="Y448" s="1" t="s">
        <v>2171</v>
      </c>
      <c r="Z448" s="1" t="s">
        <v>2172</v>
      </c>
      <c r="AA448" s="1" t="s">
        <v>2173</v>
      </c>
      <c r="AB448" s="1"/>
      <c r="AC448" s="1"/>
      <c r="AD448" s="1"/>
      <c r="AE448" s="1"/>
      <c r="AG448" s="2" t="str">
        <f>"0374207941"</f>
        <v>0374207941</v>
      </c>
      <c r="AH448" s="2" t="str">
        <f>"9780374207946"</f>
        <v>9780374207946</v>
      </c>
      <c r="AI448" s="1">
        <v>0.0</v>
      </c>
      <c r="AJ448" s="1">
        <v>3.89</v>
      </c>
      <c r="AK448" s="1" t="s">
        <v>89</v>
      </c>
      <c r="AL448" s="1" t="s">
        <v>41</v>
      </c>
      <c r="AM448" s="1">
        <v>352.0</v>
      </c>
      <c r="AN448" s="1">
        <v>2020.0</v>
      </c>
      <c r="AO448" s="1">
        <v>2020.0</v>
      </c>
      <c r="AQ448" s="3">
        <v>44198.0</v>
      </c>
      <c r="AR448" s="1" t="s">
        <v>1967</v>
      </c>
      <c r="AS448" s="1" t="s">
        <v>2174</v>
      </c>
      <c r="AT448" s="1" t="s">
        <v>31</v>
      </c>
      <c r="AX448" s="1">
        <v>0.0</v>
      </c>
      <c r="AY448" s="1">
        <v>0.0</v>
      </c>
    </row>
    <row r="449" spans="20:51" ht="15.75" hidden="1">
      <c r="T449" s="1">
        <v>1.3403051E7</v>
      </c>
      <c r="U449" s="1"/>
      <c r="V449" s="1"/>
      <c r="W449" s="1"/>
      <c r="X449" s="1"/>
      <c r="Y449" s="1" t="s">
        <v>2175</v>
      </c>
      <c r="Z449" s="1" t="s">
        <v>2176</v>
      </c>
      <c r="AA449" s="1" t="s">
        <v>2177</v>
      </c>
      <c r="AB449" s="1"/>
      <c r="AC449" s="1"/>
      <c r="AD449" s="1"/>
      <c r="AE449" s="1"/>
      <c r="AF449" s="1" t="s">
        <v>2178</v>
      </c>
      <c r="AG449" s="2" t="str">
        <f>"0670023736"</f>
        <v>0670023736</v>
      </c>
      <c r="AH449" s="2" t="str">
        <f>"9780670023738"</f>
        <v>9780670023738</v>
      </c>
      <c r="AI449" s="1">
        <v>0.0</v>
      </c>
      <c r="AJ449" s="1">
        <v>3.71</v>
      </c>
      <c r="AK449" s="1" t="s">
        <v>2179</v>
      </c>
      <c r="AL449" s="1" t="s">
        <v>41</v>
      </c>
      <c r="AM449" s="1">
        <v>275.0</v>
      </c>
      <c r="AN449" s="1">
        <v>2012.0</v>
      </c>
      <c r="AO449" s="1">
        <v>2012.0</v>
      </c>
      <c r="AQ449" s="3">
        <v>44205.0</v>
      </c>
      <c r="AR449" s="1" t="s">
        <v>2041</v>
      </c>
      <c r="AS449" s="1" t="s">
        <v>2180</v>
      </c>
      <c r="AT449" s="1" t="s">
        <v>31</v>
      </c>
      <c r="AX449" s="1">
        <v>0.0</v>
      </c>
      <c r="AY449" s="1">
        <v>0.0</v>
      </c>
    </row>
    <row r="450" spans="20:51" ht="15.75" hidden="1">
      <c r="T450" s="1">
        <v>4.0121985E7</v>
      </c>
      <c r="U450" s="1"/>
      <c r="V450" s="1"/>
      <c r="W450" s="1"/>
      <c r="X450" s="1"/>
      <c r="Y450" s="1" t="s">
        <v>2181</v>
      </c>
      <c r="Z450" s="1" t="s">
        <v>2182</v>
      </c>
      <c r="AA450" s="1" t="s">
        <v>2183</v>
      </c>
      <c r="AB450" s="1"/>
      <c r="AC450" s="1"/>
      <c r="AD450" s="1"/>
      <c r="AE450" s="1"/>
      <c r="AG450" s="2" t="str">
        <f>"0374172145"</f>
        <v>0374172145</v>
      </c>
      <c r="AH450" s="2" t="str">
        <f>"9780374172145"</f>
        <v>9780374172145</v>
      </c>
      <c r="AI450" s="1">
        <v>0.0</v>
      </c>
      <c r="AJ450" s="1">
        <v>4.46</v>
      </c>
      <c r="AK450" s="1" t="s">
        <v>89</v>
      </c>
      <c r="AL450" s="1" t="s">
        <v>41</v>
      </c>
      <c r="AM450" s="1">
        <v>513.0</v>
      </c>
      <c r="AN450" s="1">
        <v>2019.0</v>
      </c>
      <c r="AO450" s="1">
        <v>2019.0</v>
      </c>
      <c r="AQ450" s="4">
        <v>44165.0</v>
      </c>
      <c r="AR450" s="1" t="s">
        <v>2041</v>
      </c>
      <c r="AS450" s="1" t="s">
        <v>2184</v>
      </c>
      <c r="AT450" s="1" t="s">
        <v>31</v>
      </c>
      <c r="AX450" s="1">
        <v>0.0</v>
      </c>
      <c r="AY450" s="1">
        <v>0.0</v>
      </c>
    </row>
    <row r="451" spans="20:51" ht="15.75" hidden="1">
      <c r="T451" s="1">
        <v>3.4227425E7</v>
      </c>
      <c r="U451" s="1"/>
      <c r="V451" s="1"/>
      <c r="W451" s="1"/>
      <c r="X451" s="1"/>
      <c r="Y451" s="1" t="s">
        <v>2185</v>
      </c>
      <c r="Z451" s="1" t="s">
        <v>2186</v>
      </c>
      <c r="AA451" s="1" t="s">
        <v>2187</v>
      </c>
      <c r="AB451" s="1"/>
      <c r="AC451" s="1"/>
      <c r="AD451" s="1"/>
      <c r="AE451" s="1"/>
      <c r="AG451" s="2" t="str">
        <f>"022647075X"</f>
        <v>022647075X</v>
      </c>
      <c r="AH451" s="2" t="str">
        <f>"9780226470757"</f>
        <v>9780226470757</v>
      </c>
      <c r="AI451" s="1">
        <v>0.0</v>
      </c>
      <c r="AJ451" s="1">
        <v>3.99</v>
      </c>
      <c r="AK451" s="1" t="s">
        <v>224</v>
      </c>
      <c r="AL451" s="1" t="s">
        <v>41</v>
      </c>
      <c r="AM451" s="1">
        <v>352.0</v>
      </c>
      <c r="AN451" s="1">
        <v>2017.0</v>
      </c>
      <c r="AQ451" s="3">
        <v>44018.0</v>
      </c>
      <c r="AR451" s="1" t="s">
        <v>2188</v>
      </c>
      <c r="AS451" s="1" t="s">
        <v>2189</v>
      </c>
      <c r="AT451" s="1" t="s">
        <v>31</v>
      </c>
      <c r="AX451" s="1">
        <v>0.0</v>
      </c>
      <c r="AY451" s="1">
        <v>0.0</v>
      </c>
    </row>
    <row r="452" spans="20:51" ht="15.75" hidden="1">
      <c r="T452" s="1">
        <v>47632.0</v>
      </c>
      <c r="U452" s="1"/>
      <c r="V452" s="1"/>
      <c r="W452" s="1"/>
      <c r="X452" s="1"/>
      <c r="Y452" s="1" t="s">
        <v>2190</v>
      </c>
      <c r="Z452" s="1" t="s">
        <v>2191</v>
      </c>
      <c r="AA452" s="1" t="s">
        <v>2192</v>
      </c>
      <c r="AB452" s="1"/>
      <c r="AC452" s="1"/>
      <c r="AD452" s="1"/>
      <c r="AE452" s="1"/>
      <c r="AG452" s="2" t="str">
        <f>"0393927695"</f>
        <v>0393927695</v>
      </c>
      <c r="AH452" s="2" t="str">
        <f>"9780393927696"</f>
        <v>9780393927696</v>
      </c>
      <c r="AI452" s="1">
        <v>0.0</v>
      </c>
      <c r="AJ452" s="1">
        <v>3.93</v>
      </c>
      <c r="AK452" s="1" t="s">
        <v>113</v>
      </c>
      <c r="AL452" s="1" t="s">
        <v>28</v>
      </c>
      <c r="AM452" s="1">
        <v>352.0</v>
      </c>
      <c r="AN452" s="1">
        <v>2005.0</v>
      </c>
      <c r="AO452" s="1">
        <v>2000.0</v>
      </c>
      <c r="AQ452" s="4">
        <v>44165.0</v>
      </c>
      <c r="AR452" s="1" t="s">
        <v>2041</v>
      </c>
      <c r="AS452" s="1" t="s">
        <v>2193</v>
      </c>
      <c r="AT452" s="1" t="s">
        <v>31</v>
      </c>
      <c r="AX452" s="1">
        <v>0.0</v>
      </c>
      <c r="AY452" s="1">
        <v>0.0</v>
      </c>
    </row>
    <row r="453" spans="20:51" ht="15.75" hidden="1">
      <c r="T453" s="1">
        <v>7243316.0</v>
      </c>
      <c r="U453" s="1"/>
      <c r="V453" s="1"/>
      <c r="W453" s="1"/>
      <c r="X453" s="1"/>
      <c r="Y453" s="1" t="s">
        <v>2194</v>
      </c>
      <c r="Z453" s="1" t="s">
        <v>2195</v>
      </c>
      <c r="AA453" s="1" t="s">
        <v>2196</v>
      </c>
      <c r="AB453" s="1"/>
      <c r="AC453" s="1"/>
      <c r="AD453" s="1"/>
      <c r="AE453" s="1"/>
      <c r="AG453" s="2" t="str">
        <f>"0374251479"</f>
        <v>0374251479</v>
      </c>
      <c r="AH453" s="2" t="str">
        <f>"9780374251475"</f>
        <v>9780374251475</v>
      </c>
      <c r="AI453" s="1">
        <v>0.0</v>
      </c>
      <c r="AJ453" s="1">
        <v>4.06</v>
      </c>
      <c r="AK453" s="1" t="s">
        <v>89</v>
      </c>
      <c r="AL453" s="1" t="s">
        <v>41</v>
      </c>
      <c r="AM453" s="1">
        <v>304.0</v>
      </c>
      <c r="AN453" s="1">
        <v>2010.0</v>
      </c>
      <c r="AO453" s="1">
        <v>2010.0</v>
      </c>
      <c r="AQ453" s="3">
        <v>43952.0</v>
      </c>
      <c r="AR453" s="1" t="s">
        <v>1967</v>
      </c>
      <c r="AS453" s="1" t="s">
        <v>2197</v>
      </c>
      <c r="AT453" s="1" t="s">
        <v>31</v>
      </c>
      <c r="AX453" s="1">
        <v>0.0</v>
      </c>
      <c r="AY453" s="1">
        <v>0.0</v>
      </c>
    </row>
    <row r="454" spans="20:51" ht="15.75" hidden="1">
      <c r="T454" s="1">
        <v>1231982.0</v>
      </c>
      <c r="U454" s="1"/>
      <c r="V454" s="1"/>
      <c r="W454" s="1"/>
      <c r="X454" s="1"/>
      <c r="Y454" s="1" t="s">
        <v>2198</v>
      </c>
      <c r="Z454" s="1" t="s">
        <v>1553</v>
      </c>
      <c r="AA454" s="1" t="s">
        <v>1554</v>
      </c>
      <c r="AB454" s="1"/>
      <c r="AC454" s="1"/>
      <c r="AD454" s="1"/>
      <c r="AE454" s="1"/>
      <c r="AG454" s="2" t="str">
        <f>"0140044507"</f>
        <v>0140044507</v>
      </c>
      <c r="AH454" s="2" t="str">
        <f>"9780140044508"</f>
        <v>9780140044508</v>
      </c>
      <c r="AI454" s="1">
        <v>0.0</v>
      </c>
      <c r="AJ454" s="1">
        <v>4.2</v>
      </c>
      <c r="AK454" s="1" t="s">
        <v>460</v>
      </c>
      <c r="AL454" s="1" t="s">
        <v>28</v>
      </c>
      <c r="AM454" s="1">
        <v>312.0</v>
      </c>
      <c r="AN454" s="1">
        <v>1977.0</v>
      </c>
      <c r="AO454" s="1">
        <v>1963.0</v>
      </c>
      <c r="AQ454" s="3">
        <v>43160.0</v>
      </c>
      <c r="AR454" s="1" t="s">
        <v>1988</v>
      </c>
      <c r="AS454" s="1" t="s">
        <v>2199</v>
      </c>
      <c r="AT454" s="1" t="s">
        <v>31</v>
      </c>
      <c r="AX454" s="1">
        <v>0.0</v>
      </c>
      <c r="AY454" s="1">
        <v>1.0</v>
      </c>
    </row>
    <row r="455" spans="20:51" ht="15.75" hidden="1">
      <c r="T455" s="1">
        <v>2155366.0</v>
      </c>
      <c r="U455" s="1"/>
      <c r="V455" s="1"/>
      <c r="W455" s="1"/>
      <c r="X455" s="1"/>
      <c r="Y455" s="1" t="s">
        <v>2200</v>
      </c>
      <c r="Z455" s="1" t="s">
        <v>2201</v>
      </c>
      <c r="AA455" s="1" t="s">
        <v>2202</v>
      </c>
      <c r="AB455" s="1"/>
      <c r="AC455" s="1"/>
      <c r="AD455" s="1"/>
      <c r="AE455" s="1"/>
      <c r="AG455" s="2" t="str">
        <f>"1555218067"</f>
        <v>1555218067</v>
      </c>
      <c r="AH455" s="2" t="str">
        <f>"9781555218065"</f>
        <v>9781555218065</v>
      </c>
      <c r="AI455" s="1">
        <v>0.0</v>
      </c>
      <c r="AJ455" s="1">
        <v>3.72</v>
      </c>
      <c r="AK455" s="1" t="s">
        <v>2203</v>
      </c>
      <c r="AL455" s="1" t="s">
        <v>41</v>
      </c>
      <c r="AM455" s="1">
        <v>353.0</v>
      </c>
      <c r="AN455" s="1">
        <v>1992.0</v>
      </c>
      <c r="AO455" s="1">
        <v>1926.0</v>
      </c>
      <c r="AQ455" s="3">
        <v>43968.0</v>
      </c>
      <c r="AR455" s="1" t="s">
        <v>2041</v>
      </c>
      <c r="AS455" s="1" t="s">
        <v>2204</v>
      </c>
      <c r="AT455" s="1" t="s">
        <v>31</v>
      </c>
      <c r="AX455" s="1">
        <v>0.0</v>
      </c>
      <c r="AY455" s="1">
        <v>0.0</v>
      </c>
    </row>
    <row r="456" spans="20:51" ht="15.75" hidden="1">
      <c r="T456" s="1">
        <v>270008.0</v>
      </c>
      <c r="U456" s="1"/>
      <c r="V456" s="1"/>
      <c r="W456" s="1"/>
      <c r="X456" s="1"/>
      <c r="Y456" s="1" t="s">
        <v>2205</v>
      </c>
      <c r="Z456" s="1" t="s">
        <v>2206</v>
      </c>
      <c r="AA456" s="1" t="s">
        <v>2207</v>
      </c>
      <c r="AB456" s="1"/>
      <c r="AC456" s="1"/>
      <c r="AD456" s="1"/>
      <c r="AE456" s="1"/>
      <c r="AG456" s="2" t="str">
        <f>"067003407X"</f>
        <v>067003407X</v>
      </c>
      <c r="AH456" s="2" t="str">
        <f>"9780670034079"</f>
        <v>9780670034079</v>
      </c>
      <c r="AI456" s="1">
        <v>0.0</v>
      </c>
      <c r="AJ456" s="1">
        <v>3.97</v>
      </c>
      <c r="AK456" s="1" t="s">
        <v>2208</v>
      </c>
      <c r="AL456" s="1" t="s">
        <v>41</v>
      </c>
      <c r="AM456" s="1">
        <v>448.0</v>
      </c>
      <c r="AN456" s="1">
        <v>2005.0</v>
      </c>
      <c r="AO456" s="1">
        <v>2005.0</v>
      </c>
      <c r="AQ456" s="3">
        <v>43255.0</v>
      </c>
      <c r="AR456" s="1" t="s">
        <v>2041</v>
      </c>
      <c r="AS456" s="1" t="s">
        <v>2209</v>
      </c>
      <c r="AT456" s="1" t="s">
        <v>31</v>
      </c>
      <c r="AX456" s="1">
        <v>0.0</v>
      </c>
      <c r="AY456" s="1">
        <v>0.0</v>
      </c>
    </row>
    <row r="457" spans="20:51" ht="15.75" hidden="1">
      <c r="T457" s="1">
        <v>2.2955625E7</v>
      </c>
      <c r="U457" s="1"/>
      <c r="V457" s="1"/>
      <c r="W457" s="1"/>
      <c r="X457" s="1"/>
      <c r="Y457" s="1" t="s">
        <v>2210</v>
      </c>
      <c r="Z457" s="1" t="s">
        <v>2211</v>
      </c>
      <c r="AA457" s="1" t="s">
        <v>2212</v>
      </c>
      <c r="AB457" s="1"/>
      <c r="AC457" s="1"/>
      <c r="AD457" s="1"/>
      <c r="AE457" s="1"/>
      <c r="AG457" s="2" t="str">
        <f>"1782793429"</f>
        <v>1782793429</v>
      </c>
      <c r="AH457" s="2" t="str">
        <f>"9781782793427"</f>
        <v>9781782793427</v>
      </c>
      <c r="AI457" s="1">
        <v>0.0</v>
      </c>
      <c r="AJ457" s="1">
        <v>3.26</v>
      </c>
      <c r="AK457" s="1" t="s">
        <v>2213</v>
      </c>
      <c r="AL457" s="1" t="s">
        <v>28</v>
      </c>
      <c r="AM457" s="1">
        <v>213.0</v>
      </c>
      <c r="AN457" s="1">
        <v>2014.0</v>
      </c>
      <c r="AO457" s="1">
        <v>2014.0</v>
      </c>
      <c r="AQ457" s="3">
        <v>43101.0</v>
      </c>
      <c r="AR457" s="1" t="s">
        <v>2041</v>
      </c>
      <c r="AS457" s="1" t="s">
        <v>2214</v>
      </c>
      <c r="AT457" s="1" t="s">
        <v>31</v>
      </c>
      <c r="AX457" s="1">
        <v>0.0</v>
      </c>
      <c r="AY457" s="1">
        <v>0.0</v>
      </c>
    </row>
    <row r="458" spans="20:51" ht="15.75" hidden="1">
      <c r="T458" s="1">
        <v>5089290.0</v>
      </c>
      <c r="U458" s="1"/>
      <c r="V458" s="1"/>
      <c r="W458" s="1"/>
      <c r="X458" s="1"/>
      <c r="Y458" s="1" t="s">
        <v>2215</v>
      </c>
      <c r="Z458" s="1" t="s">
        <v>2216</v>
      </c>
      <c r="AA458" s="1" t="s">
        <v>2217</v>
      </c>
      <c r="AB458" s="1"/>
      <c r="AC458" s="1"/>
      <c r="AD458" s="1"/>
      <c r="AE458" s="1"/>
      <c r="AG458" s="2" t="str">
        <f>"1931859558"</f>
        <v>1931859558</v>
      </c>
      <c r="AH458" s="2" t="str">
        <f>"9781931859554"</f>
        <v>9781931859554</v>
      </c>
      <c r="AI458" s="1">
        <v>0.0</v>
      </c>
      <c r="AJ458" s="1">
        <v>4.0</v>
      </c>
      <c r="AK458" s="1" t="s">
        <v>2218</v>
      </c>
      <c r="AL458" s="1" t="s">
        <v>28</v>
      </c>
      <c r="AM458" s="1">
        <v>260.0</v>
      </c>
      <c r="AN458" s="1">
        <v>2008.0</v>
      </c>
      <c r="AO458" s="1">
        <v>2008.0</v>
      </c>
      <c r="AQ458" s="4">
        <v>43069.0</v>
      </c>
      <c r="AR458" s="1" t="s">
        <v>2041</v>
      </c>
      <c r="AS458" s="1" t="s">
        <v>2219</v>
      </c>
      <c r="AT458" s="1" t="s">
        <v>31</v>
      </c>
      <c r="AX458" s="1">
        <v>0.0</v>
      </c>
      <c r="AY458" s="1">
        <v>0.0</v>
      </c>
    </row>
    <row r="459" spans="20:51" ht="15.75" hidden="1">
      <c r="T459" s="1">
        <v>2.3847935E7</v>
      </c>
      <c r="U459" s="1"/>
      <c r="V459" s="1"/>
      <c r="W459" s="1"/>
      <c r="X459" s="1"/>
      <c r="Y459" s="1" t="s">
        <v>2220</v>
      </c>
      <c r="Z459" s="1" t="s">
        <v>2221</v>
      </c>
      <c r="AA459" s="1" t="s">
        <v>2222</v>
      </c>
      <c r="AB459" s="1"/>
      <c r="AC459" s="1"/>
      <c r="AD459" s="1"/>
      <c r="AE459" s="1"/>
      <c r="AG459" s="2" t="str">
        <f>"0374161801"</f>
        <v>0374161801</v>
      </c>
      <c r="AH459" s="2" t="str">
        <f>"9780374161804"</f>
        <v>9780374161804</v>
      </c>
      <c r="AI459" s="1">
        <v>0.0</v>
      </c>
      <c r="AJ459" s="1">
        <v>3.75</v>
      </c>
      <c r="AK459" s="1" t="s">
        <v>89</v>
      </c>
      <c r="AL459" s="1" t="s">
        <v>41</v>
      </c>
      <c r="AM459" s="1">
        <v>304.0</v>
      </c>
      <c r="AN459" s="1">
        <v>2016.0</v>
      </c>
      <c r="AO459" s="1">
        <v>2015.0</v>
      </c>
      <c r="AQ459" s="3">
        <v>42492.0</v>
      </c>
      <c r="AR459" s="1" t="s">
        <v>2041</v>
      </c>
      <c r="AS459" s="1" t="s">
        <v>2223</v>
      </c>
      <c r="AT459" s="1" t="s">
        <v>31</v>
      </c>
      <c r="AX459" s="1">
        <v>0.0</v>
      </c>
      <c r="AY459" s="1">
        <v>0.0</v>
      </c>
    </row>
    <row r="460" spans="20:51" ht="15.75" hidden="1">
      <c r="T460" s="1">
        <v>1.0641702E7</v>
      </c>
      <c r="U460" s="1"/>
      <c r="V460" s="1"/>
      <c r="W460" s="1"/>
      <c r="X460" s="1"/>
      <c r="Y460" s="1" t="s">
        <v>2224</v>
      </c>
      <c r="Z460" s="1" t="s">
        <v>2225</v>
      </c>
      <c r="AA460" s="1" t="s">
        <v>2226</v>
      </c>
      <c r="AB460" s="1"/>
      <c r="AC460" s="1"/>
      <c r="AD460" s="1"/>
      <c r="AE460" s="1"/>
      <c r="AG460" s="2" t="str">
        <f>"1844676927"</f>
        <v>1844676927</v>
      </c>
      <c r="AH460" s="2" t="str">
        <f>"9781844676927"</f>
        <v>9781844676927</v>
      </c>
      <c r="AI460" s="1">
        <v>0.0</v>
      </c>
      <c r="AJ460" s="1">
        <v>3.7</v>
      </c>
      <c r="AK460" s="1" t="s">
        <v>1973</v>
      </c>
      <c r="AL460" s="1" t="s">
        <v>41</v>
      </c>
      <c r="AM460" s="1">
        <v>192.0</v>
      </c>
      <c r="AN460" s="1">
        <v>2011.0</v>
      </c>
      <c r="AO460" s="1">
        <v>2009.0</v>
      </c>
      <c r="AQ460" s="3">
        <v>43048.0</v>
      </c>
      <c r="AR460" s="1" t="s">
        <v>1967</v>
      </c>
      <c r="AS460" s="1" t="s">
        <v>2227</v>
      </c>
      <c r="AT460" s="1" t="s">
        <v>31</v>
      </c>
      <c r="AX460" s="1">
        <v>0.0</v>
      </c>
      <c r="AY460" s="1">
        <v>0.0</v>
      </c>
    </row>
    <row r="461" spans="20:51" ht="15.75" hidden="1">
      <c r="T461" s="1">
        <v>224994.0</v>
      </c>
      <c r="U461" s="1"/>
      <c r="V461" s="1"/>
      <c r="W461" s="1"/>
      <c r="X461" s="1"/>
      <c r="Y461" s="1" t="s">
        <v>2228</v>
      </c>
      <c r="Z461" s="1" t="s">
        <v>2229</v>
      </c>
      <c r="AA461" s="1" t="s">
        <v>2230</v>
      </c>
      <c r="AB461" s="1"/>
      <c r="AC461" s="1"/>
      <c r="AD461" s="1"/>
      <c r="AE461" s="1"/>
      <c r="AG461" s="2" t="str">
        <f>"0553147374"</f>
        <v>0553147374</v>
      </c>
      <c r="AH461" s="2" t="str">
        <f>"9780553147377"</f>
        <v>9780553147377</v>
      </c>
      <c r="AI461" s="1">
        <v>0.0</v>
      </c>
      <c r="AJ461" s="1">
        <v>3.86</v>
      </c>
      <c r="AK461" s="1" t="s">
        <v>1922</v>
      </c>
      <c r="AL461" s="1" t="s">
        <v>28</v>
      </c>
      <c r="AM461" s="1">
        <v>206.0</v>
      </c>
      <c r="AN461" s="1">
        <v>1981.0</v>
      </c>
      <c r="AO461" s="1">
        <v>1978.0</v>
      </c>
      <c r="AQ461" s="3">
        <v>41056.0</v>
      </c>
      <c r="AR461" s="1" t="s">
        <v>1967</v>
      </c>
      <c r="AS461" s="1" t="s">
        <v>2231</v>
      </c>
      <c r="AT461" s="1" t="s">
        <v>31</v>
      </c>
      <c r="AX461" s="1">
        <v>0.0</v>
      </c>
      <c r="AY461" s="1">
        <v>0.0</v>
      </c>
    </row>
    <row r="462" spans="20:51" ht="15.75" hidden="1">
      <c r="T462" s="1">
        <v>22584.0</v>
      </c>
      <c r="U462" s="1"/>
      <c r="V462" s="1"/>
      <c r="W462" s="1"/>
      <c r="X462" s="1"/>
      <c r="Y462" s="1" t="s">
        <v>2232</v>
      </c>
      <c r="Z462" s="1" t="s">
        <v>2233</v>
      </c>
      <c r="AA462" s="1" t="s">
        <v>2234</v>
      </c>
      <c r="AB462" s="1"/>
      <c r="AC462" s="1"/>
      <c r="AD462" s="1"/>
      <c r="AE462" s="1"/>
      <c r="AF462" s="1" t="s">
        <v>2235</v>
      </c>
      <c r="AG462" s="2" t="str">
        <f>"1857983416"</f>
        <v>1857983416</v>
      </c>
      <c r="AH462" s="2" t="str">
        <f>"9781857983418"</f>
        <v>9781857983418</v>
      </c>
      <c r="AI462" s="1">
        <v>0.0</v>
      </c>
      <c r="AJ462" s="1">
        <v>3.92</v>
      </c>
      <c r="AK462" s="1" t="s">
        <v>2236</v>
      </c>
      <c r="AL462" s="1" t="s">
        <v>28</v>
      </c>
      <c r="AM462" s="1">
        <v>204.0</v>
      </c>
      <c r="AN462" s="1">
        <v>2001.0</v>
      </c>
      <c r="AO462" s="1">
        <v>1974.0</v>
      </c>
      <c r="AQ462" s="3">
        <v>45129.0</v>
      </c>
      <c r="AR462" s="1" t="s">
        <v>1967</v>
      </c>
      <c r="AS462" s="1" t="s">
        <v>2237</v>
      </c>
      <c r="AT462" s="1" t="s">
        <v>31</v>
      </c>
      <c r="AX462" s="1">
        <v>0.0</v>
      </c>
      <c r="AY462" s="1">
        <v>0.0</v>
      </c>
    </row>
    <row r="463" spans="20:51" ht="15.75" hidden="1">
      <c r="T463" s="1">
        <v>1.7661117E7</v>
      </c>
      <c r="U463" s="1"/>
      <c r="V463" s="1"/>
      <c r="W463" s="1"/>
      <c r="X463" s="1"/>
      <c r="Y463" s="1" t="s">
        <v>2238</v>
      </c>
      <c r="Z463" s="1" t="s">
        <v>2239</v>
      </c>
      <c r="AA463" s="1" t="s">
        <v>2240</v>
      </c>
      <c r="AB463" s="1"/>
      <c r="AC463" s="1"/>
      <c r="AD463" s="1"/>
      <c r="AE463" s="1"/>
      <c r="AG463" s="2" t="str">
        <f t="shared" si="29" ref="AG463:AH463">""</f>
        <v/>
      </c>
      <c r="AH463" s="2" t="str">
        <f t="shared" si="29"/>
        <v/>
      </c>
      <c r="AI463" s="1">
        <v>0.0</v>
      </c>
      <c r="AJ463" s="1">
        <v>4.08</v>
      </c>
      <c r="AK463" s="1" t="s">
        <v>2241</v>
      </c>
      <c r="AL463" s="1" t="s">
        <v>41</v>
      </c>
      <c r="AM463" s="1">
        <v>361.0</v>
      </c>
      <c r="AN463" s="1">
        <v>1972.0</v>
      </c>
      <c r="AO463" s="1">
        <v>1948.0</v>
      </c>
      <c r="AQ463" s="3">
        <v>45161.0</v>
      </c>
      <c r="AR463" s="1" t="s">
        <v>2242</v>
      </c>
      <c r="AS463" s="1" t="s">
        <v>2243</v>
      </c>
      <c r="AT463" s="1" t="s">
        <v>31</v>
      </c>
      <c r="AX463" s="1">
        <v>0.0</v>
      </c>
      <c r="AY463" s="1">
        <v>1.0</v>
      </c>
    </row>
    <row r="464" spans="20:51" ht="15.75" hidden="1">
      <c r="T464" s="1">
        <v>1.6059837E7</v>
      </c>
      <c r="U464" s="1"/>
      <c r="V464" s="1"/>
      <c r="W464" s="1"/>
      <c r="X464" s="1"/>
      <c r="Y464" s="1" t="s">
        <v>2244</v>
      </c>
      <c r="Z464" s="1" t="s">
        <v>2245</v>
      </c>
      <c r="AA464" s="1" t="s">
        <v>2246</v>
      </c>
      <c r="AB464" s="1"/>
      <c r="AC464" s="1"/>
      <c r="AD464" s="1"/>
      <c r="AE464" s="1"/>
      <c r="AF464" s="1" t="s">
        <v>2247</v>
      </c>
      <c r="AG464" s="2" t="str">
        <f>"1455573825"</f>
        <v>1455573825</v>
      </c>
      <c r="AH464" s="2" t="str">
        <f>"9781455573820"</f>
        <v>9781455573820</v>
      </c>
      <c r="AI464" s="1">
        <v>0.0</v>
      </c>
      <c r="AJ464" s="1">
        <v>3.76</v>
      </c>
      <c r="AK464" s="1" t="s">
        <v>2248</v>
      </c>
      <c r="AL464" s="1" t="s">
        <v>28</v>
      </c>
      <c r="AM464" s="1">
        <v>368.0</v>
      </c>
      <c r="AN464" s="1">
        <v>2013.0</v>
      </c>
      <c r="AO464" s="1">
        <v>2008.0</v>
      </c>
      <c r="AQ464" s="3">
        <v>45113.0</v>
      </c>
      <c r="AR464" s="1" t="s">
        <v>1988</v>
      </c>
      <c r="AS464" s="1" t="s">
        <v>2249</v>
      </c>
      <c r="AT464" s="1" t="s">
        <v>31</v>
      </c>
      <c r="AX464" s="1">
        <v>0.0</v>
      </c>
      <c r="AY464" s="1">
        <v>1.0</v>
      </c>
    </row>
    <row r="465" spans="20:51" ht="15.75" hidden="1">
      <c r="T465" s="1">
        <v>105992.0</v>
      </c>
      <c r="U465" s="1"/>
      <c r="V465" s="1"/>
      <c r="W465" s="1"/>
      <c r="X465" s="1"/>
      <c r="Y465" s="1" t="s">
        <v>2250</v>
      </c>
      <c r="Z465" s="1" t="s">
        <v>2251</v>
      </c>
      <c r="AA465" s="1" t="s">
        <v>2252</v>
      </c>
      <c r="AB465" s="1"/>
      <c r="AC465" s="1"/>
      <c r="AD465" s="1"/>
      <c r="AE465" s="1"/>
      <c r="AF465" s="1" t="s">
        <v>2253</v>
      </c>
      <c r="AG465" s="2" t="str">
        <f>"0393322238"</f>
        <v>0393322238</v>
      </c>
      <c r="AH465" s="2" t="str">
        <f>"9780393322231"</f>
        <v>9780393322231</v>
      </c>
      <c r="AI465" s="1">
        <v>0.0</v>
      </c>
      <c r="AJ465" s="1">
        <v>4.06</v>
      </c>
      <c r="AK465" s="1" t="s">
        <v>2254</v>
      </c>
      <c r="AL465" s="1" t="s">
        <v>28</v>
      </c>
      <c r="AM465" s="1">
        <v>689.0</v>
      </c>
      <c r="AN465" s="1">
        <v>2001.0</v>
      </c>
      <c r="AO465" s="1">
        <v>1974.0</v>
      </c>
      <c r="AQ465" s="3">
        <v>41035.0</v>
      </c>
      <c r="AR465" s="1" t="s">
        <v>1988</v>
      </c>
      <c r="AS465" s="1" t="s">
        <v>2255</v>
      </c>
      <c r="AT465" s="1" t="s">
        <v>31</v>
      </c>
      <c r="AX465" s="1">
        <v>0.0</v>
      </c>
      <c r="AY465" s="1">
        <v>1.0</v>
      </c>
    </row>
    <row r="466" spans="20:51" ht="15.75" hidden="1">
      <c r="T466" s="1">
        <v>5632446.0</v>
      </c>
      <c r="U466" s="1"/>
      <c r="V466" s="1"/>
      <c r="W466" s="1"/>
      <c r="X466" s="1"/>
      <c r="Y466" s="1" t="s">
        <v>2256</v>
      </c>
      <c r="Z466" s="1" t="s">
        <v>2257</v>
      </c>
      <c r="AA466" s="1" t="s">
        <v>2258</v>
      </c>
      <c r="AB466" s="1"/>
      <c r="AC466" s="1"/>
      <c r="AD466" s="1"/>
      <c r="AE466" s="1"/>
      <c r="AG466" s="2" t="str">
        <f>"0446546933"</f>
        <v>0446546933</v>
      </c>
      <c r="AH466" s="2" t="str">
        <f>"9780446546935"</f>
        <v>9780446546935</v>
      </c>
      <c r="AI466" s="1">
        <v>4.0</v>
      </c>
      <c r="AJ466" s="1">
        <v>4.28</v>
      </c>
      <c r="AK466" s="1" t="s">
        <v>2259</v>
      </c>
      <c r="AL466" s="1" t="s">
        <v>41</v>
      </c>
      <c r="AM466" s="1">
        <v>417.0</v>
      </c>
      <c r="AN466" s="1">
        <v>2009.0</v>
      </c>
      <c r="AO466" s="1">
        <v>2009.0</v>
      </c>
      <c r="AP466" s="3">
        <v>41120.0</v>
      </c>
      <c r="AQ466" s="3">
        <v>40915.0</v>
      </c>
      <c r="AR466" s="1" t="s">
        <v>2260</v>
      </c>
      <c r="AS466" s="1" t="s">
        <v>2261</v>
      </c>
      <c r="AT466" s="1" t="s">
        <v>127</v>
      </c>
      <c r="AU466" s="1" t="s">
        <v>2262</v>
      </c>
      <c r="AX466" s="1">
        <v>1.0</v>
      </c>
      <c r="AY466" s="1">
        <v>1.0</v>
      </c>
    </row>
    <row r="467" spans="20:51" ht="15.75" hidden="1">
      <c r="T467" s="1">
        <v>1.8777894E7</v>
      </c>
      <c r="U467" s="1"/>
      <c r="V467" s="1"/>
      <c r="W467" s="1"/>
      <c r="X467" s="1"/>
      <c r="Y467" s="1" t="s">
        <v>2263</v>
      </c>
      <c r="Z467" s="1" t="s">
        <v>2264</v>
      </c>
      <c r="AA467" s="1" t="s">
        <v>2265</v>
      </c>
      <c r="AB467" s="1"/>
      <c r="AC467" s="1"/>
      <c r="AD467" s="1"/>
      <c r="AE467" s="1"/>
      <c r="AG467" s="2" t="str">
        <f>"3836549360"</f>
        <v>3836549360</v>
      </c>
      <c r="AH467" s="2" t="str">
        <f>"9783836549363"</f>
        <v>9783836549363</v>
      </c>
      <c r="AI467" s="1">
        <v>0.0</v>
      </c>
      <c r="AJ467" s="1">
        <v>4.26</v>
      </c>
      <c r="AK467" s="1" t="s">
        <v>2266</v>
      </c>
      <c r="AL467" s="1" t="s">
        <v>41</v>
      </c>
      <c r="AM467" s="1">
        <v>575.0</v>
      </c>
      <c r="AN467" s="1">
        <v>2014.0</v>
      </c>
      <c r="AO467" s="1">
        <v>1996.0</v>
      </c>
      <c r="AQ467" s="3">
        <v>44814.0</v>
      </c>
      <c r="AR467" s="1" t="s">
        <v>2267</v>
      </c>
      <c r="AS467" s="1" t="s">
        <v>2268</v>
      </c>
      <c r="AT467" s="1" t="s">
        <v>31</v>
      </c>
      <c r="AX467" s="1">
        <v>0.0</v>
      </c>
      <c r="AY467" s="1">
        <v>1.0</v>
      </c>
    </row>
    <row r="468" spans="20:51" ht="15.75" hidden="1">
      <c r="T468" s="1">
        <v>2703756.0</v>
      </c>
      <c r="U468" s="1"/>
      <c r="V468" s="1"/>
      <c r="W468" s="1"/>
      <c r="X468" s="1"/>
      <c r="Y468" s="1" t="s">
        <v>2269</v>
      </c>
      <c r="Z468" s="1" t="s">
        <v>2270</v>
      </c>
      <c r="AA468" s="1" t="s">
        <v>2271</v>
      </c>
      <c r="AB468" s="1"/>
      <c r="AC468" s="1"/>
      <c r="AD468" s="1"/>
      <c r="AE468" s="1"/>
      <c r="AG468" s="2" t="str">
        <f>"096584319X"</f>
        <v>096584319X</v>
      </c>
      <c r="AH468" s="2" t="str">
        <f>"9780965843195"</f>
        <v>9780965843195</v>
      </c>
      <c r="AI468" s="1">
        <v>0.0</v>
      </c>
      <c r="AJ468" s="1">
        <v>3.8</v>
      </c>
      <c r="AK468" s="1" t="s">
        <v>200</v>
      </c>
      <c r="AL468" s="1" t="s">
        <v>28</v>
      </c>
      <c r="AM468" s="1">
        <v>628.0</v>
      </c>
      <c r="AN468" s="1">
        <v>1997.0</v>
      </c>
      <c r="AO468" s="1">
        <v>1996.0</v>
      </c>
      <c r="AQ468" s="3">
        <v>45129.0</v>
      </c>
      <c r="AR468" s="1" t="s">
        <v>1988</v>
      </c>
      <c r="AS468" s="1" t="s">
        <v>2272</v>
      </c>
      <c r="AT468" s="1" t="s">
        <v>31</v>
      </c>
      <c r="AX468" s="1">
        <v>0.0</v>
      </c>
      <c r="AY468" s="1">
        <v>1.0</v>
      </c>
    </row>
    <row r="469" spans="20:51" ht="15.75" hidden="1">
      <c r="T469" s="1">
        <v>3.0265353E7</v>
      </c>
      <c r="U469" s="1"/>
      <c r="V469" s="1"/>
      <c r="W469" s="1"/>
      <c r="X469" s="1"/>
      <c r="Y469" s="1" t="s">
        <v>2273</v>
      </c>
      <c r="Z469" s="1" t="s">
        <v>2274</v>
      </c>
      <c r="AA469" s="1" t="s">
        <v>2275</v>
      </c>
      <c r="AB469" s="1"/>
      <c r="AC469" s="1"/>
      <c r="AD469" s="1"/>
      <c r="AE469" s="1"/>
      <c r="AG469" s="2" t="str">
        <f>"1786630680"</f>
        <v>1786630680</v>
      </c>
      <c r="AH469" s="2" t="str">
        <f>"9781786630681"</f>
        <v>9781786630681</v>
      </c>
      <c r="AI469" s="1">
        <v>0.0</v>
      </c>
      <c r="AJ469" s="1">
        <v>4.17</v>
      </c>
      <c r="AK469" s="1" t="s">
        <v>1973</v>
      </c>
      <c r="AL469" s="1" t="s">
        <v>28</v>
      </c>
      <c r="AM469" s="1">
        <v>224.0</v>
      </c>
      <c r="AN469" s="1">
        <v>2017.0</v>
      </c>
      <c r="AO469" s="1">
        <v>1999.0</v>
      </c>
      <c r="AQ469" s="3">
        <v>45129.0</v>
      </c>
      <c r="AR469" s="1" t="s">
        <v>1988</v>
      </c>
      <c r="AS469" s="1" t="s">
        <v>2276</v>
      </c>
      <c r="AT469" s="1" t="s">
        <v>31</v>
      </c>
      <c r="AX469" s="1">
        <v>0.0</v>
      </c>
      <c r="AY469" s="1">
        <v>1.0</v>
      </c>
    </row>
    <row r="470" spans="20:51" ht="15.75" hidden="1">
      <c r="T470" s="1">
        <v>8912426.0</v>
      </c>
      <c r="U470" s="1"/>
      <c r="V470" s="1"/>
      <c r="W470" s="1"/>
      <c r="X470" s="1"/>
      <c r="Y470" s="1" t="s">
        <v>2277</v>
      </c>
      <c r="Z470" s="1" t="s">
        <v>2278</v>
      </c>
      <c r="AA470" s="1" t="s">
        <v>2279</v>
      </c>
      <c r="AB470" s="1"/>
      <c r="AC470" s="1"/>
      <c r="AD470" s="1"/>
      <c r="AE470" s="1"/>
      <c r="AG470" s="2" t="str">
        <f>"0312671938"</f>
        <v>0312671938</v>
      </c>
      <c r="AH470" s="2" t="str">
        <f>"9780312671938"</f>
        <v>9780312671938</v>
      </c>
      <c r="AI470" s="1">
        <v>0.0</v>
      </c>
      <c r="AJ470" s="1">
        <v>4.06</v>
      </c>
      <c r="AK470" s="1" t="s">
        <v>2139</v>
      </c>
      <c r="AL470" s="1" t="s">
        <v>28</v>
      </c>
      <c r="AM470" s="1">
        <v>360.0</v>
      </c>
      <c r="AN470" s="1">
        <v>2010.0</v>
      </c>
      <c r="AO470" s="1">
        <v>1994.0</v>
      </c>
      <c r="AQ470" s="3">
        <v>42545.0</v>
      </c>
      <c r="AR470" s="1" t="s">
        <v>2280</v>
      </c>
      <c r="AS470" s="1" t="s">
        <v>2281</v>
      </c>
      <c r="AT470" s="1" t="s">
        <v>31</v>
      </c>
      <c r="AX470" s="1">
        <v>0.0</v>
      </c>
      <c r="AY470" s="1">
        <v>1.0</v>
      </c>
    </row>
    <row r="471" spans="20:51" ht="15.75" hidden="1">
      <c r="T471" s="1">
        <v>1.2053371E7</v>
      </c>
      <c r="U471" s="1"/>
      <c r="V471" s="1"/>
      <c r="W471" s="1"/>
      <c r="X471" s="1"/>
      <c r="Y471" s="1" t="s">
        <v>2282</v>
      </c>
      <c r="Z471" s="1" t="s">
        <v>2283</v>
      </c>
      <c r="AA471" s="1" t="s">
        <v>2284</v>
      </c>
      <c r="AB471" s="1"/>
      <c r="AC471" s="1"/>
      <c r="AD471" s="1"/>
      <c r="AE471" s="1"/>
      <c r="AG471" s="2" t="str">
        <f>"0807044431"</f>
        <v>0807044431</v>
      </c>
      <c r="AH471" s="2" t="str">
        <f>"9780807044438"</f>
        <v>9780807044438</v>
      </c>
      <c r="AI471" s="1">
        <v>5.0</v>
      </c>
      <c r="AJ471" s="1">
        <v>3.77</v>
      </c>
      <c r="AK471" s="1" t="s">
        <v>831</v>
      </c>
      <c r="AL471" s="1" t="s">
        <v>41</v>
      </c>
      <c r="AM471" s="1">
        <v>228.0</v>
      </c>
      <c r="AN471" s="1">
        <v>2012.0</v>
      </c>
      <c r="AO471" s="1">
        <v>2012.0</v>
      </c>
      <c r="AP471" s="3">
        <v>43155.0</v>
      </c>
      <c r="AQ471" s="3">
        <v>43046.0</v>
      </c>
      <c r="AR471" s="1" t="s">
        <v>2285</v>
      </c>
      <c r="AS471" s="1" t="s">
        <v>2286</v>
      </c>
      <c r="AT471" s="1" t="s">
        <v>127</v>
      </c>
      <c r="AX471" s="1">
        <v>1.0</v>
      </c>
      <c r="AY471" s="1">
        <v>1.0</v>
      </c>
    </row>
    <row r="472" spans="20:51" ht="15.75" hidden="1">
      <c r="T472" s="1">
        <v>1.1515362E7</v>
      </c>
      <c r="U472" s="1"/>
      <c r="V472" s="1"/>
      <c r="W472" s="1"/>
      <c r="X472" s="1"/>
      <c r="Y472" s="1" t="s">
        <v>2287</v>
      </c>
      <c r="Z472" s="1" t="s">
        <v>2288</v>
      </c>
      <c r="AA472" s="1" t="s">
        <v>2289</v>
      </c>
      <c r="AB472" s="1"/>
      <c r="AC472" s="1"/>
      <c r="AD472" s="1"/>
      <c r="AE472" s="1"/>
      <c r="AG472" s="2" t="str">
        <f>"0446563137"</f>
        <v>0446563137</v>
      </c>
      <c r="AH472" s="2" t="str">
        <f>"9780446563130"</f>
        <v>9780446563130</v>
      </c>
      <c r="AI472" s="1">
        <v>4.0</v>
      </c>
      <c r="AJ472" s="1">
        <v>4.12</v>
      </c>
      <c r="AK472" s="1" t="s">
        <v>2259</v>
      </c>
      <c r="AL472" s="1" t="s">
        <v>41</v>
      </c>
      <c r="AM472" s="1">
        <v>371.0</v>
      </c>
      <c r="AN472" s="1">
        <v>2012.0</v>
      </c>
      <c r="AO472" s="1">
        <v>2012.0</v>
      </c>
      <c r="AP472" s="3">
        <v>42039.0</v>
      </c>
      <c r="AQ472" s="4">
        <v>41632.0</v>
      </c>
      <c r="AR472" s="1" t="s">
        <v>2280</v>
      </c>
      <c r="AS472" s="1" t="s">
        <v>2290</v>
      </c>
      <c r="AT472" s="1" t="s">
        <v>31</v>
      </c>
      <c r="AX472" s="1">
        <v>1.0</v>
      </c>
      <c r="AY472" s="1">
        <v>1.0</v>
      </c>
    </row>
    <row r="473" spans="20:51" ht="15.75" hidden="1">
      <c r="T473" s="1">
        <v>3.0112185E7</v>
      </c>
      <c r="U473" s="1"/>
      <c r="V473" s="1"/>
      <c r="W473" s="1"/>
      <c r="X473" s="1"/>
      <c r="Y473" s="1" t="s">
        <v>2291</v>
      </c>
      <c r="Z473" s="1" t="s">
        <v>2292</v>
      </c>
      <c r="AA473" s="1" t="s">
        <v>2293</v>
      </c>
      <c r="AB473" s="1"/>
      <c r="AC473" s="1"/>
      <c r="AD473" s="1"/>
      <c r="AE473" s="1"/>
      <c r="AG473" s="2" t="str">
        <f>"0141393149"</f>
        <v>0141393149</v>
      </c>
      <c r="AH473" s="2" t="str">
        <f>"9780141393148"</f>
        <v>9780141393148</v>
      </c>
      <c r="AI473" s="1">
        <v>0.0</v>
      </c>
      <c r="AJ473" s="1">
        <v>3.75</v>
      </c>
      <c r="AK473" s="1" t="s">
        <v>232</v>
      </c>
      <c r="AL473" s="1" t="s">
        <v>28</v>
      </c>
      <c r="AM473" s="1">
        <v>704.0</v>
      </c>
      <c r="AN473" s="1">
        <v>2017.0</v>
      </c>
      <c r="AO473" s="1">
        <v>2016.0</v>
      </c>
      <c r="AQ473" s="3">
        <v>43247.0</v>
      </c>
      <c r="AR473" s="1" t="s">
        <v>1988</v>
      </c>
      <c r="AS473" s="1" t="s">
        <v>2294</v>
      </c>
      <c r="AT473" s="1" t="s">
        <v>31</v>
      </c>
      <c r="AX473" s="1">
        <v>0.0</v>
      </c>
      <c r="AY473" s="1">
        <v>1.0</v>
      </c>
    </row>
    <row r="474" spans="20:51" ht="15.75" hidden="1">
      <c r="T474" s="1">
        <v>690051.0</v>
      </c>
      <c r="U474" s="1"/>
      <c r="V474" s="1"/>
      <c r="W474" s="1"/>
      <c r="X474" s="1"/>
      <c r="Y474" s="1" t="s">
        <v>2295</v>
      </c>
      <c r="Z474" s="1" t="s">
        <v>2296</v>
      </c>
      <c r="AA474" s="1" t="s">
        <v>2297</v>
      </c>
      <c r="AB474" s="1"/>
      <c r="AC474" s="1"/>
      <c r="AD474" s="1"/>
      <c r="AE474" s="1"/>
      <c r="AG474" s="2" t="str">
        <f>"0316013323"</f>
        <v>0316013323</v>
      </c>
      <c r="AH474" s="2" t="str">
        <f>"9780316013321"</f>
        <v>9780316013321</v>
      </c>
      <c r="AI474" s="1">
        <v>0.0</v>
      </c>
      <c r="AJ474" s="1">
        <v>4.18</v>
      </c>
      <c r="AK474" s="1" t="s">
        <v>1717</v>
      </c>
      <c r="AL474" s="1" t="s">
        <v>28</v>
      </c>
      <c r="AM474" s="1">
        <v>344.0</v>
      </c>
      <c r="AN474" s="1">
        <v>2007.0</v>
      </c>
      <c r="AO474" s="1">
        <v>2005.0</v>
      </c>
      <c r="AQ474" s="3">
        <v>45159.0</v>
      </c>
      <c r="AR474" s="1" t="s">
        <v>1988</v>
      </c>
      <c r="AS474" s="1" t="s">
        <v>2298</v>
      </c>
      <c r="AT474" s="1" t="s">
        <v>31</v>
      </c>
      <c r="AX474" s="1">
        <v>0.0</v>
      </c>
      <c r="AY474" s="1">
        <v>1.0</v>
      </c>
    </row>
    <row r="475" spans="20:51" ht="15.75" hidden="1">
      <c r="T475" s="1">
        <v>9151556.0</v>
      </c>
      <c r="U475" s="1"/>
      <c r="V475" s="1"/>
      <c r="W475" s="1"/>
      <c r="X475" s="1"/>
      <c r="Y475" s="1" t="s">
        <v>2299</v>
      </c>
      <c r="Z475" s="1" t="s">
        <v>2300</v>
      </c>
      <c r="AA475" s="1" t="s">
        <v>2301</v>
      </c>
      <c r="AB475" s="1"/>
      <c r="AC475" s="1"/>
      <c r="AD475" s="1"/>
      <c r="AE475" s="1"/>
      <c r="AF475" s="1" t="s">
        <v>2302</v>
      </c>
      <c r="AG475" s="2" t="str">
        <f>"0571231624"</f>
        <v>0571231624</v>
      </c>
      <c r="AH475" s="2" t="str">
        <f>"9780571231621"</f>
        <v>9780571231621</v>
      </c>
      <c r="AI475" s="1">
        <v>0.0</v>
      </c>
      <c r="AJ475" s="1">
        <v>4.22</v>
      </c>
      <c r="AK475" s="1" t="s">
        <v>285</v>
      </c>
      <c r="AL475" s="1" t="s">
        <v>28</v>
      </c>
      <c r="AM475" s="1">
        <v>240.0</v>
      </c>
      <c r="AN475" s="1">
        <v>2010.0</v>
      </c>
      <c r="AO475" s="1">
        <v>2010.0</v>
      </c>
      <c r="AQ475" s="3">
        <v>45113.0</v>
      </c>
      <c r="AR475" s="1" t="s">
        <v>1988</v>
      </c>
      <c r="AS475" s="1" t="s">
        <v>2303</v>
      </c>
      <c r="AT475" s="1" t="s">
        <v>31</v>
      </c>
      <c r="AX475" s="1">
        <v>0.0</v>
      </c>
      <c r="AY475" s="1">
        <v>1.0</v>
      </c>
    </row>
    <row r="476" spans="20:51" ht="15.75" hidden="1">
      <c r="T476" s="1">
        <v>5.6212581E7</v>
      </c>
      <c r="U476" s="1"/>
      <c r="V476" s="1"/>
      <c r="W476" s="1"/>
      <c r="X476" s="1"/>
      <c r="Y476" s="1" t="s">
        <v>2304</v>
      </c>
      <c r="Z476" s="1" t="s">
        <v>2305</v>
      </c>
      <c r="AA476" s="1" t="s">
        <v>2306</v>
      </c>
      <c r="AB476" s="1"/>
      <c r="AC476" s="1"/>
      <c r="AD476" s="1"/>
      <c r="AE476" s="1"/>
      <c r="AG476" s="2" t="str">
        <f>"0525567321"</f>
        <v>0525567321</v>
      </c>
      <c r="AH476" s="2" t="str">
        <f>"9780525567325"</f>
        <v>9780525567325</v>
      </c>
      <c r="AI476" s="1">
        <v>0.0</v>
      </c>
      <c r="AJ476" s="1">
        <v>4.49</v>
      </c>
      <c r="AK476" s="1" t="s">
        <v>2017</v>
      </c>
      <c r="AL476" s="1" t="s">
        <v>28</v>
      </c>
      <c r="AM476" s="1">
        <v>640.0</v>
      </c>
      <c r="AN476" s="1">
        <v>2021.0</v>
      </c>
      <c r="AO476" s="1">
        <v>2021.0</v>
      </c>
      <c r="AQ476" s="3">
        <v>45113.0</v>
      </c>
      <c r="AR476" s="1" t="s">
        <v>1988</v>
      </c>
      <c r="AS476" s="1" t="s">
        <v>2307</v>
      </c>
      <c r="AT476" s="1" t="s">
        <v>31</v>
      </c>
      <c r="AX476" s="1">
        <v>1.0</v>
      </c>
      <c r="AY476" s="1">
        <v>1.0</v>
      </c>
    </row>
    <row r="477" spans="20:51" ht="15.75" hidden="1">
      <c r="T477" s="1">
        <v>7173952.0</v>
      </c>
      <c r="U477" s="1"/>
      <c r="V477" s="1"/>
      <c r="W477" s="1"/>
      <c r="X477" s="1"/>
      <c r="Y477" s="1" t="s">
        <v>2308</v>
      </c>
      <c r="Z477" s="1" t="s">
        <v>2309</v>
      </c>
      <c r="AA477" s="1" t="s">
        <v>2310</v>
      </c>
      <c r="AB477" s="1"/>
      <c r="AC477" s="1"/>
      <c r="AD477" s="1"/>
      <c r="AE477" s="1"/>
      <c r="AG477" s="2" t="str">
        <f>"0307387941"</f>
        <v>0307387941</v>
      </c>
      <c r="AH477" s="2" t="str">
        <f>"9780307387943"</f>
        <v>9780307387943</v>
      </c>
      <c r="AI477" s="1">
        <v>0.0</v>
      </c>
      <c r="AJ477" s="1">
        <v>4.05</v>
      </c>
      <c r="AK477" s="1" t="s">
        <v>83</v>
      </c>
      <c r="AL477" s="1" t="s">
        <v>28</v>
      </c>
      <c r="AM477" s="1">
        <v>325.0</v>
      </c>
      <c r="AN477" s="1">
        <v>2010.0</v>
      </c>
      <c r="AO477" s="1">
        <v>2009.0</v>
      </c>
      <c r="AQ477" s="3">
        <v>45114.0</v>
      </c>
      <c r="AR477" s="1" t="s">
        <v>1988</v>
      </c>
      <c r="AS477" s="1" t="s">
        <v>2311</v>
      </c>
      <c r="AT477" s="1" t="s">
        <v>31</v>
      </c>
      <c r="AX477" s="1">
        <v>0.0</v>
      </c>
      <c r="AY477" s="1">
        <v>1.0</v>
      </c>
    </row>
    <row r="478" spans="20:51" ht="15.75" hidden="1">
      <c r="T478" s="1">
        <v>1.0677213E7</v>
      </c>
      <c r="U478" s="1"/>
      <c r="V478" s="1"/>
      <c r="W478" s="1"/>
      <c r="X478" s="1"/>
      <c r="Y478" s="1" t="s">
        <v>2312</v>
      </c>
      <c r="Z478" s="1" t="s">
        <v>2313</v>
      </c>
      <c r="AA478" s="1" t="s">
        <v>2314</v>
      </c>
      <c r="AB478" s="1"/>
      <c r="AC478" s="1"/>
      <c r="AD478" s="1"/>
      <c r="AE478" s="1"/>
      <c r="AF478" s="1" t="s">
        <v>2315</v>
      </c>
      <c r="AG478" s="2" t="str">
        <f>"0375507485"</f>
        <v>0375507485</v>
      </c>
      <c r="AH478" s="2" t="str">
        <f>"9780375507489"</f>
        <v>9780375507489</v>
      </c>
      <c r="AI478" s="1">
        <v>0.0</v>
      </c>
      <c r="AJ478" s="1">
        <v>4.16</v>
      </c>
      <c r="AK478" s="1" t="s">
        <v>988</v>
      </c>
      <c r="AL478" s="1" t="s">
        <v>41</v>
      </c>
      <c r="AM478" s="1">
        <v>970.0</v>
      </c>
      <c r="AN478" s="1">
        <v>2011.0</v>
      </c>
      <c r="AO478" s="1">
        <v>2011.0</v>
      </c>
      <c r="AP478" s="3">
        <v>41864.0</v>
      </c>
      <c r="AQ478" s="3">
        <v>41766.0</v>
      </c>
      <c r="AR478" s="1" t="s">
        <v>2260</v>
      </c>
      <c r="AS478" s="1" t="s">
        <v>2316</v>
      </c>
      <c r="AT478" s="1" t="s">
        <v>127</v>
      </c>
      <c r="AX478" s="1">
        <v>1.0</v>
      </c>
      <c r="AY478" s="1">
        <v>1.0</v>
      </c>
    </row>
    <row r="479" spans="20:51" ht="15.75" hidden="1">
      <c r="T479" s="1">
        <v>802950.0</v>
      </c>
      <c r="U479" s="1"/>
      <c r="V479" s="1"/>
      <c r="W479" s="1"/>
      <c r="X479" s="1"/>
      <c r="Y479" s="1" t="s">
        <v>2317</v>
      </c>
      <c r="Z479" s="1" t="s">
        <v>2318</v>
      </c>
      <c r="AA479" s="1" t="s">
        <v>2319</v>
      </c>
      <c r="AB479" s="1"/>
      <c r="AC479" s="1"/>
      <c r="AD479" s="1"/>
      <c r="AE479" s="1"/>
      <c r="AG479" s="2" t="str">
        <f>"0312302371"</f>
        <v>0312302371</v>
      </c>
      <c r="AH479" s="2" t="str">
        <f>"9780312302375"</f>
        <v>9780312302375</v>
      </c>
      <c r="AI479" s="1">
        <v>0.0</v>
      </c>
      <c r="AJ479" s="1">
        <v>3.9</v>
      </c>
      <c r="AK479" s="1" t="s">
        <v>2320</v>
      </c>
      <c r="AL479" s="1" t="s">
        <v>41</v>
      </c>
      <c r="AM479" s="1">
        <v>480.0</v>
      </c>
      <c r="AN479" s="1">
        <v>2003.0</v>
      </c>
      <c r="AO479" s="1">
        <v>2002.0</v>
      </c>
      <c r="AQ479" s="3">
        <v>45113.0</v>
      </c>
      <c r="AR479" s="1" t="s">
        <v>1988</v>
      </c>
      <c r="AS479" s="1" t="s">
        <v>2321</v>
      </c>
      <c r="AT479" s="1" t="s">
        <v>31</v>
      </c>
      <c r="AX479" s="1">
        <v>0.0</v>
      </c>
      <c r="AY479" s="1">
        <v>1.0</v>
      </c>
    </row>
    <row r="480" spans="20:51" ht="15.75" hidden="1">
      <c r="T480" s="1">
        <v>450996.0</v>
      </c>
      <c r="U480" s="1"/>
      <c r="V480" s="1"/>
      <c r="W480" s="1"/>
      <c r="X480" s="1"/>
      <c r="Y480" s="1" t="s">
        <v>2322</v>
      </c>
      <c r="Z480" s="1" t="s">
        <v>2323</v>
      </c>
      <c r="AA480" s="1" t="s">
        <v>2324</v>
      </c>
      <c r="AB480" s="1"/>
      <c r="AC480" s="1"/>
      <c r="AD480" s="1"/>
      <c r="AE480" s="1"/>
      <c r="AF480" s="1" t="s">
        <v>2325</v>
      </c>
      <c r="AG480" s="2" t="str">
        <f>"0300110081"</f>
        <v>0300110081</v>
      </c>
      <c r="AH480" s="2" t="str">
        <f>"9780300110081"</f>
        <v>9780300110081</v>
      </c>
      <c r="AI480" s="1">
        <v>0.0</v>
      </c>
      <c r="AJ480" s="1">
        <v>3.78</v>
      </c>
      <c r="AK480" s="1" t="s">
        <v>545</v>
      </c>
      <c r="AL480" s="1" t="s">
        <v>28</v>
      </c>
      <c r="AM480" s="1">
        <v>427.0</v>
      </c>
      <c r="AN480" s="1">
        <v>2006.0</v>
      </c>
      <c r="AO480" s="1">
        <v>1854.0</v>
      </c>
      <c r="AQ480" s="3">
        <v>45152.0</v>
      </c>
      <c r="AR480" s="1" t="s">
        <v>1988</v>
      </c>
      <c r="AS480" s="1" t="s">
        <v>2326</v>
      </c>
      <c r="AT480" s="1" t="s">
        <v>31</v>
      </c>
      <c r="AX480" s="1">
        <v>1.0</v>
      </c>
      <c r="AY480" s="1">
        <v>1.0</v>
      </c>
    </row>
    <row r="481" spans="20:51" ht="15.75" hidden="1">
      <c r="T481" s="1">
        <v>4.406729E7</v>
      </c>
      <c r="U481" s="1"/>
      <c r="V481" s="1"/>
      <c r="W481" s="1"/>
      <c r="X481" s="1"/>
      <c r="Y481" s="1" t="s">
        <v>2327</v>
      </c>
      <c r="Z481" s="1" t="s">
        <v>2328</v>
      </c>
      <c r="AA481" s="1" t="s">
        <v>2329</v>
      </c>
      <c r="AB481" s="1"/>
      <c r="AC481" s="1"/>
      <c r="AD481" s="1"/>
      <c r="AE481" s="1"/>
      <c r="AG481" s="2" t="str">
        <f>"0062684930"</f>
        <v>0062684930</v>
      </c>
      <c r="AH481" s="2" t="str">
        <f>"9780062684936"</f>
        <v>9780062684936</v>
      </c>
      <c r="AI481" s="1">
        <v>0.0</v>
      </c>
      <c r="AJ481" s="1">
        <v>3.96</v>
      </c>
      <c r="AK481" s="1" t="s">
        <v>2027</v>
      </c>
      <c r="AL481" s="1" t="s">
        <v>315</v>
      </c>
      <c r="AM481" s="1">
        <v>293.0</v>
      </c>
      <c r="AN481" s="1">
        <v>2018.0</v>
      </c>
      <c r="AO481" s="1">
        <v>2017.0</v>
      </c>
      <c r="AQ481" s="3">
        <v>45129.0</v>
      </c>
      <c r="AR481" s="1" t="s">
        <v>1988</v>
      </c>
      <c r="AS481" s="1" t="s">
        <v>2330</v>
      </c>
      <c r="AT481" s="1" t="s">
        <v>31</v>
      </c>
      <c r="AX481" s="1">
        <v>0.0</v>
      </c>
      <c r="AY481" s="1">
        <v>1.0</v>
      </c>
    </row>
    <row r="482" spans="20:51" ht="15.75" hidden="1">
      <c r="T482" s="1">
        <v>6.2669176E7</v>
      </c>
      <c r="U482" s="1"/>
      <c r="V482" s="1"/>
      <c r="W482" s="1"/>
      <c r="X482" s="1"/>
      <c r="Y482" s="1" t="s">
        <v>2331</v>
      </c>
      <c r="Z482" s="1" t="s">
        <v>2332</v>
      </c>
      <c r="AA482" s="1" t="s">
        <v>2333</v>
      </c>
      <c r="AB482" s="1"/>
      <c r="AC482" s="1"/>
      <c r="AD482" s="1"/>
      <c r="AE482" s="1"/>
      <c r="AG482" s="2" t="str">
        <f t="shared" si="30" ref="AG482:AH482">""</f>
        <v/>
      </c>
      <c r="AH482" s="2" t="str">
        <f t="shared" si="30"/>
        <v/>
      </c>
      <c r="AI482" s="1">
        <v>0.0</v>
      </c>
      <c r="AJ482" s="1">
        <v>3.84</v>
      </c>
      <c r="AL482" s="1" t="s">
        <v>59</v>
      </c>
      <c r="AN482" s="1">
        <v>2022.0</v>
      </c>
      <c r="AO482" s="1">
        <v>2016.0</v>
      </c>
      <c r="AQ482" s="3">
        <v>45113.0</v>
      </c>
      <c r="AR482" s="1" t="s">
        <v>1988</v>
      </c>
      <c r="AS482" s="1" t="s">
        <v>2334</v>
      </c>
      <c r="AT482" s="1" t="s">
        <v>31</v>
      </c>
      <c r="AX482" s="1">
        <v>0.0</v>
      </c>
      <c r="AY482" s="1">
        <v>1.0</v>
      </c>
    </row>
    <row r="483" spans="20:51" ht="15.75" hidden="1">
      <c r="T483" s="1">
        <v>3.3156595E7</v>
      </c>
      <c r="U483" s="1"/>
      <c r="V483" s="1"/>
      <c r="W483" s="1"/>
      <c r="X483" s="1"/>
      <c r="Y483" s="1" t="s">
        <v>2335</v>
      </c>
      <c r="Z483" s="1" t="s">
        <v>2336</v>
      </c>
      <c r="AA483" s="1" t="s">
        <v>2337</v>
      </c>
      <c r="AB483" s="1"/>
      <c r="AC483" s="1"/>
      <c r="AD483" s="1"/>
      <c r="AE483" s="1"/>
      <c r="AG483" s="2" t="str">
        <f>"178478771X"</f>
        <v>178478771X</v>
      </c>
      <c r="AH483" s="2" t="str">
        <f>"9781784787714"</f>
        <v>9781784787714</v>
      </c>
      <c r="AI483" s="1">
        <v>0.0</v>
      </c>
      <c r="AJ483" s="1">
        <v>4.46</v>
      </c>
      <c r="AK483" s="1" t="s">
        <v>1973</v>
      </c>
      <c r="AL483" s="1" t="s">
        <v>59</v>
      </c>
      <c r="AM483" s="1">
        <v>288.0</v>
      </c>
      <c r="AN483" s="1">
        <v>2016.0</v>
      </c>
      <c r="AO483" s="1">
        <v>1971.0</v>
      </c>
      <c r="AQ483" s="3">
        <v>45113.0</v>
      </c>
      <c r="AR483" s="1" t="s">
        <v>1988</v>
      </c>
      <c r="AS483" s="1" t="s">
        <v>2338</v>
      </c>
      <c r="AT483" s="1" t="s">
        <v>31</v>
      </c>
      <c r="AX483" s="1">
        <v>0.0</v>
      </c>
      <c r="AY483" s="1">
        <v>1.0</v>
      </c>
    </row>
    <row r="484" spans="20:51" ht="15.75" hidden="1">
      <c r="T484" s="1">
        <v>86143.0</v>
      </c>
      <c r="U484" s="1"/>
      <c r="V484" s="1"/>
      <c r="W484" s="1"/>
      <c r="X484" s="1"/>
      <c r="Y484" s="1" t="s">
        <v>2339</v>
      </c>
      <c r="Z484" s="1" t="s">
        <v>2340</v>
      </c>
      <c r="AA484" s="1" t="s">
        <v>2341</v>
      </c>
      <c r="AB484" s="1"/>
      <c r="AC484" s="1"/>
      <c r="AD484" s="1"/>
      <c r="AE484" s="1"/>
      <c r="AF484" s="1" t="s">
        <v>2342</v>
      </c>
      <c r="AG484" s="2" t="str">
        <f>"0805209700"</f>
        <v>0805209700</v>
      </c>
      <c r="AH484" s="2" t="str">
        <f>"9780805209709"</f>
        <v>9780805209709</v>
      </c>
      <c r="AI484" s="1">
        <v>0.0</v>
      </c>
      <c r="AJ484" s="1">
        <v>4.12</v>
      </c>
      <c r="AK484" s="1" t="s">
        <v>166</v>
      </c>
      <c r="AL484" s="1" t="s">
        <v>28</v>
      </c>
      <c r="AM484" s="1">
        <v>411.0</v>
      </c>
      <c r="AN484" s="1">
        <v>1990.0</v>
      </c>
      <c r="AO484" s="1">
        <v>1970.0</v>
      </c>
      <c r="AQ484" s="3">
        <v>43906.0</v>
      </c>
      <c r="AR484" s="1" t="s">
        <v>1988</v>
      </c>
      <c r="AS484" s="1" t="s">
        <v>2343</v>
      </c>
      <c r="AT484" s="1" t="s">
        <v>31</v>
      </c>
      <c r="AX484" s="1">
        <v>0.0</v>
      </c>
      <c r="AY484" s="1">
        <v>1.0</v>
      </c>
    </row>
    <row r="485" spans="20:51" ht="15.75" hidden="1">
      <c r="T485" s="1">
        <v>5.3317528E7</v>
      </c>
      <c r="U485" s="1"/>
      <c r="V485" s="1"/>
      <c r="W485" s="1"/>
      <c r="X485" s="1"/>
      <c r="Y485" s="1" t="s">
        <v>2344</v>
      </c>
      <c r="Z485" s="1" t="s">
        <v>2345</v>
      </c>
      <c r="AA485" s="1" t="s">
        <v>2346</v>
      </c>
      <c r="AB485" s="1"/>
      <c r="AC485" s="1"/>
      <c r="AD485" s="1"/>
      <c r="AE485" s="1"/>
      <c r="AF485" s="1" t="s">
        <v>2347</v>
      </c>
      <c r="AG485" s="2" t="str">
        <f>"0374602395"</f>
        <v>0374602395</v>
      </c>
      <c r="AH485" s="2" t="str">
        <f>"9780374602390"</f>
        <v>9780374602390</v>
      </c>
      <c r="AI485" s="1">
        <v>5.0</v>
      </c>
      <c r="AJ485" s="1">
        <v>4.36</v>
      </c>
      <c r="AK485" s="1" t="s">
        <v>89</v>
      </c>
      <c r="AL485" s="1" t="s">
        <v>41</v>
      </c>
      <c r="AM485" s="1">
        <v>371.0</v>
      </c>
      <c r="AN485" s="1">
        <v>2021.0</v>
      </c>
      <c r="AO485" s="1">
        <v>1967.0</v>
      </c>
      <c r="AP485" s="3">
        <v>44239.0</v>
      </c>
      <c r="AQ485" s="3">
        <v>44226.0</v>
      </c>
      <c r="AR485" s="1" t="s">
        <v>1988</v>
      </c>
      <c r="AS485" s="1" t="s">
        <v>2348</v>
      </c>
      <c r="AT485" s="1" t="s">
        <v>31</v>
      </c>
      <c r="AX485" s="1">
        <v>1.0</v>
      </c>
      <c r="AY485" s="1">
        <v>1.0</v>
      </c>
    </row>
    <row r="486" spans="20:51" ht="15.75" hidden="1">
      <c r="T486" s="1">
        <v>6798263.0</v>
      </c>
      <c r="U486" s="1"/>
      <c r="V486" s="1"/>
      <c r="W486" s="1"/>
      <c r="X486" s="1"/>
      <c r="Y486" s="1" t="s">
        <v>2349</v>
      </c>
      <c r="Z486" s="1" t="s">
        <v>2350</v>
      </c>
      <c r="AA486" s="1" t="s">
        <v>2351</v>
      </c>
      <c r="AB486" s="1"/>
      <c r="AC486" s="1"/>
      <c r="AD486" s="1"/>
      <c r="AE486" s="1"/>
      <c r="AG486" s="2" t="str">
        <f>"1933517409"</f>
        <v>1933517409</v>
      </c>
      <c r="AH486" s="2" t="str">
        <f>"9781933517407"</f>
        <v>9781933517407</v>
      </c>
      <c r="AI486" s="1">
        <v>4.0</v>
      </c>
      <c r="AJ486" s="1">
        <v>4.11</v>
      </c>
      <c r="AK486" s="1" t="s">
        <v>2352</v>
      </c>
      <c r="AL486" s="1" t="s">
        <v>28</v>
      </c>
      <c r="AM486" s="1">
        <v>112.0</v>
      </c>
      <c r="AN486" s="1">
        <v>2009.0</v>
      </c>
      <c r="AO486" s="1">
        <v>2009.0</v>
      </c>
      <c r="AP486" s="4">
        <v>44193.0</v>
      </c>
      <c r="AQ486" s="4">
        <v>44192.0</v>
      </c>
      <c r="AR486" s="1" t="s">
        <v>2260</v>
      </c>
      <c r="AS486" s="1" t="s">
        <v>2353</v>
      </c>
      <c r="AT486" s="1" t="s">
        <v>127</v>
      </c>
      <c r="AU486" s="1" t="s">
        <v>2354</v>
      </c>
      <c r="AX486" s="1">
        <v>1.0</v>
      </c>
      <c r="AY486" s="1">
        <v>1.0</v>
      </c>
    </row>
    <row r="487" spans="20:51" ht="15.75" hidden="1">
      <c r="T487" s="1">
        <v>2.5810235E7</v>
      </c>
      <c r="U487" s="1"/>
      <c r="V487" s="1"/>
      <c r="W487" s="1"/>
      <c r="X487" s="1"/>
      <c r="Y487" s="1" t="s">
        <v>2355</v>
      </c>
      <c r="Z487" s="1" t="s">
        <v>2356</v>
      </c>
      <c r="AA487" s="1" t="s">
        <v>2357</v>
      </c>
      <c r="AB487" s="1"/>
      <c r="AC487" s="1"/>
      <c r="AD487" s="1"/>
      <c r="AE487" s="1"/>
      <c r="AG487" s="2" t="str">
        <f>"1616956445"</f>
        <v>1616956445</v>
      </c>
      <c r="AH487" s="2" t="str">
        <f>"9781616956448"</f>
        <v>9781616956448</v>
      </c>
      <c r="AI487" s="1">
        <v>3.0</v>
      </c>
      <c r="AJ487" s="1">
        <v>3.38</v>
      </c>
      <c r="AK487" s="1" t="s">
        <v>1084</v>
      </c>
      <c r="AL487" s="1" t="s">
        <v>28</v>
      </c>
      <c r="AM487" s="1">
        <v>224.0</v>
      </c>
      <c r="AN487" s="1">
        <v>2016.0</v>
      </c>
      <c r="AO487" s="1">
        <v>2015.0</v>
      </c>
      <c r="AP487" s="3">
        <v>42543.0</v>
      </c>
      <c r="AQ487" s="3">
        <v>42530.0</v>
      </c>
      <c r="AR487" s="1" t="s">
        <v>2280</v>
      </c>
      <c r="AS487" s="1" t="s">
        <v>2358</v>
      </c>
      <c r="AT487" s="1" t="s">
        <v>31</v>
      </c>
      <c r="AX487" s="1">
        <v>1.0</v>
      </c>
      <c r="AY487" s="1">
        <v>1.0</v>
      </c>
    </row>
    <row r="488" spans="20:51" ht="15.75" hidden="1">
      <c r="T488" s="1">
        <v>1.2160851E7</v>
      </c>
      <c r="U488" s="1"/>
      <c r="V488" s="1"/>
      <c r="W488" s="1"/>
      <c r="X488" s="1"/>
      <c r="Y488" s="1" t="s">
        <v>2359</v>
      </c>
      <c r="Z488" s="1" t="s">
        <v>1005</v>
      </c>
      <c r="AA488" s="1" t="s">
        <v>1006</v>
      </c>
      <c r="AB488" s="1"/>
      <c r="AC488" s="1"/>
      <c r="AD488" s="1"/>
      <c r="AE488" s="1"/>
      <c r="AF488" s="1" t="s">
        <v>2360</v>
      </c>
      <c r="AG488" s="2" t="str">
        <f>"0374100764"</f>
        <v>0374100764</v>
      </c>
      <c r="AH488" s="2" t="str">
        <f>"9780374100766"</f>
        <v>9780374100766</v>
      </c>
      <c r="AI488" s="1">
        <v>0.0</v>
      </c>
      <c r="AJ488" s="1">
        <v>4.06</v>
      </c>
      <c r="AK488" s="1" t="s">
        <v>89</v>
      </c>
      <c r="AL488" s="1" t="s">
        <v>41</v>
      </c>
      <c r="AM488" s="1">
        <v>523.0</v>
      </c>
      <c r="AN488" s="1">
        <v>2012.0</v>
      </c>
      <c r="AO488" s="1">
        <v>2012.0</v>
      </c>
      <c r="AQ488" s="4">
        <v>43419.0</v>
      </c>
      <c r="AR488" s="1" t="s">
        <v>1988</v>
      </c>
      <c r="AS488" s="1" t="s">
        <v>2361</v>
      </c>
      <c r="AT488" s="1" t="s">
        <v>31</v>
      </c>
      <c r="AX488" s="1">
        <v>0.0</v>
      </c>
      <c r="AY488" s="1">
        <v>1.0</v>
      </c>
    </row>
    <row r="489" spans="20:51" ht="15.75" hidden="1">
      <c r="T489" s="1">
        <v>11632.0</v>
      </c>
      <c r="U489" s="1"/>
      <c r="V489" s="1"/>
      <c r="W489" s="1"/>
      <c r="X489" s="1"/>
      <c r="Y489" s="1" t="s">
        <v>2014</v>
      </c>
      <c r="Z489" s="1" t="s">
        <v>2015</v>
      </c>
      <c r="AA489" s="1" t="s">
        <v>2016</v>
      </c>
      <c r="AB489" s="1"/>
      <c r="AC489" s="1"/>
      <c r="AD489" s="1"/>
      <c r="AE489" s="1"/>
      <c r="AF489" s="1" t="s">
        <v>509</v>
      </c>
      <c r="AG489" s="2" t="str">
        <f>"0385493916"</f>
        <v>0385493916</v>
      </c>
      <c r="AH489" s="2" t="str">
        <f>"9780385493918"</f>
        <v>9780385493918</v>
      </c>
      <c r="AI489" s="1">
        <v>0.0</v>
      </c>
      <c r="AJ489" s="1">
        <v>4.24</v>
      </c>
      <c r="AK489" s="1" t="s">
        <v>2017</v>
      </c>
      <c r="AL489" s="1" t="s">
        <v>28</v>
      </c>
      <c r="AM489" s="1">
        <v>400.0</v>
      </c>
      <c r="AN489" s="1">
        <v>1998.0</v>
      </c>
      <c r="AO489" s="1">
        <v>1982.0</v>
      </c>
      <c r="AQ489" s="3">
        <v>40930.0</v>
      </c>
      <c r="AR489" s="1" t="s">
        <v>2260</v>
      </c>
      <c r="AS489" s="1" t="s">
        <v>2362</v>
      </c>
      <c r="AT489" s="1" t="s">
        <v>127</v>
      </c>
      <c r="AX489" s="1">
        <v>1.0</v>
      </c>
      <c r="AY489" s="1">
        <v>1.0</v>
      </c>
    </row>
    <row r="490" spans="20:51" ht="15.75" hidden="1">
      <c r="T490" s="1">
        <v>4.4512541E7</v>
      </c>
      <c r="U490" s="1"/>
      <c r="V490" s="1"/>
      <c r="W490" s="1"/>
      <c r="X490" s="1"/>
      <c r="Y490" s="1" t="s">
        <v>2363</v>
      </c>
      <c r="Z490" s="1" t="s">
        <v>2364</v>
      </c>
      <c r="AA490" s="1" t="s">
        <v>2365</v>
      </c>
      <c r="AB490" s="1"/>
      <c r="AC490" s="1"/>
      <c r="AD490" s="1"/>
      <c r="AE490" s="1"/>
      <c r="AG490" s="2" t="str">
        <f>"0262042878"</f>
        <v>0262042878</v>
      </c>
      <c r="AH490" s="2" t="str">
        <f>"9780262042871"</f>
        <v>9780262042871</v>
      </c>
      <c r="AI490" s="1">
        <v>0.0</v>
      </c>
      <c r="AJ490" s="1">
        <v>3.55</v>
      </c>
      <c r="AK490" s="1" t="s">
        <v>2366</v>
      </c>
      <c r="AL490" s="1" t="s">
        <v>41</v>
      </c>
      <c r="AM490" s="1">
        <v>336.0</v>
      </c>
      <c r="AN490" s="1">
        <v>2019.0</v>
      </c>
      <c r="AO490" s="1">
        <v>2019.0</v>
      </c>
      <c r="AQ490" s="3">
        <v>45113.0</v>
      </c>
      <c r="AR490" s="1" t="s">
        <v>1988</v>
      </c>
      <c r="AS490" s="1" t="s">
        <v>2367</v>
      </c>
      <c r="AT490" s="1" t="s">
        <v>31</v>
      </c>
      <c r="AX490" s="1">
        <v>0.0</v>
      </c>
      <c r="AY490" s="1">
        <v>1.0</v>
      </c>
    </row>
    <row r="491" spans="20:51" ht="15.75" hidden="1">
      <c r="T491" s="1">
        <v>63697.0</v>
      </c>
      <c r="U491" s="1"/>
      <c r="V491" s="1"/>
      <c r="W491" s="1"/>
      <c r="X491" s="1"/>
      <c r="Y491" s="1" t="s">
        <v>2368</v>
      </c>
      <c r="Z491" s="1" t="s">
        <v>2369</v>
      </c>
      <c r="AA491" s="1" t="s">
        <v>2370</v>
      </c>
      <c r="AB491" s="1"/>
      <c r="AC491" s="1"/>
      <c r="AD491" s="1"/>
      <c r="AE491" s="1"/>
      <c r="AG491" s="2" t="str">
        <f t="shared" si="31" ref="AG491:AH491">""</f>
        <v/>
      </c>
      <c r="AH491" s="2" t="str">
        <f t="shared" si="31"/>
        <v/>
      </c>
      <c r="AI491" s="1">
        <v>0.0</v>
      </c>
      <c r="AJ491" s="1">
        <v>4.06</v>
      </c>
      <c r="AK491" s="1" t="s">
        <v>936</v>
      </c>
      <c r="AL491" s="1" t="s">
        <v>28</v>
      </c>
      <c r="AM491" s="1">
        <v>243.0</v>
      </c>
      <c r="AN491" s="1">
        <v>1998.0</v>
      </c>
      <c r="AO491" s="1">
        <v>1985.0</v>
      </c>
      <c r="AQ491" s="3">
        <v>45116.0</v>
      </c>
      <c r="AR491" s="1" t="s">
        <v>2242</v>
      </c>
      <c r="AS491" s="1" t="s">
        <v>2371</v>
      </c>
      <c r="AT491" s="1" t="s">
        <v>31</v>
      </c>
      <c r="AX491" s="1">
        <v>0.0</v>
      </c>
      <c r="AY491" s="1">
        <v>1.0</v>
      </c>
    </row>
    <row r="492" spans="20:51" ht="15.75" hidden="1">
      <c r="T492" s="1">
        <v>1.9915399E7</v>
      </c>
      <c r="U492" s="1"/>
      <c r="V492" s="1"/>
      <c r="W492" s="1"/>
      <c r="X492" s="1"/>
      <c r="Y492" s="1" t="s">
        <v>2372</v>
      </c>
      <c r="Z492" s="1" t="s">
        <v>2373</v>
      </c>
      <c r="AA492" s="1" t="s">
        <v>2374</v>
      </c>
      <c r="AB492" s="1"/>
      <c r="AC492" s="1"/>
      <c r="AD492" s="1"/>
      <c r="AE492" s="1"/>
      <c r="AG492" s="2" t="str">
        <f t="shared" si="32" ref="AG492:AH492">""</f>
        <v/>
      </c>
      <c r="AH492" s="2" t="str">
        <f t="shared" si="32"/>
        <v/>
      </c>
      <c r="AI492" s="1">
        <v>0.0</v>
      </c>
      <c r="AJ492" s="1">
        <v>3.41</v>
      </c>
      <c r="AK492" s="1" t="s">
        <v>1470</v>
      </c>
      <c r="AL492" s="1" t="s">
        <v>28</v>
      </c>
      <c r="AM492" s="1">
        <v>160.0</v>
      </c>
      <c r="AN492" s="1">
        <v>2012.0</v>
      </c>
      <c r="AO492" s="1">
        <v>2011.0</v>
      </c>
      <c r="AQ492" s="3">
        <v>45113.0</v>
      </c>
      <c r="AR492" s="1" t="s">
        <v>1988</v>
      </c>
      <c r="AS492" s="1" t="s">
        <v>2375</v>
      </c>
      <c r="AT492" s="1" t="s">
        <v>31</v>
      </c>
      <c r="AX492" s="1">
        <v>0.0</v>
      </c>
      <c r="AY492" s="1">
        <v>1.0</v>
      </c>
    </row>
    <row r="493" spans="20:51" ht="15.75" hidden="1">
      <c r="T493" s="1">
        <v>6.0625536E7</v>
      </c>
      <c r="U493" s="1"/>
      <c r="V493" s="1"/>
      <c r="W493" s="1"/>
      <c r="X493" s="1"/>
      <c r="Y493" s="1" t="s">
        <v>2376</v>
      </c>
      <c r="Z493" s="1" t="s">
        <v>2377</v>
      </c>
      <c r="AA493" s="1" t="s">
        <v>2378</v>
      </c>
      <c r="AB493" s="1"/>
      <c r="AC493" s="1"/>
      <c r="AD493" s="1"/>
      <c r="AE493" s="1"/>
      <c r="AG493" s="2" t="str">
        <f t="shared" si="33" ref="AG493:AH493">""</f>
        <v/>
      </c>
      <c r="AH493" s="2" t="str">
        <f t="shared" si="33"/>
        <v/>
      </c>
      <c r="AI493" s="1">
        <v>0.0</v>
      </c>
      <c r="AJ493" s="1">
        <v>3.6</v>
      </c>
      <c r="AL493" s="1" t="s">
        <v>59</v>
      </c>
      <c r="AN493" s="1">
        <v>2022.0</v>
      </c>
      <c r="AQ493" s="3">
        <v>44814.0</v>
      </c>
      <c r="AR493" s="1" t="s">
        <v>1967</v>
      </c>
      <c r="AS493" s="1" t="s">
        <v>2379</v>
      </c>
      <c r="AT493" s="1" t="s">
        <v>31</v>
      </c>
      <c r="AX493" s="1">
        <v>0.0</v>
      </c>
      <c r="AY493" s="1">
        <v>0.0</v>
      </c>
    </row>
    <row r="494" spans="20:51" ht="15.75" hidden="1">
      <c r="T494" s="1">
        <v>349831.0</v>
      </c>
      <c r="U494" s="1"/>
      <c r="V494" s="1"/>
      <c r="W494" s="1"/>
      <c r="X494" s="1"/>
      <c r="Y494" s="1" t="s">
        <v>2380</v>
      </c>
      <c r="Z494" s="1" t="s">
        <v>2381</v>
      </c>
      <c r="AA494" s="1" t="s">
        <v>2382</v>
      </c>
      <c r="AB494" s="1"/>
      <c r="AC494" s="1"/>
      <c r="AD494" s="1"/>
      <c r="AE494" s="1"/>
      <c r="AG494" s="2" t="str">
        <f>"0826208886"</f>
        <v>0826208886</v>
      </c>
      <c r="AH494" s="2" t="str">
        <f>"9780826208880"</f>
        <v>9780826208880</v>
      </c>
      <c r="AI494" s="1">
        <v>0.0</v>
      </c>
      <c r="AJ494" s="1">
        <v>0.0</v>
      </c>
      <c r="AK494" s="1" t="s">
        <v>2383</v>
      </c>
      <c r="AL494" s="1" t="s">
        <v>41</v>
      </c>
      <c r="AM494" s="1">
        <v>248.0</v>
      </c>
      <c r="AN494" s="1">
        <v>1993.0</v>
      </c>
      <c r="AO494" s="1">
        <v>1993.0</v>
      </c>
      <c r="AQ494" s="3">
        <v>45113.0</v>
      </c>
      <c r="AR494" s="1" t="s">
        <v>1988</v>
      </c>
      <c r="AS494" s="1" t="s">
        <v>2384</v>
      </c>
      <c r="AT494" s="1" t="s">
        <v>31</v>
      </c>
      <c r="AX494" s="1">
        <v>0.0</v>
      </c>
      <c r="AY494" s="1">
        <v>1.0</v>
      </c>
    </row>
    <row r="495" spans="20:51" ht="15.75" hidden="1">
      <c r="T495" s="1">
        <v>101910.0</v>
      </c>
      <c r="U495" s="1"/>
      <c r="V495" s="1"/>
      <c r="W495" s="1"/>
      <c r="X495" s="1"/>
      <c r="Y495" s="1" t="s">
        <v>2385</v>
      </c>
      <c r="Z495" s="1" t="s">
        <v>2386</v>
      </c>
      <c r="AA495" s="1" t="s">
        <v>2387</v>
      </c>
      <c r="AB495" s="1"/>
      <c r="AC495" s="1"/>
      <c r="AD495" s="1"/>
      <c r="AE495" s="1"/>
      <c r="AF495" s="1" t="s">
        <v>2388</v>
      </c>
      <c r="AG495" s="2" t="str">
        <f>"0811807843"</f>
        <v>0811807843</v>
      </c>
      <c r="AH495" s="2" t="str">
        <f>"9780811807845"</f>
        <v>9780811807845</v>
      </c>
      <c r="AI495" s="1">
        <v>0.0</v>
      </c>
      <c r="AJ495" s="1">
        <v>3.73</v>
      </c>
      <c r="AK495" s="1" t="s">
        <v>2389</v>
      </c>
      <c r="AL495" s="1" t="s">
        <v>28</v>
      </c>
      <c r="AM495" s="1">
        <v>224.0</v>
      </c>
      <c r="AN495" s="1">
        <v>1994.0</v>
      </c>
      <c r="AO495" s="1">
        <v>1994.0</v>
      </c>
      <c r="AQ495" s="3">
        <v>45143.0</v>
      </c>
      <c r="AR495" s="1" t="s">
        <v>1988</v>
      </c>
      <c r="AS495" s="1" t="s">
        <v>2390</v>
      </c>
      <c r="AT495" s="1" t="s">
        <v>31</v>
      </c>
      <c r="AX495" s="1">
        <v>0.0</v>
      </c>
      <c r="AY495" s="1">
        <v>1.0</v>
      </c>
    </row>
    <row r="496" spans="20:51" ht="15.75" hidden="1">
      <c r="T496" s="1">
        <v>755509.0</v>
      </c>
      <c r="U496" s="1"/>
      <c r="V496" s="1"/>
      <c r="W496" s="1"/>
      <c r="X496" s="1"/>
      <c r="Y496" s="1" t="s">
        <v>2391</v>
      </c>
      <c r="Z496" s="1" t="s">
        <v>2392</v>
      </c>
      <c r="AA496" s="1" t="s">
        <v>2393</v>
      </c>
      <c r="AB496" s="1"/>
      <c r="AC496" s="1"/>
      <c r="AD496" s="1"/>
      <c r="AE496" s="1"/>
      <c r="AG496" s="2" t="str">
        <f>"1877727024"</f>
        <v>1877727024</v>
      </c>
      <c r="AH496" s="2" t="str">
        <f>"9781877727023"</f>
        <v>9781877727023</v>
      </c>
      <c r="AI496" s="1">
        <v>0.0</v>
      </c>
      <c r="AJ496" s="1">
        <v>4.0</v>
      </c>
      <c r="AK496" s="1" t="s">
        <v>2394</v>
      </c>
      <c r="AL496" s="1" t="s">
        <v>28</v>
      </c>
      <c r="AM496" s="1">
        <v>254.0</v>
      </c>
      <c r="AN496" s="1">
        <v>2008.0</v>
      </c>
      <c r="AO496" s="1">
        <v>1990.0</v>
      </c>
      <c r="AQ496" s="3">
        <v>45113.0</v>
      </c>
      <c r="AR496" s="1" t="s">
        <v>1988</v>
      </c>
      <c r="AS496" s="1" t="s">
        <v>2395</v>
      </c>
      <c r="AT496" s="1" t="s">
        <v>31</v>
      </c>
      <c r="AX496" s="1">
        <v>0.0</v>
      </c>
      <c r="AY496" s="1">
        <v>1.0</v>
      </c>
    </row>
    <row r="497" spans="20:51" ht="15.75" hidden="1">
      <c r="T497" s="1">
        <v>578518.0</v>
      </c>
      <c r="U497" s="1"/>
      <c r="V497" s="1"/>
      <c r="W497" s="1"/>
      <c r="X497" s="1"/>
      <c r="Y497" s="1" t="s">
        <v>2396</v>
      </c>
      <c r="Z497" s="1" t="s">
        <v>2397</v>
      </c>
      <c r="AA497" s="1" t="s">
        <v>2398</v>
      </c>
      <c r="AB497" s="1"/>
      <c r="AC497" s="1"/>
      <c r="AD497" s="1"/>
      <c r="AE497" s="1"/>
      <c r="AG497" s="2" t="str">
        <f>"0877733759"</f>
        <v>0877733759</v>
      </c>
      <c r="AH497" s="2" t="str">
        <f>"9780877733751"</f>
        <v>9780877733751</v>
      </c>
      <c r="AI497" s="1">
        <v>0.0</v>
      </c>
      <c r="AJ497" s="1">
        <v>4.2</v>
      </c>
      <c r="AK497" s="1" t="s">
        <v>2399</v>
      </c>
      <c r="AL497" s="1" t="s">
        <v>28</v>
      </c>
      <c r="AM497" s="1">
        <v>171.0</v>
      </c>
      <c r="AN497" s="1">
        <v>1986.0</v>
      </c>
      <c r="AO497" s="1">
        <v>1986.0</v>
      </c>
      <c r="AQ497" s="3">
        <v>44227.0</v>
      </c>
      <c r="AR497" s="1" t="s">
        <v>1988</v>
      </c>
      <c r="AS497" s="1" t="s">
        <v>2400</v>
      </c>
      <c r="AT497" s="1" t="s">
        <v>31</v>
      </c>
      <c r="AX497" s="1">
        <v>0.0</v>
      </c>
      <c r="AY497" s="1">
        <v>1.0</v>
      </c>
    </row>
    <row r="498" spans="20:51" ht="15.75" hidden="1">
      <c r="T498" s="1">
        <v>770655.0</v>
      </c>
      <c r="U498" s="1"/>
      <c r="V498" s="1"/>
      <c r="W498" s="1"/>
      <c r="X498" s="1"/>
      <c r="Y498" s="1" t="s">
        <v>2401</v>
      </c>
      <c r="Z498" s="1" t="s">
        <v>2402</v>
      </c>
      <c r="AA498" s="1" t="s">
        <v>2403</v>
      </c>
      <c r="AB498" s="1"/>
      <c r="AC498" s="1"/>
      <c r="AD498" s="1"/>
      <c r="AE498" s="1"/>
      <c r="AG498" s="2" t="str">
        <f>"1555831907"</f>
        <v>1555831907</v>
      </c>
      <c r="AH498" s="2" t="str">
        <f>"9781555831905"</f>
        <v>9781555831905</v>
      </c>
      <c r="AI498" s="1">
        <v>0.0</v>
      </c>
      <c r="AJ498" s="1">
        <v>4.17</v>
      </c>
      <c r="AK498" s="1" t="s">
        <v>2404</v>
      </c>
      <c r="AL498" s="1" t="s">
        <v>28</v>
      </c>
      <c r="AM498" s="1">
        <v>502.0</v>
      </c>
      <c r="AN498" s="1">
        <v>1992.0</v>
      </c>
      <c r="AO498" s="1">
        <v>1992.0</v>
      </c>
      <c r="AQ498" s="3">
        <v>45180.0</v>
      </c>
      <c r="AR498" s="1" t="s">
        <v>31</v>
      </c>
      <c r="AS498" s="1" t="s">
        <v>2405</v>
      </c>
      <c r="AT498" s="1" t="s">
        <v>31</v>
      </c>
      <c r="AX498" s="1">
        <v>0.0</v>
      </c>
      <c r="AY498" s="1">
        <v>0.0</v>
      </c>
    </row>
    <row r="499" spans="20:51" ht="15.75" hidden="1">
      <c r="T499" s="1">
        <v>9966383.0</v>
      </c>
      <c r="U499" s="1"/>
      <c r="V499" s="1"/>
      <c r="W499" s="1"/>
      <c r="X499" s="1"/>
      <c r="Y499" s="1" t="s">
        <v>2406</v>
      </c>
      <c r="Z499" s="1" t="s">
        <v>2407</v>
      </c>
      <c r="AA499" s="1" t="s">
        <v>2408</v>
      </c>
      <c r="AB499" s="1"/>
      <c r="AC499" s="1"/>
      <c r="AD499" s="1"/>
      <c r="AE499" s="1"/>
      <c r="AG499" s="2" t="str">
        <f>"0195394879"</f>
        <v>0195394879</v>
      </c>
      <c r="AH499" s="2" t="str">
        <f>"9780195394870"</f>
        <v>9780195394870</v>
      </c>
      <c r="AI499" s="1">
        <v>0.0</v>
      </c>
      <c r="AJ499" s="1">
        <v>4.3</v>
      </c>
      <c r="AK499" s="1" t="s">
        <v>214</v>
      </c>
      <c r="AL499" s="1" t="s">
        <v>28</v>
      </c>
      <c r="AM499" s="1">
        <v>338.0</v>
      </c>
      <c r="AN499" s="1">
        <v>2011.0</v>
      </c>
      <c r="AO499" s="1">
        <v>2011.0</v>
      </c>
      <c r="AQ499" s="3">
        <v>45180.0</v>
      </c>
      <c r="AR499" s="1" t="s">
        <v>31</v>
      </c>
      <c r="AS499" s="1" t="s">
        <v>2409</v>
      </c>
      <c r="AT499" s="1" t="s">
        <v>31</v>
      </c>
      <c r="AX499" s="1">
        <v>0.0</v>
      </c>
      <c r="AY499" s="1">
        <v>0.0</v>
      </c>
    </row>
    <row r="500" spans="20:51" ht="15.75" hidden="1">
      <c r="T500" s="1">
        <v>1.8008379E7</v>
      </c>
      <c r="U500" s="1"/>
      <c r="V500" s="1"/>
      <c r="W500" s="1"/>
      <c r="X500" s="1"/>
      <c r="Y500" s="1" t="s">
        <v>2410</v>
      </c>
      <c r="Z500" s="1" t="s">
        <v>2411</v>
      </c>
      <c r="AA500" s="1" t="s">
        <v>2412</v>
      </c>
      <c r="AB500" s="1"/>
      <c r="AC500" s="1"/>
      <c r="AD500" s="1"/>
      <c r="AE500" s="1"/>
      <c r="AG500" s="2" t="str">
        <f>"0989015505"</f>
        <v>0989015505</v>
      </c>
      <c r="AH500" s="2" t="str">
        <f>"9780989015509"</f>
        <v>9780989015509</v>
      </c>
      <c r="AI500" s="1">
        <v>0.0</v>
      </c>
      <c r="AJ500" s="1">
        <v>4.28</v>
      </c>
      <c r="AK500" s="1" t="s">
        <v>2413</v>
      </c>
      <c r="AL500" s="1" t="s">
        <v>28</v>
      </c>
      <c r="AM500" s="1">
        <v>140.0</v>
      </c>
      <c r="AN500" s="1">
        <v>2013.0</v>
      </c>
      <c r="AO500" s="1">
        <v>2013.0</v>
      </c>
      <c r="AQ500" s="3">
        <v>45180.0</v>
      </c>
      <c r="AR500" s="1" t="s">
        <v>31</v>
      </c>
      <c r="AS500" s="1" t="s">
        <v>2414</v>
      </c>
      <c r="AT500" s="1" t="s">
        <v>31</v>
      </c>
      <c r="AX500" s="1">
        <v>0.0</v>
      </c>
      <c r="AY500" s="1">
        <v>0.0</v>
      </c>
    </row>
    <row r="501" spans="20:51" ht="15.75" hidden="1">
      <c r="T501" s="1">
        <v>146224.0</v>
      </c>
      <c r="U501" s="1"/>
      <c r="V501" s="1"/>
      <c r="W501" s="1"/>
      <c r="X501" s="1"/>
      <c r="Y501" s="1" t="s">
        <v>2415</v>
      </c>
      <c r="Z501" s="1" t="s">
        <v>2416</v>
      </c>
      <c r="AA501" s="1" t="s">
        <v>2417</v>
      </c>
      <c r="AB501" s="1"/>
      <c r="AC501" s="1"/>
      <c r="AD501" s="1"/>
      <c r="AE501" s="1"/>
      <c r="AG501" s="2" t="str">
        <f>"006251184X"</f>
        <v>006251184X</v>
      </c>
      <c r="AH501" s="2" t="str">
        <f>"9780062511843"</f>
        <v>9780062511843</v>
      </c>
      <c r="AI501" s="1">
        <v>0.0</v>
      </c>
      <c r="AJ501" s="1">
        <v>3.95</v>
      </c>
      <c r="AK501" s="1" t="s">
        <v>2418</v>
      </c>
      <c r="AL501" s="1" t="s">
        <v>28</v>
      </c>
      <c r="AM501" s="1">
        <v>201.0</v>
      </c>
      <c r="AN501" s="1">
        <v>1995.0</v>
      </c>
      <c r="AO501" s="1">
        <v>1995.0</v>
      </c>
      <c r="AQ501" s="3">
        <v>45180.0</v>
      </c>
      <c r="AR501" s="1" t="s">
        <v>96</v>
      </c>
      <c r="AS501" s="1" t="s">
        <v>2419</v>
      </c>
      <c r="AT501" s="1" t="s">
        <v>31</v>
      </c>
      <c r="AX501" s="1">
        <v>0.0</v>
      </c>
      <c r="AY501" s="1">
        <v>0.0</v>
      </c>
    </row>
    <row r="502" spans="20:51" ht="15.75" hidden="1">
      <c r="T502" s="1">
        <v>1.22800766E8</v>
      </c>
      <c r="U502" s="1"/>
      <c r="V502" s="1"/>
      <c r="W502" s="1"/>
      <c r="X502" s="1"/>
      <c r="Y502" s="1" t="s">
        <v>2420</v>
      </c>
      <c r="Z502" s="1" t="s">
        <v>559</v>
      </c>
      <c r="AA502" s="1" t="s">
        <v>560</v>
      </c>
      <c r="AB502" s="1"/>
      <c r="AC502" s="1"/>
      <c r="AD502" s="1"/>
      <c r="AE502" s="1"/>
      <c r="AG502" s="2" t="str">
        <f>"1608688895"</f>
        <v>1608688895</v>
      </c>
      <c r="AH502" s="2" t="str">
        <f>"9781608688890"</f>
        <v>9781608688890</v>
      </c>
      <c r="AI502" s="1">
        <v>0.0</v>
      </c>
      <c r="AJ502" s="1">
        <v>0.0</v>
      </c>
      <c r="AK502" s="1" t="s">
        <v>2421</v>
      </c>
      <c r="AL502" s="1" t="s">
        <v>28</v>
      </c>
      <c r="AM502" s="1">
        <v>264.0</v>
      </c>
      <c r="AN502" s="1">
        <v>2023.0</v>
      </c>
      <c r="AQ502" s="3">
        <v>45180.0</v>
      </c>
      <c r="AR502" s="1" t="s">
        <v>31</v>
      </c>
      <c r="AS502" s="1" t="s">
        <v>2422</v>
      </c>
      <c r="AT502" s="1" t="s">
        <v>31</v>
      </c>
      <c r="AX502" s="1">
        <v>0.0</v>
      </c>
      <c r="AY502" s="1">
        <v>0.0</v>
      </c>
    </row>
    <row r="503" spans="20:51" ht="15.75" hidden="1">
      <c r="T503" s="1">
        <v>5.1929799E7</v>
      </c>
      <c r="U503" s="1"/>
      <c r="V503" s="1"/>
      <c r="W503" s="1"/>
      <c r="X503" s="1"/>
      <c r="Y503" s="1" t="s">
        <v>2423</v>
      </c>
      <c r="Z503" s="1" t="s">
        <v>2424</v>
      </c>
      <c r="AA503" s="1" t="s">
        <v>2425</v>
      </c>
      <c r="AB503" s="1"/>
      <c r="AC503" s="1"/>
      <c r="AD503" s="1"/>
      <c r="AE503" s="1"/>
      <c r="AF503" s="1" t="s">
        <v>2426</v>
      </c>
      <c r="AG503" s="2" t="str">
        <f>"0525575456"</f>
        <v>0525575456</v>
      </c>
      <c r="AH503" s="2" t="str">
        <f>"9780525575450"</f>
        <v>9780525575450</v>
      </c>
      <c r="AI503" s="1">
        <v>0.0</v>
      </c>
      <c r="AJ503" s="1">
        <v>4.2</v>
      </c>
      <c r="AK503" s="1" t="s">
        <v>2427</v>
      </c>
      <c r="AL503" s="1" t="s">
        <v>59</v>
      </c>
      <c r="AM503" s="1">
        <v>256.0</v>
      </c>
      <c r="AN503" s="1">
        <v>2019.0</v>
      </c>
      <c r="AO503" s="1">
        <v>2019.0</v>
      </c>
      <c r="AQ503" s="3">
        <v>45180.0</v>
      </c>
      <c r="AR503" s="1" t="s">
        <v>31</v>
      </c>
      <c r="AS503" s="1" t="s">
        <v>2428</v>
      </c>
      <c r="AT503" s="1" t="s">
        <v>31</v>
      </c>
      <c r="AX503" s="1">
        <v>0.0</v>
      </c>
      <c r="AY503" s="1">
        <v>0.0</v>
      </c>
    </row>
    <row r="504" spans="20:51" ht="15.75">
      <c r="T504" s="1">
        <v>1.22435777E8</v>
      </c>
      <c r="U504" s="1"/>
      <c r="V504" s="1"/>
      <c r="W504" s="1"/>
      <c r="X504" s="1"/>
      <c r="Y504" s="1" t="s">
        <v>2429</v>
      </c>
      <c r="Z504" s="1" t="s">
        <v>2430</v>
      </c>
      <c r="AA504" s="1" t="s">
        <v>2431</v>
      </c>
      <c r="AB504" s="1"/>
      <c r="AC504" s="1"/>
      <c r="AD504" s="1"/>
      <c r="AE504" s="1"/>
      <c r="AG504" s="2" t="str">
        <f>""</f>
        <v/>
      </c>
      <c r="AH504" s="2" t="str">
        <f>"9798840306406"</f>
        <v>9798840306406</v>
      </c>
      <c r="AI504" s="1">
        <v>0.0</v>
      </c>
      <c r="AJ504" s="1">
        <v>4.0</v>
      </c>
      <c r="AK504" s="1" t="s">
        <v>2432</v>
      </c>
      <c r="AL504" s="1" t="s">
        <v>28</v>
      </c>
      <c r="AM504" s="1">
        <v>566.0</v>
      </c>
      <c r="AN504" s="1">
        <v>2022.0</v>
      </c>
      <c r="AQ504" s="3">
        <v>45163.0</v>
      </c>
      <c r="AR504" s="1" t="s">
        <v>2433</v>
      </c>
      <c r="AS504" s="1" t="s">
        <v>2434</v>
      </c>
      <c r="AT504" s="1" t="s">
        <v>31</v>
      </c>
      <c r="AW504" s="1" t="s">
        <v>2435</v>
      </c>
      <c r="AX504" s="1">
        <v>0.0</v>
      </c>
      <c r="AY504" s="1">
        <v>1.0</v>
      </c>
    </row>
    <row r="505" spans="20:51" ht="15.75" hidden="1">
      <c r="T505" s="1">
        <v>8854815.0</v>
      </c>
      <c r="U505" s="1"/>
      <c r="V505" s="1"/>
      <c r="W505" s="1"/>
      <c r="X505" s="1"/>
      <c r="Y505" s="1" t="s">
        <v>2436</v>
      </c>
      <c r="Z505" s="1" t="s">
        <v>2437</v>
      </c>
      <c r="AA505" s="1" t="s">
        <v>2438</v>
      </c>
      <c r="AB505" s="1"/>
      <c r="AC505" s="1"/>
      <c r="AD505" s="1"/>
      <c r="AE505" s="1"/>
      <c r="AG505" s="2" t="str">
        <f>"0871404095"</f>
        <v>0871404095</v>
      </c>
      <c r="AH505" s="2" t="str">
        <f>"9780871404091"</f>
        <v>9780871404091</v>
      </c>
      <c r="AI505" s="1">
        <v>0.0</v>
      </c>
      <c r="AJ505" s="1">
        <v>3.81</v>
      </c>
      <c r="AK505" s="1" t="s">
        <v>2439</v>
      </c>
      <c r="AL505" s="1" t="s">
        <v>41</v>
      </c>
      <c r="AM505" s="1">
        <v>279.0</v>
      </c>
      <c r="AN505" s="1">
        <v>2012.0</v>
      </c>
      <c r="AO505" s="1">
        <v>2011.0</v>
      </c>
      <c r="AQ505" s="3">
        <v>45177.0</v>
      </c>
      <c r="AR505" s="1" t="s">
        <v>31</v>
      </c>
      <c r="AS505" s="1" t="s">
        <v>2440</v>
      </c>
      <c r="AT505" s="1" t="s">
        <v>31</v>
      </c>
      <c r="AX505" s="1">
        <v>0.0</v>
      </c>
      <c r="AY505" s="1">
        <v>0.0</v>
      </c>
    </row>
    <row r="506" spans="20:51" ht="15.75" hidden="1">
      <c r="T506" s="1">
        <v>91801.0</v>
      </c>
      <c r="U506" s="1"/>
      <c r="V506" s="1"/>
      <c r="W506" s="1"/>
      <c r="X506" s="1"/>
      <c r="Y506" s="1" t="s">
        <v>2441</v>
      </c>
      <c r="Z506" s="1" t="s">
        <v>2442</v>
      </c>
      <c r="AA506" s="1" t="s">
        <v>2443</v>
      </c>
      <c r="AB506" s="1"/>
      <c r="AC506" s="1"/>
      <c r="AD506" s="1"/>
      <c r="AE506" s="1"/>
      <c r="AG506" s="2" t="str">
        <f>"0226520153"</f>
        <v>0226520153</v>
      </c>
      <c r="AH506" s="2" t="str">
        <f>"9780226520155"</f>
        <v>9780226520155</v>
      </c>
      <c r="AI506" s="1">
        <v>0.0</v>
      </c>
      <c r="AJ506" s="1">
        <v>4.18</v>
      </c>
      <c r="AK506" s="1" t="s">
        <v>2444</v>
      </c>
      <c r="AL506" s="1" t="s">
        <v>41</v>
      </c>
      <c r="AM506" s="1">
        <v>352.0</v>
      </c>
      <c r="AN506" s="1">
        <v>1999.0</v>
      </c>
      <c r="AO506" s="1">
        <v>1999.0</v>
      </c>
      <c r="AQ506" s="3">
        <v>45177.0</v>
      </c>
      <c r="AR506" s="1" t="s">
        <v>31</v>
      </c>
      <c r="AS506" s="1" t="s">
        <v>2445</v>
      </c>
      <c r="AT506" s="1" t="s">
        <v>31</v>
      </c>
      <c r="AX506" s="1">
        <v>0.0</v>
      </c>
      <c r="AY506" s="1">
        <v>0.0</v>
      </c>
    </row>
    <row r="507" spans="20:51" ht="15.75" hidden="1">
      <c r="T507" s="1">
        <v>63921.0</v>
      </c>
      <c r="U507" s="1"/>
      <c r="V507" s="1"/>
      <c r="W507" s="1"/>
      <c r="X507" s="1"/>
      <c r="Y507" s="1" t="s">
        <v>2446</v>
      </c>
      <c r="Z507" s="1" t="s">
        <v>2447</v>
      </c>
      <c r="AA507" s="1" t="s">
        <v>2448</v>
      </c>
      <c r="AB507" s="1"/>
      <c r="AC507" s="1"/>
      <c r="AD507" s="1"/>
      <c r="AE507" s="1"/>
      <c r="AG507" s="2" t="str">
        <f>"0691126046"</f>
        <v>0691126046</v>
      </c>
      <c r="AH507" s="2" t="str">
        <f>"9780691126043"</f>
        <v>9780691126043</v>
      </c>
      <c r="AI507" s="1">
        <v>0.0</v>
      </c>
      <c r="AJ507" s="1">
        <v>3.51</v>
      </c>
      <c r="AK507" s="1" t="s">
        <v>141</v>
      </c>
      <c r="AL507" s="1" t="s">
        <v>28</v>
      </c>
      <c r="AM507" s="1">
        <v>192.0</v>
      </c>
      <c r="AN507" s="1">
        <v>2006.0</v>
      </c>
      <c r="AO507" s="1">
        <v>2004.0</v>
      </c>
      <c r="AQ507" s="3">
        <v>45177.0</v>
      </c>
      <c r="AR507" s="1" t="s">
        <v>31</v>
      </c>
      <c r="AS507" s="1" t="s">
        <v>2449</v>
      </c>
      <c r="AT507" s="1" t="s">
        <v>31</v>
      </c>
      <c r="AX507" s="1">
        <v>0.0</v>
      </c>
      <c r="AY507" s="1">
        <v>0.0</v>
      </c>
    </row>
    <row r="508" spans="20:51" ht="15.75" hidden="1">
      <c r="T508" s="1">
        <v>8747740.0</v>
      </c>
      <c r="U508" s="1"/>
      <c r="V508" s="1"/>
      <c r="W508" s="1"/>
      <c r="X508" s="1"/>
      <c r="Y508" s="1" t="s">
        <v>2450</v>
      </c>
      <c r="Z508" s="1" t="s">
        <v>2447</v>
      </c>
      <c r="AA508" s="1" t="s">
        <v>2448</v>
      </c>
      <c r="AB508" s="1"/>
      <c r="AC508" s="1"/>
      <c r="AD508" s="1"/>
      <c r="AE508" s="1"/>
      <c r="AG508" s="2" t="str">
        <f>"0500283338"</f>
        <v>0500283338</v>
      </c>
      <c r="AH508" s="2" t="str">
        <f>"9780500283332"</f>
        <v>9780500283332</v>
      </c>
      <c r="AI508" s="1">
        <v>0.0</v>
      </c>
      <c r="AJ508" s="1">
        <v>4.2</v>
      </c>
      <c r="AK508" s="1" t="s">
        <v>435</v>
      </c>
      <c r="AL508" s="1" t="s">
        <v>28</v>
      </c>
      <c r="AM508" s="1">
        <v>336.0</v>
      </c>
      <c r="AN508" s="1">
        <v>2014.0</v>
      </c>
      <c r="AO508" s="1">
        <v>2001.0</v>
      </c>
      <c r="AQ508" s="3">
        <v>45175.0</v>
      </c>
      <c r="AR508" s="1" t="s">
        <v>2451</v>
      </c>
      <c r="AS508" s="1" t="s">
        <v>2452</v>
      </c>
      <c r="AT508" s="1" t="s">
        <v>31</v>
      </c>
      <c r="AX508" s="1">
        <v>0.0</v>
      </c>
      <c r="AY508" s="1">
        <v>0.0</v>
      </c>
    </row>
    <row r="509" spans="20:51" ht="15.75" hidden="1">
      <c r="T509" s="1">
        <v>357727.0</v>
      </c>
      <c r="U509" s="1"/>
      <c r="V509" s="1"/>
      <c r="W509" s="1"/>
      <c r="X509" s="1"/>
      <c r="Y509" s="1" t="s">
        <v>2453</v>
      </c>
      <c r="Z509" s="1" t="s">
        <v>2454</v>
      </c>
      <c r="AA509" s="1" t="s">
        <v>2455</v>
      </c>
      <c r="AB509" s="1"/>
      <c r="AC509" s="1"/>
      <c r="AD509" s="1"/>
      <c r="AE509" s="1"/>
      <c r="AG509" s="2" t="str">
        <f>"0899684165"</f>
        <v>0899684165</v>
      </c>
      <c r="AH509" s="2" t="str">
        <f>"9780899684161"</f>
        <v>9780899684161</v>
      </c>
      <c r="AI509" s="1">
        <v>0.0</v>
      </c>
      <c r="AJ509" s="1">
        <v>3.97</v>
      </c>
      <c r="AK509" s="1" t="s">
        <v>2456</v>
      </c>
      <c r="AL509" s="1" t="s">
        <v>41</v>
      </c>
      <c r="AM509" s="1">
        <v>215.0</v>
      </c>
      <c r="AN509" s="1">
        <v>1975.0</v>
      </c>
      <c r="AO509" s="1">
        <v>1974.0</v>
      </c>
      <c r="AQ509" s="3">
        <v>45115.0</v>
      </c>
      <c r="AR509" s="1" t="s">
        <v>31</v>
      </c>
      <c r="AS509" s="1" t="s">
        <v>2457</v>
      </c>
      <c r="AT509" s="1" t="s">
        <v>31</v>
      </c>
      <c r="AX509" s="1">
        <v>0.0</v>
      </c>
      <c r="AY509" s="1">
        <v>0.0</v>
      </c>
    </row>
    <row r="510" spans="20:51" ht="15.75" hidden="1">
      <c r="T510" s="1">
        <v>3.0257776E7</v>
      </c>
      <c r="U510" s="1"/>
      <c r="V510" s="1"/>
      <c r="W510" s="1"/>
      <c r="X510" s="1"/>
      <c r="Y510" s="1" t="s">
        <v>2458</v>
      </c>
      <c r="Z510" s="1" t="s">
        <v>2459</v>
      </c>
      <c r="AA510" s="1" t="s">
        <v>2460</v>
      </c>
      <c r="AB510" s="1"/>
      <c r="AC510" s="1"/>
      <c r="AD510" s="1"/>
      <c r="AE510" s="1"/>
      <c r="AG510" s="2" t="str">
        <f>"0190618175"</f>
        <v>0190618175</v>
      </c>
      <c r="AH510" s="2" t="str">
        <f>"9780190618179"</f>
        <v>9780190618179</v>
      </c>
      <c r="AI510" s="1">
        <v>0.0</v>
      </c>
      <c r="AJ510" s="1">
        <v>3.33</v>
      </c>
      <c r="AK510" s="1" t="s">
        <v>214</v>
      </c>
      <c r="AL510" s="1" t="s">
        <v>41</v>
      </c>
      <c r="AM510" s="1">
        <v>248.0</v>
      </c>
      <c r="AN510" s="1">
        <v>2016.0</v>
      </c>
      <c r="AQ510" s="3">
        <v>45176.0</v>
      </c>
      <c r="AR510" s="1" t="s">
        <v>31</v>
      </c>
      <c r="AS510" s="1" t="s">
        <v>2461</v>
      </c>
      <c r="AT510" s="1" t="s">
        <v>31</v>
      </c>
      <c r="AX510" s="1">
        <v>0.0</v>
      </c>
      <c r="AY510" s="1">
        <v>0.0</v>
      </c>
    </row>
    <row r="511" spans="20:51" ht="15.75" hidden="1">
      <c r="T511" s="1">
        <v>8562179.0</v>
      </c>
      <c r="U511" s="1"/>
      <c r="V511" s="1"/>
      <c r="W511" s="1"/>
      <c r="X511" s="1"/>
      <c r="Y511" s="1" t="s">
        <v>2462</v>
      </c>
      <c r="Z511" s="1" t="s">
        <v>2463</v>
      </c>
      <c r="AA511" s="1" t="s">
        <v>2464</v>
      </c>
      <c r="AB511" s="1"/>
      <c r="AC511" s="1"/>
      <c r="AD511" s="1"/>
      <c r="AE511" s="1"/>
      <c r="AF511" s="1" t="s">
        <v>2465</v>
      </c>
      <c r="AG511" s="2" t="str">
        <f>"0691143730"</f>
        <v>0691143730</v>
      </c>
      <c r="AH511" s="2" t="str">
        <f>"9780691143736"</f>
        <v>9780691143736</v>
      </c>
      <c r="AI511" s="1">
        <v>0.0</v>
      </c>
      <c r="AJ511" s="1">
        <v>3.89</v>
      </c>
      <c r="AK511" s="1" t="s">
        <v>141</v>
      </c>
      <c r="AL511" s="1" t="s">
        <v>41</v>
      </c>
      <c r="AM511" s="1">
        <v>256.0</v>
      </c>
      <c r="AN511" s="1">
        <v>2011.0</v>
      </c>
      <c r="AO511" s="1">
        <v>2000.0</v>
      </c>
      <c r="AQ511" s="3">
        <v>45176.0</v>
      </c>
      <c r="AR511" s="1" t="s">
        <v>31</v>
      </c>
      <c r="AS511" s="1" t="s">
        <v>2466</v>
      </c>
      <c r="AT511" s="1" t="s">
        <v>31</v>
      </c>
      <c r="AX511" s="1">
        <v>0.0</v>
      </c>
      <c r="AY511" s="1">
        <v>0.0</v>
      </c>
    </row>
    <row r="512" spans="20:51" ht="15.75" hidden="1">
      <c r="T512" s="1">
        <v>8608464.0</v>
      </c>
      <c r="U512" s="1"/>
      <c r="V512" s="1"/>
      <c r="W512" s="1"/>
      <c r="X512" s="1"/>
      <c r="Y512" s="1" t="s">
        <v>2467</v>
      </c>
      <c r="Z512" s="1" t="s">
        <v>1063</v>
      </c>
      <c r="AA512" s="1" t="s">
        <v>1064</v>
      </c>
      <c r="AB512" s="1"/>
      <c r="AC512" s="1"/>
      <c r="AD512" s="1"/>
      <c r="AE512" s="1"/>
      <c r="AF512" s="1" t="s">
        <v>2468</v>
      </c>
      <c r="AG512" s="2" t="str">
        <f>"0874627583"</f>
        <v>0874627583</v>
      </c>
      <c r="AH512" s="2" t="str">
        <f>"9780874627589"</f>
        <v>9780874627589</v>
      </c>
      <c r="AI512" s="1">
        <v>0.0</v>
      </c>
      <c r="AJ512" s="1">
        <v>4.26</v>
      </c>
      <c r="AK512" s="1" t="s">
        <v>2469</v>
      </c>
      <c r="AL512" s="1" t="s">
        <v>28</v>
      </c>
      <c r="AM512" s="1">
        <v>234.0</v>
      </c>
      <c r="AN512" s="1">
        <v>2010.0</v>
      </c>
      <c r="AQ512" s="3">
        <v>45176.0</v>
      </c>
      <c r="AR512" s="1" t="s">
        <v>31</v>
      </c>
      <c r="AS512" s="1" t="s">
        <v>2470</v>
      </c>
      <c r="AT512" s="1" t="s">
        <v>31</v>
      </c>
      <c r="AX512" s="1">
        <v>0.0</v>
      </c>
      <c r="AY512" s="1">
        <v>0.0</v>
      </c>
    </row>
    <row r="513" spans="20:51" ht="15.75" hidden="1">
      <c r="T513" s="1">
        <v>161812.0</v>
      </c>
      <c r="U513" s="1"/>
      <c r="V513" s="1"/>
      <c r="W513" s="1"/>
      <c r="X513" s="1"/>
      <c r="Y513" s="1" t="s">
        <v>2471</v>
      </c>
      <c r="Z513" s="1" t="s">
        <v>2472</v>
      </c>
      <c r="AA513" s="1" t="s">
        <v>2473</v>
      </c>
      <c r="AB513" s="1"/>
      <c r="AC513" s="1"/>
      <c r="AD513" s="1"/>
      <c r="AE513" s="1"/>
      <c r="AG513" s="2" t="str">
        <f>"0691117926"</f>
        <v>0691117926</v>
      </c>
      <c r="AH513" s="2" t="str">
        <f>"9780691117928"</f>
        <v>9780691117928</v>
      </c>
      <c r="AI513" s="1">
        <v>0.0</v>
      </c>
      <c r="AJ513" s="1">
        <v>4.04</v>
      </c>
      <c r="AK513" s="1" t="s">
        <v>141</v>
      </c>
      <c r="AL513" s="1" t="s">
        <v>28</v>
      </c>
      <c r="AM513" s="1">
        <v>384.0</v>
      </c>
      <c r="AN513" s="1">
        <v>2004.0</v>
      </c>
      <c r="AO513" s="1">
        <v>2002.0</v>
      </c>
      <c r="AQ513" s="3">
        <v>45176.0</v>
      </c>
      <c r="AR513" s="1" t="s">
        <v>31</v>
      </c>
      <c r="AS513" s="1" t="s">
        <v>2474</v>
      </c>
      <c r="AT513" s="1" t="s">
        <v>31</v>
      </c>
      <c r="AX513" s="1">
        <v>0.0</v>
      </c>
      <c r="AY513" s="1">
        <v>0.0</v>
      </c>
    </row>
    <row r="514" spans="20:51" ht="15.75" hidden="1">
      <c r="T514" s="1">
        <v>6163622.0</v>
      </c>
      <c r="U514" s="1"/>
      <c r="V514" s="1"/>
      <c r="W514" s="1"/>
      <c r="X514" s="1"/>
      <c r="Y514" s="1" t="s">
        <v>2475</v>
      </c>
      <c r="Z514" s="1" t="s">
        <v>2476</v>
      </c>
      <c r="AA514" s="1" t="s">
        <v>2477</v>
      </c>
      <c r="AB514" s="1"/>
      <c r="AC514" s="1"/>
      <c r="AD514" s="1"/>
      <c r="AE514" s="1"/>
      <c r="AG514" s="2" t="str">
        <f>"030726534X"</f>
        <v>030726534X</v>
      </c>
      <c r="AH514" s="2" t="str">
        <f>"9780307265340"</f>
        <v>9780307265340</v>
      </c>
      <c r="AI514" s="1">
        <v>0.0</v>
      </c>
      <c r="AJ514" s="1">
        <v>3.61</v>
      </c>
      <c r="AK514" s="1" t="s">
        <v>263</v>
      </c>
      <c r="AL514" s="1" t="s">
        <v>41</v>
      </c>
      <c r="AM514" s="1">
        <v>303.0</v>
      </c>
      <c r="AN514" s="1">
        <v>2009.0</v>
      </c>
      <c r="AO514" s="1">
        <v>2009.0</v>
      </c>
      <c r="AQ514" s="3">
        <v>45175.0</v>
      </c>
      <c r="AR514" s="1" t="s">
        <v>31</v>
      </c>
      <c r="AS514" s="1" t="s">
        <v>2478</v>
      </c>
      <c r="AT514" s="1" t="s">
        <v>31</v>
      </c>
      <c r="AX514" s="1">
        <v>0.0</v>
      </c>
      <c r="AY514" s="1">
        <v>0.0</v>
      </c>
    </row>
    <row r="515" spans="20:51" ht="15.75" hidden="1">
      <c r="T515" s="1">
        <v>568236.0</v>
      </c>
      <c r="U515" s="1"/>
      <c r="V515" s="1"/>
      <c r="W515" s="1"/>
      <c r="X515" s="1"/>
      <c r="Y515" s="1" t="s">
        <v>2479</v>
      </c>
      <c r="Z515" s="1" t="s">
        <v>1976</v>
      </c>
      <c r="AA515" s="1" t="s">
        <v>1977</v>
      </c>
      <c r="AB515" s="1"/>
      <c r="AC515" s="1"/>
      <c r="AD515" s="1"/>
      <c r="AE515" s="1"/>
      <c r="AG515" s="2" t="str">
        <f>"0345349571"</f>
        <v>0345349571</v>
      </c>
      <c r="AH515" s="2" t="str">
        <f>"9780345349576"</f>
        <v>9780345349576</v>
      </c>
      <c r="AI515" s="1">
        <v>0.0</v>
      </c>
      <c r="AJ515" s="1">
        <v>4.04</v>
      </c>
      <c r="AK515" s="1" t="s">
        <v>1883</v>
      </c>
      <c r="AL515" s="1" t="s">
        <v>28</v>
      </c>
      <c r="AM515" s="1">
        <v>714.0</v>
      </c>
      <c r="AN515" s="1">
        <v>1987.0</v>
      </c>
      <c r="AO515" s="1">
        <v>1978.0</v>
      </c>
      <c r="AQ515" s="3">
        <v>45175.0</v>
      </c>
      <c r="AR515" s="1" t="s">
        <v>31</v>
      </c>
      <c r="AS515" s="1" t="s">
        <v>2480</v>
      </c>
      <c r="AT515" s="1" t="s">
        <v>31</v>
      </c>
      <c r="AX515" s="1">
        <v>0.0</v>
      </c>
      <c r="AY515" s="1">
        <v>0.0</v>
      </c>
    </row>
    <row r="516" spans="20:51" ht="15.75" hidden="1">
      <c r="T516" s="1">
        <v>43545.0</v>
      </c>
      <c r="U516" s="1"/>
      <c r="V516" s="1"/>
      <c r="W516" s="1"/>
      <c r="X516" s="1"/>
      <c r="Y516" s="1" t="s">
        <v>2481</v>
      </c>
      <c r="Z516" s="1" t="s">
        <v>2482</v>
      </c>
      <c r="AA516" s="1" t="s">
        <v>2483</v>
      </c>
      <c r="AB516" s="1"/>
      <c r="AC516" s="1"/>
      <c r="AD516" s="1"/>
      <c r="AE516" s="1"/>
      <c r="AG516" s="2" t="str">
        <f>"0441627404"</f>
        <v>0441627404</v>
      </c>
      <c r="AH516" s="2" t="str">
        <f>"9780441627400"</f>
        <v>9780441627400</v>
      </c>
      <c r="AI516" s="1">
        <v>0.0</v>
      </c>
      <c r="AJ516" s="1">
        <v>4.07</v>
      </c>
      <c r="AK516" s="1" t="s">
        <v>2484</v>
      </c>
      <c r="AL516" s="1" t="s">
        <v>315</v>
      </c>
      <c r="AM516" s="1">
        <v>639.0</v>
      </c>
      <c r="AN516" s="1">
        <v>1987.0</v>
      </c>
      <c r="AO516" s="1">
        <v>1958.0</v>
      </c>
      <c r="AQ516" s="3">
        <v>45175.0</v>
      </c>
      <c r="AR516" s="1" t="s">
        <v>31</v>
      </c>
      <c r="AS516" s="1" t="s">
        <v>2485</v>
      </c>
      <c r="AT516" s="1" t="s">
        <v>31</v>
      </c>
      <c r="AX516" s="1">
        <v>0.0</v>
      </c>
      <c r="AY516" s="1">
        <v>0.0</v>
      </c>
    </row>
    <row r="517" spans="20:51" ht="15.75" hidden="1">
      <c r="T517" s="1">
        <v>6.0717094E7</v>
      </c>
      <c r="U517" s="1"/>
      <c r="V517" s="1"/>
      <c r="W517" s="1"/>
      <c r="X517" s="1"/>
      <c r="Y517" s="1" t="s">
        <v>2486</v>
      </c>
      <c r="Z517" s="1" t="s">
        <v>2487</v>
      </c>
      <c r="AA517" s="1" t="s">
        <v>2488</v>
      </c>
      <c r="AB517" s="1"/>
      <c r="AC517" s="1"/>
      <c r="AD517" s="1"/>
      <c r="AE517" s="1"/>
      <c r="AF517" s="1" t="s">
        <v>2489</v>
      </c>
      <c r="AG517" s="2" t="str">
        <f>""</f>
        <v/>
      </c>
      <c r="AH517" s="2" t="str">
        <f>"9781908670717"</f>
        <v>9781908670717</v>
      </c>
      <c r="AI517" s="1">
        <v>0.0</v>
      </c>
      <c r="AJ517" s="1">
        <v>3.99</v>
      </c>
      <c r="AK517" s="1" t="s">
        <v>2490</v>
      </c>
      <c r="AL517" s="1" t="s">
        <v>28</v>
      </c>
      <c r="AM517" s="1">
        <v>192.0</v>
      </c>
      <c r="AN517" s="1">
        <v>2022.0</v>
      </c>
      <c r="AO517" s="1">
        <v>2020.0</v>
      </c>
      <c r="AQ517" s="3">
        <v>45175.0</v>
      </c>
      <c r="AR517" s="1" t="s">
        <v>31</v>
      </c>
      <c r="AS517" s="1" t="s">
        <v>2491</v>
      </c>
      <c r="AT517" s="1" t="s">
        <v>31</v>
      </c>
      <c r="AX517" s="1">
        <v>0.0</v>
      </c>
      <c r="AY517" s="1">
        <v>0.0</v>
      </c>
    </row>
    <row r="518" spans="20:51" ht="15.75" hidden="1">
      <c r="T518" s="1">
        <v>6.0784737E7</v>
      </c>
      <c r="U518" s="1"/>
      <c r="V518" s="1"/>
      <c r="W518" s="1"/>
      <c r="X518" s="1"/>
      <c r="Y518" s="1" t="s">
        <v>2492</v>
      </c>
      <c r="Z518" s="1" t="s">
        <v>2493</v>
      </c>
      <c r="AA518" s="1" t="s">
        <v>2494</v>
      </c>
      <c r="AB518" s="1"/>
      <c r="AC518" s="1"/>
      <c r="AD518" s="1"/>
      <c r="AE518" s="1"/>
      <c r="AF518" s="1" t="s">
        <v>2495</v>
      </c>
      <c r="AG518" s="2" t="str">
        <f>"1644452235"</f>
        <v>1644452235</v>
      </c>
      <c r="AH518" s="2" t="str">
        <f>"9781644452233"</f>
        <v>9781644452233</v>
      </c>
      <c r="AI518" s="1">
        <v>0.0</v>
      </c>
      <c r="AJ518" s="1">
        <v>3.5</v>
      </c>
      <c r="AK518" s="1" t="s">
        <v>971</v>
      </c>
      <c r="AL518" s="1" t="s">
        <v>28</v>
      </c>
      <c r="AM518" s="1">
        <v>112.0</v>
      </c>
      <c r="AN518" s="1">
        <v>2023.0</v>
      </c>
      <c r="AO518" s="1">
        <v>2019.0</v>
      </c>
      <c r="AQ518" s="3">
        <v>45175.0</v>
      </c>
      <c r="AR518" s="1" t="s">
        <v>201</v>
      </c>
      <c r="AS518" s="1" t="s">
        <v>2496</v>
      </c>
      <c r="AT518" s="1" t="s">
        <v>31</v>
      </c>
      <c r="AX518" s="1">
        <v>0.0</v>
      </c>
      <c r="AY518" s="1">
        <v>0.0</v>
      </c>
    </row>
    <row r="519" spans="20:51" ht="15.75" hidden="1">
      <c r="T519" s="1">
        <v>525551.0</v>
      </c>
      <c r="U519" s="1"/>
      <c r="V519" s="1"/>
      <c r="W519" s="1"/>
      <c r="X519" s="1"/>
      <c r="Y519" s="1" t="s">
        <v>2497</v>
      </c>
      <c r="Z519" s="1" t="s">
        <v>2498</v>
      </c>
      <c r="AA519" s="1" t="s">
        <v>2499</v>
      </c>
      <c r="AB519" s="1"/>
      <c r="AC519" s="1"/>
      <c r="AD519" s="1"/>
      <c r="AE519" s="1"/>
      <c r="AG519" s="2" t="str">
        <f>"0679744932"</f>
        <v>0679744932</v>
      </c>
      <c r="AH519" s="2" t="str">
        <f>"9780679744931"</f>
        <v>9780679744931</v>
      </c>
      <c r="AI519" s="1">
        <v>0.0</v>
      </c>
      <c r="AJ519" s="1">
        <v>4.13</v>
      </c>
      <c r="AK519" s="1" t="s">
        <v>83</v>
      </c>
      <c r="AL519" s="1" t="s">
        <v>28</v>
      </c>
      <c r="AM519" s="1">
        <v>352.0</v>
      </c>
      <c r="AN519" s="1">
        <v>2001.0</v>
      </c>
      <c r="AO519" s="1">
        <v>2000.0</v>
      </c>
      <c r="AQ519" s="3">
        <v>45175.0</v>
      </c>
      <c r="AR519" s="1" t="s">
        <v>96</v>
      </c>
      <c r="AS519" s="1" t="s">
        <v>2500</v>
      </c>
      <c r="AT519" s="1" t="s">
        <v>31</v>
      </c>
      <c r="AX519" s="1">
        <v>0.0</v>
      </c>
      <c r="AY519" s="1">
        <v>0.0</v>
      </c>
    </row>
    <row r="520" spans="20:51" ht="15.75" hidden="1">
      <c r="T520" s="1">
        <v>3173904.0</v>
      </c>
      <c r="U520" s="1"/>
      <c r="V520" s="1"/>
      <c r="W520" s="1"/>
      <c r="X520" s="1"/>
      <c r="Y520" s="1" t="s">
        <v>2501</v>
      </c>
      <c r="Z520" s="1" t="s">
        <v>2502</v>
      </c>
      <c r="AA520" s="1" t="s">
        <v>2503</v>
      </c>
      <c r="AB520" s="1"/>
      <c r="AC520" s="1"/>
      <c r="AD520" s="1"/>
      <c r="AE520" s="1"/>
      <c r="AG520" s="2" t="str">
        <f t="shared" si="34" ref="AG520:AH520">""</f>
        <v/>
      </c>
      <c r="AH520" s="2" t="str">
        <f t="shared" si="34"/>
        <v/>
      </c>
      <c r="AI520" s="1">
        <v>0.0</v>
      </c>
      <c r="AJ520" s="1">
        <v>3.89</v>
      </c>
      <c r="AK520" s="1" t="s">
        <v>2504</v>
      </c>
      <c r="AL520" s="1" t="s">
        <v>28</v>
      </c>
      <c r="AM520" s="1">
        <v>317.0</v>
      </c>
      <c r="AN520" s="1">
        <v>1969.0</v>
      </c>
      <c r="AO520" s="1">
        <v>1941.0</v>
      </c>
      <c r="AQ520" s="3">
        <v>45156.0</v>
      </c>
      <c r="AR520" s="1" t="s">
        <v>201</v>
      </c>
      <c r="AS520" s="1" t="s">
        <v>2505</v>
      </c>
      <c r="AT520" s="1" t="s">
        <v>31</v>
      </c>
      <c r="AX520" s="1">
        <v>0.0</v>
      </c>
      <c r="AY520" s="1">
        <v>0.0</v>
      </c>
    </row>
    <row r="521" spans="20:51" ht="15.75" hidden="1">
      <c r="T521" s="1">
        <v>27194.0</v>
      </c>
      <c r="U521" s="1"/>
      <c r="V521" s="1"/>
      <c r="W521" s="1"/>
      <c r="X521" s="1"/>
      <c r="Y521" s="1" t="s">
        <v>2506</v>
      </c>
      <c r="Z521" s="1" t="s">
        <v>2507</v>
      </c>
      <c r="AA521" s="1" t="s">
        <v>2508</v>
      </c>
      <c r="AB521" s="1"/>
      <c r="AC521" s="1"/>
      <c r="AD521" s="1"/>
      <c r="AE521" s="1"/>
      <c r="AF521" s="1" t="s">
        <v>2509</v>
      </c>
      <c r="AG521" s="2" t="str">
        <f>"0977312798"</f>
        <v>0977312798</v>
      </c>
      <c r="AH521" s="2" t="str">
        <f>"9780977312795"</f>
        <v>9780977312795</v>
      </c>
      <c r="AI521" s="1">
        <v>0.0</v>
      </c>
      <c r="AJ521" s="1">
        <v>4.1</v>
      </c>
      <c r="AK521" s="1" t="s">
        <v>976</v>
      </c>
      <c r="AL521" s="1" t="s">
        <v>28</v>
      </c>
      <c r="AM521" s="1">
        <v>784.0</v>
      </c>
      <c r="AN521" s="1">
        <v>2006.0</v>
      </c>
      <c r="AO521" s="1">
        <v>2006.0</v>
      </c>
      <c r="AQ521" s="3">
        <v>45175.0</v>
      </c>
      <c r="AR521" s="1" t="s">
        <v>31</v>
      </c>
      <c r="AS521" s="1" t="s">
        <v>2510</v>
      </c>
      <c r="AT521" s="1" t="s">
        <v>31</v>
      </c>
      <c r="AX521" s="1">
        <v>0.0</v>
      </c>
      <c r="AY521" s="1">
        <v>0.0</v>
      </c>
    </row>
    <row r="522" spans="20:51" ht="15.75" hidden="1">
      <c r="T522" s="1">
        <v>2.1853732E7</v>
      </c>
      <c r="U522" s="1"/>
      <c r="V522" s="1"/>
      <c r="W522" s="1"/>
      <c r="X522" s="1"/>
      <c r="Y522" s="1" t="s">
        <v>2511</v>
      </c>
      <c r="Z522" s="1" t="s">
        <v>924</v>
      </c>
      <c r="AA522" s="1" t="s">
        <v>925</v>
      </c>
      <c r="AB522" s="1"/>
      <c r="AC522" s="1"/>
      <c r="AD522" s="1"/>
      <c r="AE522" s="1"/>
      <c r="AG522" s="2" t="str">
        <f>"1250062187"</f>
        <v>1250062187</v>
      </c>
      <c r="AH522" s="2" t="str">
        <f>"9781250062185"</f>
        <v>9781250062185</v>
      </c>
      <c r="AI522" s="1">
        <v>0.0</v>
      </c>
      <c r="AJ522" s="1">
        <v>4.15</v>
      </c>
      <c r="AK522" s="1" t="s">
        <v>945</v>
      </c>
      <c r="AL522" s="1" t="s">
        <v>28</v>
      </c>
      <c r="AM522" s="1">
        <v>336.0</v>
      </c>
      <c r="AN522" s="1">
        <v>2015.0</v>
      </c>
      <c r="AO522" s="1">
        <v>2014.0</v>
      </c>
      <c r="AQ522" s="3">
        <v>45151.0</v>
      </c>
      <c r="AR522" s="1" t="s">
        <v>2512</v>
      </c>
      <c r="AS522" s="1" t="s">
        <v>2513</v>
      </c>
      <c r="AT522" s="1" t="s">
        <v>31</v>
      </c>
      <c r="AX522" s="1">
        <v>0.0</v>
      </c>
      <c r="AY522" s="1">
        <v>1.0</v>
      </c>
    </row>
    <row r="523" spans="20:51" ht="15.75" hidden="1">
      <c r="T523" s="1">
        <v>306391.0</v>
      </c>
      <c r="U523" s="1"/>
      <c r="V523" s="1"/>
      <c r="W523" s="1"/>
      <c r="X523" s="1"/>
      <c r="Y523" s="1" t="s">
        <v>2514</v>
      </c>
      <c r="Z523" s="1" t="s">
        <v>2515</v>
      </c>
      <c r="AA523" s="1" t="s">
        <v>2516</v>
      </c>
      <c r="AB523" s="1"/>
      <c r="AC523" s="1"/>
      <c r="AD523" s="1"/>
      <c r="AE523" s="1"/>
      <c r="AG523" s="2" t="str">
        <f>"1400031648"</f>
        <v>1400031648</v>
      </c>
      <c r="AH523" s="2" t="str">
        <f>"9781400031641"</f>
        <v>9781400031641</v>
      </c>
      <c r="AI523" s="1">
        <v>0.0</v>
      </c>
      <c r="AJ523" s="1">
        <v>3.43</v>
      </c>
      <c r="AK523" s="1" t="s">
        <v>2017</v>
      </c>
      <c r="AL523" s="1" t="s">
        <v>28</v>
      </c>
      <c r="AM523" s="1">
        <v>272.0</v>
      </c>
      <c r="AN523" s="1">
        <v>2005.0</v>
      </c>
      <c r="AO523" s="1">
        <v>2004.0</v>
      </c>
      <c r="AQ523" s="3">
        <v>45145.0</v>
      </c>
      <c r="AR523" s="1" t="s">
        <v>2517</v>
      </c>
      <c r="AS523" s="1" t="s">
        <v>2518</v>
      </c>
      <c r="AT523" s="1" t="s">
        <v>31</v>
      </c>
      <c r="AX523" s="1">
        <v>0.0</v>
      </c>
      <c r="AY523" s="1">
        <v>0.0</v>
      </c>
    </row>
    <row r="524" spans="20:51" ht="15.75" hidden="1">
      <c r="T524" s="1">
        <v>8737.0</v>
      </c>
      <c r="U524" s="1"/>
      <c r="V524" s="1"/>
      <c r="W524" s="1"/>
      <c r="X524" s="1"/>
      <c r="Y524" s="1" t="s">
        <v>2519</v>
      </c>
      <c r="Z524" s="1" t="s">
        <v>2520</v>
      </c>
      <c r="AA524" s="1" t="s">
        <v>2521</v>
      </c>
      <c r="AB524" s="1"/>
      <c r="AC524" s="1"/>
      <c r="AD524" s="1"/>
      <c r="AE524" s="1"/>
      <c r="AF524" s="1" t="s">
        <v>2522</v>
      </c>
      <c r="AG524" s="2" t="str">
        <f>"068485256X"</f>
        <v>068485256X</v>
      </c>
      <c r="AH524" s="2" t="str">
        <f>"9780684852560"</f>
        <v>9780684852560</v>
      </c>
      <c r="AI524" s="1">
        <v>0.0</v>
      </c>
      <c r="AJ524" s="1">
        <v>4.17</v>
      </c>
      <c r="AK524" s="1" t="s">
        <v>345</v>
      </c>
      <c r="AL524" s="1" t="s">
        <v>28</v>
      </c>
      <c r="AM524" s="1">
        <v>506.0</v>
      </c>
      <c r="AN524" s="1">
        <v>1998.0</v>
      </c>
      <c r="AO524" s="1">
        <v>1955.0</v>
      </c>
      <c r="AQ524" s="3">
        <v>45151.0</v>
      </c>
      <c r="AR524" s="1" t="s">
        <v>201</v>
      </c>
      <c r="AS524" s="1" t="s">
        <v>2523</v>
      </c>
      <c r="AT524" s="1" t="s">
        <v>31</v>
      </c>
      <c r="AX524" s="1">
        <v>0.0</v>
      </c>
      <c r="AY524" s="1">
        <v>0.0</v>
      </c>
    </row>
    <row r="525" spans="20:51" ht="15.75" hidden="1">
      <c r="T525" s="1">
        <v>424092.0</v>
      </c>
      <c r="U525" s="1"/>
      <c r="V525" s="1"/>
      <c r="W525" s="1"/>
      <c r="X525" s="1"/>
      <c r="Y525" s="1" t="s">
        <v>2524</v>
      </c>
      <c r="Z525" s="1" t="s">
        <v>2525</v>
      </c>
      <c r="AA525" s="1" t="s">
        <v>2526</v>
      </c>
      <c r="AB525" s="1"/>
      <c r="AC525" s="1"/>
      <c r="AD525" s="1"/>
      <c r="AE525" s="1"/>
      <c r="AG525" s="2" t="str">
        <f>"140285708X"</f>
        <v>140285708X</v>
      </c>
      <c r="AH525" s="2" t="str">
        <f>"9781402857089"</f>
        <v>9781402857089</v>
      </c>
      <c r="AI525" s="1">
        <v>0.0</v>
      </c>
      <c r="AJ525" s="1">
        <v>3.86</v>
      </c>
      <c r="AL525" s="1" t="s">
        <v>28</v>
      </c>
      <c r="AM525" s="1">
        <v>284.0</v>
      </c>
      <c r="AN525" s="1">
        <v>2002.0</v>
      </c>
      <c r="AO525" s="1">
        <v>1988.0</v>
      </c>
      <c r="AQ525" s="3">
        <v>45175.0</v>
      </c>
      <c r="AR525" s="1" t="s">
        <v>31</v>
      </c>
      <c r="AS525" s="1" t="s">
        <v>2527</v>
      </c>
      <c r="AT525" s="1" t="s">
        <v>31</v>
      </c>
      <c r="AX525" s="1">
        <v>0.0</v>
      </c>
      <c r="AY525" s="1">
        <v>0.0</v>
      </c>
    </row>
    <row r="526" spans="20:51" ht="15.75" hidden="1">
      <c r="T526" s="1">
        <v>525957.0</v>
      </c>
      <c r="U526" s="1"/>
      <c r="V526" s="1"/>
      <c r="W526" s="1"/>
      <c r="X526" s="1"/>
      <c r="Y526" s="1" t="s">
        <v>2528</v>
      </c>
      <c r="Z526" s="1" t="s">
        <v>1578</v>
      </c>
      <c r="AA526" s="1" t="s">
        <v>1579</v>
      </c>
      <c r="AB526" s="1"/>
      <c r="AC526" s="1"/>
      <c r="AD526" s="1"/>
      <c r="AE526" s="1"/>
      <c r="AG526" s="2" t="str">
        <f>"0060761512"</f>
        <v>0060761512</v>
      </c>
      <c r="AH526" s="2" t="str">
        <f>"9780060761516"</f>
        <v>9780060761516</v>
      </c>
      <c r="AI526" s="1">
        <v>0.0</v>
      </c>
      <c r="AJ526" s="1">
        <v>4.14</v>
      </c>
      <c r="AK526" s="1" t="s">
        <v>2418</v>
      </c>
      <c r="AL526" s="1" t="s">
        <v>41</v>
      </c>
      <c r="AM526" s="1">
        <v>112.0</v>
      </c>
      <c r="AN526" s="1">
        <v>2005.0</v>
      </c>
      <c r="AO526" s="1">
        <v>2005.0</v>
      </c>
      <c r="AQ526" s="3">
        <v>45175.0</v>
      </c>
      <c r="AR526" s="1" t="s">
        <v>31</v>
      </c>
      <c r="AS526" s="1" t="s">
        <v>2529</v>
      </c>
      <c r="AT526" s="1" t="s">
        <v>31</v>
      </c>
      <c r="AX526" s="1">
        <v>0.0</v>
      </c>
      <c r="AY526" s="1">
        <v>0.0</v>
      </c>
    </row>
    <row r="527" spans="20:51" ht="15.75" hidden="1">
      <c r="T527" s="1">
        <v>114235.0</v>
      </c>
      <c r="U527" s="1"/>
      <c r="V527" s="1"/>
      <c r="W527" s="1"/>
      <c r="X527" s="1"/>
      <c r="Y527" s="1" t="s">
        <v>2530</v>
      </c>
      <c r="Z527" s="1" t="s">
        <v>2531</v>
      </c>
      <c r="AA527" s="1" t="s">
        <v>2532</v>
      </c>
      <c r="AB527" s="1"/>
      <c r="AC527" s="1"/>
      <c r="AD527" s="1"/>
      <c r="AE527" s="1"/>
      <c r="AG527" s="2" t="str">
        <f>"0801495938"</f>
        <v>0801495938</v>
      </c>
      <c r="AH527" s="2" t="str">
        <f>"9780801495939"</f>
        <v>9780801495939</v>
      </c>
      <c r="AI527" s="1">
        <v>0.0</v>
      </c>
      <c r="AJ527" s="1">
        <v>4.06</v>
      </c>
      <c r="AK527" s="1" t="s">
        <v>2533</v>
      </c>
      <c r="AL527" s="1" t="s">
        <v>28</v>
      </c>
      <c r="AM527" s="1">
        <v>240.0</v>
      </c>
      <c r="AN527" s="1">
        <v>1989.0</v>
      </c>
      <c r="AO527" s="1">
        <v>1989.0</v>
      </c>
      <c r="AQ527" s="3">
        <v>45175.0</v>
      </c>
      <c r="AR527" s="1" t="s">
        <v>31</v>
      </c>
      <c r="AS527" s="1" t="s">
        <v>2534</v>
      </c>
      <c r="AT527" s="1" t="s">
        <v>31</v>
      </c>
      <c r="AX527" s="1">
        <v>0.0</v>
      </c>
      <c r="AY527" s="1">
        <v>0.0</v>
      </c>
    </row>
    <row r="528" spans="20:51" ht="15.75" hidden="1">
      <c r="T528" s="1">
        <v>1.4469841E7</v>
      </c>
      <c r="U528" s="1"/>
      <c r="V528" s="1"/>
      <c r="W528" s="1"/>
      <c r="X528" s="1"/>
      <c r="Y528" s="1" t="s">
        <v>2535</v>
      </c>
      <c r="Z528" s="1" t="s">
        <v>2536</v>
      </c>
      <c r="AA528" s="1" t="s">
        <v>2537</v>
      </c>
      <c r="AB528" s="1"/>
      <c r="AC528" s="1"/>
      <c r="AD528" s="1"/>
      <c r="AE528" s="1"/>
      <c r="AG528" s="2" t="str">
        <f t="shared" si="35" ref="AG528:AH528">""</f>
        <v/>
      </c>
      <c r="AH528" s="2" t="str">
        <f t="shared" si="35"/>
        <v/>
      </c>
      <c r="AI528" s="1">
        <v>0.0</v>
      </c>
      <c r="AJ528" s="1">
        <v>5.0</v>
      </c>
      <c r="AK528" s="1" t="s">
        <v>2538</v>
      </c>
      <c r="AL528" s="1" t="s">
        <v>41</v>
      </c>
      <c r="AM528" s="1">
        <v>550.0</v>
      </c>
      <c r="AN528" s="1">
        <v>1953.0</v>
      </c>
      <c r="AO528" s="1">
        <v>1953.0</v>
      </c>
      <c r="AQ528" s="3">
        <v>45175.0</v>
      </c>
      <c r="AR528" s="1" t="s">
        <v>2539</v>
      </c>
      <c r="AS528" s="1" t="s">
        <v>2540</v>
      </c>
      <c r="AT528" s="1" t="s">
        <v>31</v>
      </c>
      <c r="AX528" s="1">
        <v>0.0</v>
      </c>
      <c r="AY528" s="1">
        <v>0.0</v>
      </c>
    </row>
    <row r="529" spans="20:51" ht="15.75" hidden="1">
      <c r="T529" s="1">
        <v>23916.0</v>
      </c>
      <c r="U529" s="1"/>
      <c r="V529" s="1"/>
      <c r="W529" s="1"/>
      <c r="X529" s="1"/>
      <c r="Y529" s="1" t="s">
        <v>2541</v>
      </c>
      <c r="Z529" s="1" t="s">
        <v>2542</v>
      </c>
      <c r="AA529" s="1" t="s">
        <v>2543</v>
      </c>
      <c r="AB529" s="1"/>
      <c r="AC529" s="1"/>
      <c r="AD529" s="1"/>
      <c r="AE529" s="1"/>
      <c r="AF529" s="1" t="s">
        <v>2544</v>
      </c>
      <c r="AG529" s="2" t="str">
        <f>"0874514363"</f>
        <v>0874514363</v>
      </c>
      <c r="AH529" s="2" t="str">
        <f>"9780874514360"</f>
        <v>9780874514360</v>
      </c>
      <c r="AI529" s="1">
        <v>0.0</v>
      </c>
      <c r="AJ529" s="1">
        <v>4.37</v>
      </c>
      <c r="AK529" s="1" t="s">
        <v>2545</v>
      </c>
      <c r="AL529" s="1" t="s">
        <v>28</v>
      </c>
      <c r="AM529" s="1">
        <v>573.0</v>
      </c>
      <c r="AN529" s="1">
        <v>1988.0</v>
      </c>
      <c r="AO529" s="1">
        <v>1971.0</v>
      </c>
      <c r="AQ529" s="3">
        <v>45175.0</v>
      </c>
      <c r="AR529" s="1" t="s">
        <v>2539</v>
      </c>
      <c r="AS529" s="1" t="s">
        <v>2546</v>
      </c>
      <c r="AT529" s="1" t="s">
        <v>31</v>
      </c>
      <c r="AX529" s="1">
        <v>0.0</v>
      </c>
      <c r="AY529" s="1">
        <v>0.0</v>
      </c>
    </row>
    <row r="530" spans="20:51" ht="15.75" hidden="1">
      <c r="T530" s="1">
        <v>6.3946909E7</v>
      </c>
      <c r="U530" s="1"/>
      <c r="V530" s="1"/>
      <c r="W530" s="1"/>
      <c r="X530" s="1"/>
      <c r="Y530" s="1" t="s">
        <v>2547</v>
      </c>
      <c r="Z530" s="1" t="s">
        <v>2548</v>
      </c>
      <c r="AA530" s="1" t="s">
        <v>2549</v>
      </c>
      <c r="AB530" s="1"/>
      <c r="AC530" s="1"/>
      <c r="AD530" s="1"/>
      <c r="AE530" s="1"/>
      <c r="AG530" s="2" t="str">
        <f>"0593316304"</f>
        <v>0593316304</v>
      </c>
      <c r="AH530" s="2" t="str">
        <f>"9780593316306"</f>
        <v>9780593316306</v>
      </c>
      <c r="AI530" s="1">
        <v>0.0</v>
      </c>
      <c r="AJ530" s="1">
        <v>4.39</v>
      </c>
      <c r="AK530" s="1" t="s">
        <v>2550</v>
      </c>
      <c r="AL530" s="1" t="s">
        <v>41</v>
      </c>
      <c r="AM530" s="1">
        <v>368.0</v>
      </c>
      <c r="AN530" s="1">
        <v>2023.0</v>
      </c>
      <c r="AQ530" s="3">
        <v>45169.0</v>
      </c>
      <c r="AR530" s="1" t="s">
        <v>201</v>
      </c>
      <c r="AS530" s="1" t="s">
        <v>2551</v>
      </c>
      <c r="AT530" s="1" t="s">
        <v>31</v>
      </c>
      <c r="AX530" s="1">
        <v>0.0</v>
      </c>
      <c r="AY530" s="1">
        <v>0.0</v>
      </c>
    </row>
    <row r="531" spans="20:51" ht="15.75" hidden="1">
      <c r="T531" s="1">
        <v>130220.0</v>
      </c>
      <c r="U531" s="1"/>
      <c r="V531" s="1"/>
      <c r="W531" s="1"/>
      <c r="X531" s="1"/>
      <c r="Y531" s="1" t="s">
        <v>2552</v>
      </c>
      <c r="Z531" s="1" t="s">
        <v>2553</v>
      </c>
      <c r="AA531" s="1" t="s">
        <v>2554</v>
      </c>
      <c r="AB531" s="1"/>
      <c r="AC531" s="1"/>
      <c r="AD531" s="1"/>
      <c r="AE531" s="1"/>
      <c r="AF531" s="1" t="s">
        <v>2555</v>
      </c>
      <c r="AG531" s="2" t="str">
        <f>"0940322528"</f>
        <v>0940322528</v>
      </c>
      <c r="AH531" s="2" t="str">
        <f>"9780940322523"</f>
        <v>9780940322523</v>
      </c>
      <c r="AI531" s="1">
        <v>0.0</v>
      </c>
      <c r="AJ531" s="1">
        <v>3.82</v>
      </c>
      <c r="AK531" s="1" t="s">
        <v>77</v>
      </c>
      <c r="AL531" s="1" t="s">
        <v>28</v>
      </c>
      <c r="AM531" s="1">
        <v>158.0</v>
      </c>
      <c r="AN531" s="1">
        <v>2000.0</v>
      </c>
      <c r="AO531" s="1">
        <v>1966.0</v>
      </c>
      <c r="AQ531" s="3">
        <v>45175.0</v>
      </c>
      <c r="AR531" s="1" t="s">
        <v>31</v>
      </c>
      <c r="AS531" s="1" t="s">
        <v>2556</v>
      </c>
      <c r="AT531" s="1" t="s">
        <v>31</v>
      </c>
      <c r="AX531" s="1">
        <v>0.0</v>
      </c>
      <c r="AY531" s="1">
        <v>0.0</v>
      </c>
    </row>
    <row r="532" spans="20:51" ht="15.75" hidden="1">
      <c r="T532" s="1">
        <v>65249.0</v>
      </c>
      <c r="U532" s="1"/>
      <c r="V532" s="1"/>
      <c r="W532" s="1"/>
      <c r="X532" s="1"/>
      <c r="Y532" s="1" t="s">
        <v>2557</v>
      </c>
      <c r="Z532" s="1" t="s">
        <v>2558</v>
      </c>
      <c r="AA532" s="1" t="s">
        <v>2559</v>
      </c>
      <c r="AB532" s="1"/>
      <c r="AC532" s="1"/>
      <c r="AD532" s="1"/>
      <c r="AE532" s="1"/>
      <c r="AG532" s="2" t="str">
        <f>"0061138630"</f>
        <v>0061138630</v>
      </c>
      <c r="AH532" s="2" t="str">
        <f>"9780061138638"</f>
        <v>9780061138638</v>
      </c>
      <c r="AI532" s="1">
        <v>0.0</v>
      </c>
      <c r="AJ532" s="1">
        <v>4.06</v>
      </c>
      <c r="AK532" s="1" t="s">
        <v>2560</v>
      </c>
      <c r="AL532" s="1" t="s">
        <v>28</v>
      </c>
      <c r="AM532" s="1">
        <v>316.0</v>
      </c>
      <c r="AN532" s="1">
        <v>2006.0</v>
      </c>
      <c r="AO532" s="1">
        <v>1979.0</v>
      </c>
      <c r="AQ532" s="3">
        <v>45175.0</v>
      </c>
      <c r="AR532" s="1" t="s">
        <v>31</v>
      </c>
      <c r="AS532" s="1" t="s">
        <v>2561</v>
      </c>
      <c r="AT532" s="1" t="s">
        <v>31</v>
      </c>
      <c r="AX532" s="1">
        <v>0.0</v>
      </c>
      <c r="AY532" s="1">
        <v>0.0</v>
      </c>
    </row>
    <row r="533" spans="20:51" ht="15.75" hidden="1">
      <c r="T533" s="1">
        <v>3140.0</v>
      </c>
      <c r="U533" s="1"/>
      <c r="V533" s="1"/>
      <c r="W533" s="1"/>
      <c r="X533" s="1"/>
      <c r="Y533" s="1" t="s">
        <v>2562</v>
      </c>
      <c r="Z533" s="1" t="s">
        <v>2563</v>
      </c>
      <c r="AA533" s="1" t="s">
        <v>2564</v>
      </c>
      <c r="AB533" s="1"/>
      <c r="AC533" s="1"/>
      <c r="AD533" s="1"/>
      <c r="AE533" s="1"/>
      <c r="AF533" s="1" t="s">
        <v>2565</v>
      </c>
      <c r="AG533" s="2" t="str">
        <f>"0226020452"</f>
        <v>0226020452</v>
      </c>
      <c r="AH533" s="2" t="str">
        <f>"9780226020457"</f>
        <v>9780226020457</v>
      </c>
      <c r="AI533" s="1">
        <v>0.0</v>
      </c>
      <c r="AJ533" s="1">
        <v>4.33</v>
      </c>
      <c r="AK533" s="1" t="s">
        <v>224</v>
      </c>
      <c r="AL533" s="1" t="s">
        <v>28</v>
      </c>
      <c r="AM533" s="1">
        <v>314.0</v>
      </c>
      <c r="AN533" s="1">
        <v>1977.0</v>
      </c>
      <c r="AO533" s="1">
        <v>1945.0</v>
      </c>
      <c r="AQ533" s="3">
        <v>45175.0</v>
      </c>
      <c r="AR533" s="1" t="s">
        <v>31</v>
      </c>
      <c r="AS533" s="1" t="s">
        <v>2566</v>
      </c>
      <c r="AT533" s="1" t="s">
        <v>31</v>
      </c>
      <c r="AX533" s="1">
        <v>0.0</v>
      </c>
      <c r="AY533" s="1">
        <v>0.0</v>
      </c>
    </row>
    <row r="534" spans="20:51" ht="15.75" hidden="1">
      <c r="T534" s="1">
        <v>954185.0</v>
      </c>
      <c r="U534" s="1"/>
      <c r="V534" s="1"/>
      <c r="W534" s="1"/>
      <c r="X534" s="1"/>
      <c r="Y534" s="1" t="s">
        <v>2567</v>
      </c>
      <c r="Z534" s="1" t="s">
        <v>2568</v>
      </c>
      <c r="AA534" s="1" t="s">
        <v>2569</v>
      </c>
      <c r="AB534" s="1"/>
      <c r="AC534" s="1"/>
      <c r="AD534" s="1"/>
      <c r="AE534" s="1"/>
      <c r="AG534" s="2" t="str">
        <f>"0801879647"</f>
        <v>0801879647</v>
      </c>
      <c r="AH534" s="2" t="str">
        <f>"9780801879647"</f>
        <v>9780801879647</v>
      </c>
      <c r="AI534" s="1">
        <v>0.0</v>
      </c>
      <c r="AJ534" s="1">
        <v>4.07</v>
      </c>
      <c r="AK534" s="1" t="s">
        <v>1295</v>
      </c>
      <c r="AL534" s="1" t="s">
        <v>41</v>
      </c>
      <c r="AM534" s="1">
        <v>304.0</v>
      </c>
      <c r="AN534" s="1">
        <v>2005.0</v>
      </c>
      <c r="AO534" s="1">
        <v>2004.0</v>
      </c>
      <c r="AQ534" s="3">
        <v>45175.0</v>
      </c>
      <c r="AR534" s="1" t="s">
        <v>31</v>
      </c>
      <c r="AS534" s="1" t="s">
        <v>2570</v>
      </c>
      <c r="AT534" s="1" t="s">
        <v>31</v>
      </c>
      <c r="AX534" s="1">
        <v>0.0</v>
      </c>
      <c r="AY534" s="1">
        <v>0.0</v>
      </c>
    </row>
    <row r="535" spans="20:51" ht="15.75" hidden="1">
      <c r="T535" s="1">
        <v>3.9105311E7</v>
      </c>
      <c r="U535" s="1"/>
      <c r="V535" s="1"/>
      <c r="W535" s="1"/>
      <c r="X535" s="1"/>
      <c r="Y535" s="1" t="s">
        <v>2571</v>
      </c>
      <c r="Z535" s="1" t="s">
        <v>2572</v>
      </c>
      <c r="AA535" s="1" t="s">
        <v>2573</v>
      </c>
      <c r="AB535" s="1"/>
      <c r="AC535" s="1"/>
      <c r="AD535" s="1"/>
      <c r="AE535" s="1"/>
      <c r="AF535" s="1" t="s">
        <v>2574</v>
      </c>
      <c r="AG535" s="2" t="str">
        <f>"022659193X"</f>
        <v>022659193X</v>
      </c>
      <c r="AH535" s="2" t="str">
        <f>"9780226591933"</f>
        <v>9780226591933</v>
      </c>
      <c r="AI535" s="1">
        <v>0.0</v>
      </c>
      <c r="AJ535" s="1">
        <v>4.61</v>
      </c>
      <c r="AK535" s="1" t="s">
        <v>224</v>
      </c>
      <c r="AL535" s="1" t="s">
        <v>41</v>
      </c>
      <c r="AM535" s="1">
        <v>288.0</v>
      </c>
      <c r="AN535" s="1">
        <v>2018.0</v>
      </c>
      <c r="AQ535" s="3">
        <v>45175.0</v>
      </c>
      <c r="AR535" s="1" t="s">
        <v>31</v>
      </c>
      <c r="AS535" s="1" t="s">
        <v>2575</v>
      </c>
      <c r="AT535" s="1" t="s">
        <v>31</v>
      </c>
      <c r="AX535" s="1">
        <v>0.0</v>
      </c>
      <c r="AY535" s="1">
        <v>0.0</v>
      </c>
    </row>
    <row r="536" spans="20:51" ht="15.75" hidden="1">
      <c r="T536" s="1">
        <v>5.6760361E7</v>
      </c>
      <c r="U536" s="1"/>
      <c r="V536" s="1"/>
      <c r="W536" s="1"/>
      <c r="X536" s="1"/>
      <c r="Y536" s="1" t="s">
        <v>2576</v>
      </c>
      <c r="Z536" s="1" t="s">
        <v>2577</v>
      </c>
      <c r="AA536" s="1" t="s">
        <v>2578</v>
      </c>
      <c r="AB536" s="1"/>
      <c r="AC536" s="1"/>
      <c r="AD536" s="1"/>
      <c r="AE536" s="1"/>
      <c r="AF536" s="1" t="s">
        <v>2579</v>
      </c>
      <c r="AG536" s="2" t="str">
        <f>"0811228622"</f>
        <v>0811228622</v>
      </c>
      <c r="AH536" s="2" t="str">
        <f>"9780811228626"</f>
        <v>9780811228626</v>
      </c>
      <c r="AI536" s="1">
        <v>0.0</v>
      </c>
      <c r="AJ536" s="1">
        <v>3.73</v>
      </c>
      <c r="AK536" s="1" t="s">
        <v>95</v>
      </c>
      <c r="AL536" s="1" t="s">
        <v>28</v>
      </c>
      <c r="AM536" s="1">
        <v>87.0</v>
      </c>
      <c r="AN536" s="1">
        <v>2021.0</v>
      </c>
      <c r="AO536" s="1">
        <v>1988.0</v>
      </c>
      <c r="AQ536" s="3">
        <v>45173.0</v>
      </c>
      <c r="AR536" s="1" t="s">
        <v>31</v>
      </c>
      <c r="AS536" s="1" t="s">
        <v>2580</v>
      </c>
      <c r="AT536" s="1" t="s">
        <v>31</v>
      </c>
      <c r="AX536" s="1">
        <v>0.0</v>
      </c>
      <c r="AY536" s="1">
        <v>0.0</v>
      </c>
    </row>
    <row r="537" spans="20:51" ht="15.75">
      <c r="T537" s="1">
        <v>4.1733839E7</v>
      </c>
      <c r="U537" s="1"/>
      <c r="V537" s="1"/>
      <c r="W537" s="1"/>
      <c r="X537" s="1"/>
      <c r="Y537" s="1" t="s">
        <v>2581</v>
      </c>
      <c r="Z537" s="1" t="s">
        <v>92</v>
      </c>
      <c r="AA537" s="1" t="s">
        <v>93</v>
      </c>
      <c r="AB537" s="1"/>
      <c r="AC537" s="1"/>
      <c r="AD537" s="1"/>
      <c r="AE537" s="1"/>
      <c r="AF537" s="1" t="s">
        <v>2582</v>
      </c>
      <c r="AG537" s="2" t="str">
        <f>"0743273567"</f>
        <v>0743273567</v>
      </c>
      <c r="AH537" s="2" t="str">
        <f>"9780743273565"</f>
        <v>9780743273565</v>
      </c>
      <c r="AI537" s="1">
        <v>0.0</v>
      </c>
      <c r="AJ537" s="1">
        <v>3.93</v>
      </c>
      <c r="AK537" s="1" t="s">
        <v>101</v>
      </c>
      <c r="AL537" s="1" t="s">
        <v>28</v>
      </c>
      <c r="AM537" s="1">
        <v>180.0</v>
      </c>
      <c r="AN537" s="1">
        <v>2018.0</v>
      </c>
      <c r="AO537" s="1">
        <v>1925.0</v>
      </c>
      <c r="AP537" s="4">
        <v>41266.0</v>
      </c>
      <c r="AQ537" s="4">
        <v>41242.0</v>
      </c>
      <c r="AR537" s="1" t="s">
        <v>2583</v>
      </c>
      <c r="AS537" s="1" t="s">
        <v>2584</v>
      </c>
      <c r="AT537" s="1" t="s">
        <v>127</v>
      </c>
      <c r="AX537" s="1">
        <v>1.0</v>
      </c>
      <c r="AY537" s="1">
        <v>1.0</v>
      </c>
    </row>
    <row r="538" spans="20:51" ht="15.75" hidden="1">
      <c r="T538" s="1">
        <v>685172.0</v>
      </c>
      <c r="U538" s="1"/>
      <c r="V538" s="1"/>
      <c r="W538" s="1"/>
      <c r="X538" s="1"/>
      <c r="Y538" s="1" t="s">
        <v>2585</v>
      </c>
      <c r="Z538" s="1" t="s">
        <v>2586</v>
      </c>
      <c r="AA538" s="1" t="s">
        <v>2587</v>
      </c>
      <c r="AB538" s="1"/>
      <c r="AC538" s="1"/>
      <c r="AD538" s="1"/>
      <c r="AE538" s="1"/>
      <c r="AF538" s="1" t="s">
        <v>2588</v>
      </c>
      <c r="AG538" s="2" t="str">
        <f>"185242480X"</f>
        <v>185242480X</v>
      </c>
      <c r="AH538" s="2" t="str">
        <f>"9781852424800"</f>
        <v>9781852424800</v>
      </c>
      <c r="AI538" s="1">
        <v>0.0</v>
      </c>
      <c r="AJ538" s="1">
        <v>4.21</v>
      </c>
      <c r="AK538" s="1" t="s">
        <v>2589</v>
      </c>
      <c r="AL538" s="1" t="s">
        <v>28</v>
      </c>
      <c r="AM538" s="1">
        <v>240.0</v>
      </c>
      <c r="AN538" s="1">
        <v>2007.0</v>
      </c>
      <c r="AO538" s="1">
        <v>1939.0</v>
      </c>
      <c r="AQ538" s="3">
        <v>45173.0</v>
      </c>
      <c r="AR538" s="1" t="s">
        <v>96</v>
      </c>
      <c r="AS538" s="1" t="s">
        <v>2590</v>
      </c>
      <c r="AT538" s="1" t="s">
        <v>31</v>
      </c>
      <c r="AX538" s="1">
        <v>0.0</v>
      </c>
      <c r="AY538" s="1">
        <v>0.0</v>
      </c>
    </row>
    <row r="539" spans="20:51" ht="15.75">
      <c r="T539" s="1">
        <v>5.6616095E7</v>
      </c>
      <c r="U539" s="1"/>
      <c r="V539" s="1"/>
      <c r="W539" s="1"/>
      <c r="X539" s="1"/>
      <c r="Y539" s="1" t="s">
        <v>2591</v>
      </c>
      <c r="Z539" s="1" t="s">
        <v>2015</v>
      </c>
      <c r="AA539" s="1" t="s">
        <v>2016</v>
      </c>
      <c r="AB539" s="1"/>
      <c r="AC539" s="1"/>
      <c r="AD539" s="1"/>
      <c r="AE539" s="1"/>
      <c r="AF539" s="1" t="s">
        <v>2592</v>
      </c>
      <c r="AG539" s="2" t="str">
        <f>"0060837020"</f>
        <v>0060837020</v>
      </c>
      <c r="AH539" s="2" t="str">
        <f>"9780060837020"</f>
        <v>9780060837020</v>
      </c>
      <c r="AI539" s="1">
        <v>4.0</v>
      </c>
      <c r="AJ539" s="1">
        <v>4.04</v>
      </c>
      <c r="AK539" s="1" t="s">
        <v>474</v>
      </c>
      <c r="AL539" s="1" t="s">
        <v>28</v>
      </c>
      <c r="AM539" s="1">
        <v>288.0</v>
      </c>
      <c r="AN539" s="1">
        <v>2006.0</v>
      </c>
      <c r="AO539" s="1">
        <v>1963.0</v>
      </c>
      <c r="AP539" s="4">
        <v>40872.0</v>
      </c>
      <c r="AQ539" s="4">
        <v>40865.0</v>
      </c>
      <c r="AR539" s="1" t="s">
        <v>2583</v>
      </c>
      <c r="AS539" s="1" t="s">
        <v>2593</v>
      </c>
      <c r="AT539" s="1" t="s">
        <v>127</v>
      </c>
      <c r="AX539" s="1">
        <v>1.0</v>
      </c>
      <c r="AY539" s="1">
        <v>1.0</v>
      </c>
    </row>
    <row r="540" spans="20:51" ht="15.75" hidden="1">
      <c r="T540" s="1">
        <v>3378170.0</v>
      </c>
      <c r="U540" s="1"/>
      <c r="V540" s="1"/>
      <c r="W540" s="1"/>
      <c r="X540" s="1"/>
      <c r="Y540" s="1" t="s">
        <v>2594</v>
      </c>
      <c r="Z540" s="1" t="s">
        <v>2595</v>
      </c>
      <c r="AA540" s="1" t="s">
        <v>2596</v>
      </c>
      <c r="AB540" s="1"/>
      <c r="AC540" s="1"/>
      <c r="AD540" s="1"/>
      <c r="AE540" s="1"/>
      <c r="AG540" s="2" t="str">
        <f>"0405074417"</f>
        <v>0405074417</v>
      </c>
      <c r="AH540" s="2" t="str">
        <f>"9780405074417"</f>
        <v>9780405074417</v>
      </c>
      <c r="AI540" s="1">
        <v>0.0</v>
      </c>
      <c r="AJ540" s="1">
        <v>4.44</v>
      </c>
      <c r="AK540" s="1" t="s">
        <v>2597</v>
      </c>
      <c r="AL540" s="1" t="s">
        <v>41</v>
      </c>
      <c r="AM540" s="1">
        <v>280.0</v>
      </c>
      <c r="AN540" s="1">
        <v>1921.0</v>
      </c>
      <c r="AO540" s="1">
        <v>2002.0</v>
      </c>
      <c r="AQ540" s="3">
        <v>45173.0</v>
      </c>
      <c r="AR540" s="1" t="s">
        <v>96</v>
      </c>
      <c r="AS540" s="1" t="s">
        <v>2598</v>
      </c>
      <c r="AT540" s="1" t="s">
        <v>31</v>
      </c>
      <c r="AX540" s="1">
        <v>0.0</v>
      </c>
      <c r="AY540" s="1">
        <v>0.0</v>
      </c>
    </row>
    <row r="541" spans="20:51" ht="15.75" hidden="1">
      <c r="T541" s="1">
        <v>2.3360049E7</v>
      </c>
      <c r="U541" s="1"/>
      <c r="V541" s="1"/>
      <c r="W541" s="1"/>
      <c r="X541" s="1"/>
      <c r="Y541" s="1" t="s">
        <v>2599</v>
      </c>
      <c r="Z541" s="1" t="s">
        <v>2600</v>
      </c>
      <c r="AA541" s="1" t="s">
        <v>2601</v>
      </c>
      <c r="AB541" s="1"/>
      <c r="AC541" s="1"/>
      <c r="AD541" s="1"/>
      <c r="AE541" s="1"/>
      <c r="AG541" s="2" t="str">
        <f>"0465064841"</f>
        <v>0465064841</v>
      </c>
      <c r="AH541" s="2" t="str">
        <f>"9780465064847"</f>
        <v>9780465064847</v>
      </c>
      <c r="AI541" s="1">
        <v>0.0</v>
      </c>
      <c r="AJ541" s="1">
        <v>4.18</v>
      </c>
      <c r="AK541" s="1" t="s">
        <v>46</v>
      </c>
      <c r="AL541" s="1" t="s">
        <v>28</v>
      </c>
      <c r="AM541" s="1">
        <v>408.0</v>
      </c>
      <c r="AN541" s="1">
        <v>2015.0</v>
      </c>
      <c r="AO541" s="1">
        <v>2015.0</v>
      </c>
      <c r="AQ541" s="3">
        <v>45173.0</v>
      </c>
      <c r="AR541" s="1" t="s">
        <v>96</v>
      </c>
      <c r="AS541" s="1" t="s">
        <v>2602</v>
      </c>
      <c r="AT541" s="1" t="s">
        <v>31</v>
      </c>
      <c r="AX541" s="1">
        <v>0.0</v>
      </c>
      <c r="AY541" s="1">
        <v>0.0</v>
      </c>
    </row>
    <row r="542" spans="20:51" ht="15.75" hidden="1">
      <c r="T542" s="1">
        <v>18834.0</v>
      </c>
      <c r="U542" s="1"/>
      <c r="V542" s="1"/>
      <c r="W542" s="1"/>
      <c r="X542" s="1"/>
      <c r="Y542" s="1" t="s">
        <v>2603</v>
      </c>
      <c r="Z542" s="1" t="s">
        <v>2604</v>
      </c>
      <c r="AA542" s="1" t="s">
        <v>2605</v>
      </c>
      <c r="AB542" s="1"/>
      <c r="AC542" s="1"/>
      <c r="AD542" s="1"/>
      <c r="AE542" s="1"/>
      <c r="AG542" s="2" t="str">
        <f>"0156116804"</f>
        <v>0156116804</v>
      </c>
      <c r="AH542" s="2" t="str">
        <f>"9780156116800"</f>
        <v>9780156116800</v>
      </c>
      <c r="AI542" s="1">
        <v>0.0</v>
      </c>
      <c r="AJ542" s="1">
        <v>3.77</v>
      </c>
      <c r="AK542" s="1" t="s">
        <v>403</v>
      </c>
      <c r="AL542" s="1" t="s">
        <v>28</v>
      </c>
      <c r="AM542" s="1">
        <v>263.0</v>
      </c>
      <c r="AN542" s="1">
        <v>1989.0</v>
      </c>
      <c r="AO542" s="1">
        <v>1989.0</v>
      </c>
      <c r="AQ542" s="3">
        <v>45173.0</v>
      </c>
      <c r="AR542" s="1" t="s">
        <v>96</v>
      </c>
      <c r="AS542" s="1" t="s">
        <v>2606</v>
      </c>
      <c r="AT542" s="1" t="s">
        <v>31</v>
      </c>
      <c r="AX542" s="1">
        <v>0.0</v>
      </c>
      <c r="AY542" s="1">
        <v>0.0</v>
      </c>
    </row>
    <row r="543" spans="20:51" ht="15.75" hidden="1">
      <c r="T543" s="1">
        <v>153274.0</v>
      </c>
      <c r="U543" s="1"/>
      <c r="V543" s="1"/>
      <c r="W543" s="1"/>
      <c r="X543" s="1"/>
      <c r="Y543" s="1" t="s">
        <v>2607</v>
      </c>
      <c r="Z543" s="1" t="s">
        <v>2608</v>
      </c>
      <c r="AA543" s="1" t="s">
        <v>2609</v>
      </c>
      <c r="AB543" s="1"/>
      <c r="AC543" s="1"/>
      <c r="AD543" s="1"/>
      <c r="AE543" s="1"/>
      <c r="AF543" s="1" t="s">
        <v>2610</v>
      </c>
      <c r="AG543" s="2" t="str">
        <f>"0231067070"</f>
        <v>0231067070</v>
      </c>
      <c r="AH543" s="2" t="str">
        <f>"9780231067072"</f>
        <v>9780231067072</v>
      </c>
      <c r="AI543" s="1">
        <v>0.0</v>
      </c>
      <c r="AJ543" s="1">
        <v>4.04</v>
      </c>
      <c r="AK543" s="1" t="s">
        <v>2611</v>
      </c>
      <c r="AL543" s="1" t="s">
        <v>28</v>
      </c>
      <c r="AM543" s="1">
        <v>300.0</v>
      </c>
      <c r="AN543" s="1">
        <v>1992.0</v>
      </c>
      <c r="AO543" s="1">
        <v>1987.0</v>
      </c>
      <c r="AQ543" s="3">
        <v>45171.0</v>
      </c>
      <c r="AR543" s="1" t="s">
        <v>96</v>
      </c>
      <c r="AS543" s="1" t="s">
        <v>2612</v>
      </c>
      <c r="AT543" s="1" t="s">
        <v>31</v>
      </c>
      <c r="AX543" s="1">
        <v>0.0</v>
      </c>
      <c r="AY543" s="1">
        <v>0.0</v>
      </c>
    </row>
    <row r="544" spans="20:51" ht="15.75" hidden="1">
      <c r="T544" s="1">
        <v>3402390.0</v>
      </c>
      <c r="U544" s="1"/>
      <c r="V544" s="1"/>
      <c r="W544" s="1"/>
      <c r="X544" s="1"/>
      <c r="Y544" s="1" t="s">
        <v>2613</v>
      </c>
      <c r="Z544" s="1" t="s">
        <v>2614</v>
      </c>
      <c r="AA544" s="1" t="s">
        <v>2615</v>
      </c>
      <c r="AB544" s="1"/>
      <c r="AC544" s="1"/>
      <c r="AD544" s="1"/>
      <c r="AE544" s="1"/>
      <c r="AF544" s="1" t="s">
        <v>2616</v>
      </c>
      <c r="AG544" s="2" t="str">
        <f>"0471950548"</f>
        <v>0471950548</v>
      </c>
      <c r="AH544" s="2" t="str">
        <f>"9780471950547"</f>
        <v>9780471950547</v>
      </c>
      <c r="AI544" s="1">
        <v>0.0</v>
      </c>
      <c r="AJ544" s="1">
        <v>0.0</v>
      </c>
      <c r="AK544" s="1" t="s">
        <v>2617</v>
      </c>
      <c r="AL544" s="1" t="s">
        <v>41</v>
      </c>
      <c r="AM544" s="1">
        <v>864.0</v>
      </c>
      <c r="AN544" s="1">
        <v>1995.0</v>
      </c>
      <c r="AO544" s="1">
        <v>1995.0</v>
      </c>
      <c r="AQ544" s="3">
        <v>45173.0</v>
      </c>
      <c r="AR544" s="1" t="s">
        <v>96</v>
      </c>
      <c r="AS544" s="1" t="s">
        <v>2618</v>
      </c>
      <c r="AT544" s="1" t="s">
        <v>31</v>
      </c>
      <c r="AX544" s="1">
        <v>0.0</v>
      </c>
      <c r="AY544" s="1">
        <v>0.0</v>
      </c>
    </row>
    <row r="545" spans="20:51" ht="15.75" hidden="1">
      <c r="T545" s="1">
        <v>36438.0</v>
      </c>
      <c r="U545" s="1"/>
      <c r="V545" s="1"/>
      <c r="W545" s="1"/>
      <c r="X545" s="1"/>
      <c r="Y545" s="1" t="s">
        <v>2619</v>
      </c>
      <c r="Z545" s="1" t="s">
        <v>2620</v>
      </c>
      <c r="AA545" s="1" t="s">
        <v>2621</v>
      </c>
      <c r="AB545" s="1"/>
      <c r="AC545" s="1"/>
      <c r="AD545" s="1"/>
      <c r="AE545" s="1"/>
      <c r="AF545" s="1" t="s">
        <v>1054</v>
      </c>
      <c r="AG545" s="2" t="str">
        <f>"0195135792"</f>
        <v>0195135792</v>
      </c>
      <c r="AH545" s="2" t="str">
        <f>"9780195135794"</f>
        <v>9780195135794</v>
      </c>
      <c r="AI545" s="1">
        <v>0.0</v>
      </c>
      <c r="AJ545" s="1">
        <v>4.36</v>
      </c>
      <c r="AK545" s="1" t="s">
        <v>214</v>
      </c>
      <c r="AL545" s="1" t="s">
        <v>41</v>
      </c>
      <c r="AM545" s="1">
        <v>1262.0</v>
      </c>
      <c r="AN545" s="1">
        <v>2007.0</v>
      </c>
      <c r="AO545" s="1">
        <v>1990.0</v>
      </c>
      <c r="AQ545" s="3">
        <v>45173.0</v>
      </c>
      <c r="AR545" s="1" t="s">
        <v>96</v>
      </c>
      <c r="AS545" s="1" t="s">
        <v>2622</v>
      </c>
      <c r="AT545" s="1" t="s">
        <v>31</v>
      </c>
      <c r="AX545" s="1">
        <v>0.0</v>
      </c>
      <c r="AY545" s="1">
        <v>0.0</v>
      </c>
    </row>
    <row r="546" spans="20:51" ht="15.75" hidden="1">
      <c r="T546" s="1">
        <v>1087927.0</v>
      </c>
      <c r="U546" s="1"/>
      <c r="V546" s="1"/>
      <c r="W546" s="1"/>
      <c r="X546" s="1"/>
      <c r="Y546" s="1" t="s">
        <v>2623</v>
      </c>
      <c r="Z546" s="1" t="s">
        <v>2600</v>
      </c>
      <c r="AA546" s="1" t="s">
        <v>2601</v>
      </c>
      <c r="AB546" s="1"/>
      <c r="AC546" s="1"/>
      <c r="AD546" s="1"/>
      <c r="AE546" s="1"/>
      <c r="AG546" s="2" t="str">
        <f>"006097740X"</f>
        <v>006097740X</v>
      </c>
      <c r="AH546" s="2" t="str">
        <f>"9780060977405"</f>
        <v>9780060977405</v>
      </c>
      <c r="AI546" s="1">
        <v>0.0</v>
      </c>
      <c r="AJ546" s="1">
        <v>3.81</v>
      </c>
      <c r="AK546" s="1" t="s">
        <v>2560</v>
      </c>
      <c r="AL546" s="1" t="s">
        <v>28</v>
      </c>
      <c r="AM546" s="1">
        <v>384.0</v>
      </c>
      <c r="AN546" s="1">
        <v>1998.0</v>
      </c>
      <c r="AO546" s="1">
        <v>1997.0</v>
      </c>
      <c r="AQ546" s="3">
        <v>45173.0</v>
      </c>
      <c r="AR546" s="1" t="s">
        <v>96</v>
      </c>
      <c r="AS546" s="1" t="s">
        <v>2624</v>
      </c>
      <c r="AT546" s="1" t="s">
        <v>31</v>
      </c>
      <c r="AX546" s="1">
        <v>0.0</v>
      </c>
      <c r="AY546" s="1">
        <v>0.0</v>
      </c>
    </row>
    <row r="547" spans="20:51" ht="15.75" hidden="1">
      <c r="T547" s="1">
        <v>79277.0</v>
      </c>
      <c r="U547" s="1"/>
      <c r="V547" s="1"/>
      <c r="W547" s="1"/>
      <c r="X547" s="1"/>
      <c r="Y547" s="1" t="s">
        <v>2625</v>
      </c>
      <c r="Z547" s="1" t="s">
        <v>2626</v>
      </c>
      <c r="AA547" s="1" t="s">
        <v>2627</v>
      </c>
      <c r="AB547" s="1"/>
      <c r="AC547" s="1"/>
      <c r="AD547" s="1"/>
      <c r="AE547" s="1"/>
      <c r="AF547" s="1" t="s">
        <v>2628</v>
      </c>
      <c r="AG547" s="2" t="str">
        <f>"026268084X"</f>
        <v>026268084X</v>
      </c>
      <c r="AH547" s="2" t="str">
        <f>"9780262680844"</f>
        <v>9780262680844</v>
      </c>
      <c r="AI547" s="1">
        <v>0.0</v>
      </c>
      <c r="AJ547" s="1">
        <v>4.38</v>
      </c>
      <c r="AK547" s="1" t="s">
        <v>2629</v>
      </c>
      <c r="AL547" s="1" t="s">
        <v>28</v>
      </c>
      <c r="AM547" s="1">
        <v>272.0</v>
      </c>
      <c r="AN547" s="1">
        <v>1995.0</v>
      </c>
      <c r="AO547" s="1">
        <v>1995.0</v>
      </c>
      <c r="AQ547" s="3">
        <v>45173.0</v>
      </c>
      <c r="AR547" s="1" t="s">
        <v>96</v>
      </c>
      <c r="AS547" s="1" t="s">
        <v>2630</v>
      </c>
      <c r="AT547" s="1" t="s">
        <v>31</v>
      </c>
      <c r="AX547" s="1">
        <v>0.0</v>
      </c>
      <c r="AY547" s="1">
        <v>0.0</v>
      </c>
    </row>
    <row r="548" spans="20:51" ht="15.75" hidden="1">
      <c r="T548" s="1">
        <v>33832.0</v>
      </c>
      <c r="U548" s="1"/>
      <c r="V548" s="1"/>
      <c r="W548" s="1"/>
      <c r="X548" s="1"/>
      <c r="Y548" s="1" t="s">
        <v>2631</v>
      </c>
      <c r="Z548" s="1" t="s">
        <v>1054</v>
      </c>
      <c r="AA548" s="1" t="s">
        <v>1055</v>
      </c>
      <c r="AB548" s="1"/>
      <c r="AC548" s="1"/>
      <c r="AD548" s="1"/>
      <c r="AE548" s="1"/>
      <c r="AG548" s="2" t="str">
        <f>"0375701478"</f>
        <v>0375701478</v>
      </c>
      <c r="AH548" s="2" t="str">
        <f>"9780375701474"</f>
        <v>9780375701474</v>
      </c>
      <c r="AI548" s="1">
        <v>0.0</v>
      </c>
      <c r="AJ548" s="1">
        <v>4.11</v>
      </c>
      <c r="AK548" s="1" t="s">
        <v>83</v>
      </c>
      <c r="AL548" s="1" t="s">
        <v>28</v>
      </c>
      <c r="AM548" s="1">
        <v>432.0</v>
      </c>
      <c r="AN548" s="1">
        <v>2000.0</v>
      </c>
      <c r="AO548" s="1">
        <v>1999.0</v>
      </c>
      <c r="AQ548" s="3">
        <v>45164.0</v>
      </c>
      <c r="AR548" s="1" t="s">
        <v>96</v>
      </c>
      <c r="AS548" s="1" t="s">
        <v>2632</v>
      </c>
      <c r="AT548" s="1" t="s">
        <v>31</v>
      </c>
      <c r="AX548" s="1">
        <v>0.0</v>
      </c>
      <c r="AY548" s="1">
        <v>0.0</v>
      </c>
    </row>
    <row r="549" spans="20:51" ht="15.75" hidden="1">
      <c r="T549" s="1">
        <v>39926.0</v>
      </c>
      <c r="U549" s="1"/>
      <c r="V549" s="1"/>
      <c r="W549" s="1"/>
      <c r="X549" s="1"/>
      <c r="Y549" s="1" t="s">
        <v>2633</v>
      </c>
      <c r="Z549" s="1" t="s">
        <v>2634</v>
      </c>
      <c r="AA549" s="1" t="s">
        <v>2635</v>
      </c>
      <c r="AB549" s="1"/>
      <c r="AC549" s="1"/>
      <c r="AD549" s="1"/>
      <c r="AE549" s="1"/>
      <c r="AG549" s="2" t="str">
        <f>"0060512180"</f>
        <v>0060512180</v>
      </c>
      <c r="AH549" s="2" t="str">
        <f>"9780060512187"</f>
        <v>9780060512187</v>
      </c>
      <c r="AI549" s="1">
        <v>0.0</v>
      </c>
      <c r="AJ549" s="1">
        <v>3.91</v>
      </c>
      <c r="AK549" s="1" t="s">
        <v>474</v>
      </c>
      <c r="AL549" s="1" t="s">
        <v>28</v>
      </c>
      <c r="AM549" s="1">
        <v>368.0</v>
      </c>
      <c r="AN549" s="1">
        <v>2002.0</v>
      </c>
      <c r="AO549" s="1">
        <v>1990.0</v>
      </c>
      <c r="AQ549" s="3">
        <v>45173.0</v>
      </c>
      <c r="AR549" s="1" t="s">
        <v>96</v>
      </c>
      <c r="AS549" s="1" t="s">
        <v>2636</v>
      </c>
      <c r="AT549" s="1" t="s">
        <v>31</v>
      </c>
      <c r="AX549" s="1">
        <v>0.0</v>
      </c>
      <c r="AY549" s="1">
        <v>0.0</v>
      </c>
    </row>
    <row r="550" spans="20:51" ht="15.75" hidden="1">
      <c r="T550" s="1">
        <v>19510.0</v>
      </c>
      <c r="U550" s="1"/>
      <c r="V550" s="1"/>
      <c r="W550" s="1"/>
      <c r="X550" s="1"/>
      <c r="Y550" s="1" t="s">
        <v>2637</v>
      </c>
      <c r="Z550" s="1" t="s">
        <v>2638</v>
      </c>
      <c r="AA550" s="1" t="s">
        <v>2639</v>
      </c>
      <c r="AB550" s="1"/>
      <c r="AC550" s="1"/>
      <c r="AD550" s="1"/>
      <c r="AE550" s="1"/>
      <c r="AF550" s="1" t="s">
        <v>2640</v>
      </c>
      <c r="AG550" s="2" t="str">
        <f>"0140442278"</f>
        <v>0140442278</v>
      </c>
      <c r="AH550" s="2" t="str">
        <f>"9780140442274"</f>
        <v>9780140442274</v>
      </c>
      <c r="AI550" s="1">
        <v>0.0</v>
      </c>
      <c r="AJ550" s="1">
        <v>4.17</v>
      </c>
      <c r="AK550" s="1" t="s">
        <v>232</v>
      </c>
      <c r="AL550" s="1" t="s">
        <v>28</v>
      </c>
      <c r="AM550" s="1">
        <v>240.0</v>
      </c>
      <c r="AN550" s="1">
        <v>1973.0</v>
      </c>
      <c r="AO550" s="1">
        <v>1851.0</v>
      </c>
      <c r="AQ550" s="3">
        <v>45166.0</v>
      </c>
      <c r="AR550" s="1" t="s">
        <v>96</v>
      </c>
      <c r="AS550" s="1" t="s">
        <v>2641</v>
      </c>
      <c r="AT550" s="1" t="s">
        <v>31</v>
      </c>
      <c r="AX550" s="1">
        <v>0.0</v>
      </c>
      <c r="AY550" s="1">
        <v>0.0</v>
      </c>
    </row>
    <row r="551" spans="20:51" ht="15.75" hidden="1">
      <c r="T551" s="1">
        <v>2544307.0</v>
      </c>
      <c r="U551" s="1"/>
      <c r="V551" s="1"/>
      <c r="W551" s="1"/>
      <c r="X551" s="1"/>
      <c r="Y551" s="1" t="s">
        <v>2642</v>
      </c>
      <c r="Z551" s="1" t="s">
        <v>2643</v>
      </c>
      <c r="AA551" s="1" t="s">
        <v>2644</v>
      </c>
      <c r="AB551" s="1"/>
      <c r="AC551" s="1"/>
      <c r="AD551" s="1"/>
      <c r="AE551" s="1"/>
      <c r="AG551" s="2" t="str">
        <f>"0801884519"</f>
        <v>0801884519</v>
      </c>
      <c r="AH551" s="2" t="str">
        <f>"9780801884511"</f>
        <v>9780801884511</v>
      </c>
      <c r="AI551" s="1">
        <v>0.0</v>
      </c>
      <c r="AJ551" s="1">
        <v>3.61</v>
      </c>
      <c r="AK551" s="1" t="s">
        <v>1295</v>
      </c>
      <c r="AL551" s="1" t="s">
        <v>28</v>
      </c>
      <c r="AM551" s="1">
        <v>205.0</v>
      </c>
      <c r="AN551" s="1">
        <v>2006.0</v>
      </c>
      <c r="AO551" s="1">
        <v>1989.0</v>
      </c>
      <c r="AQ551" s="3">
        <v>45166.0</v>
      </c>
      <c r="AR551" s="1" t="s">
        <v>96</v>
      </c>
      <c r="AS551" s="1" t="s">
        <v>2645</v>
      </c>
      <c r="AT551" s="1" t="s">
        <v>31</v>
      </c>
      <c r="AX551" s="1">
        <v>0.0</v>
      </c>
      <c r="AY551" s="1">
        <v>0.0</v>
      </c>
    </row>
    <row r="552" spans="20:51" ht="15.75" hidden="1">
      <c r="T552" s="1">
        <v>49286.0</v>
      </c>
      <c r="U552" s="1"/>
      <c r="V552" s="1"/>
      <c r="W552" s="1"/>
      <c r="X552" s="1"/>
      <c r="Y552" s="1" t="s">
        <v>2646</v>
      </c>
      <c r="Z552" s="1" t="s">
        <v>2647</v>
      </c>
      <c r="AA552" s="1" t="s">
        <v>2648</v>
      </c>
      <c r="AB552" s="1"/>
      <c r="AC552" s="1"/>
      <c r="AD552" s="1"/>
      <c r="AE552" s="1"/>
      <c r="AG552" s="2" t="str">
        <f>"0679742441"</f>
        <v>0679742441</v>
      </c>
      <c r="AH552" s="2" t="str">
        <f>"9780679742449"</f>
        <v>9780679742449</v>
      </c>
      <c r="AI552" s="1">
        <v>0.0</v>
      </c>
      <c r="AJ552" s="1">
        <v>4.07</v>
      </c>
      <c r="AK552" s="1" t="s">
        <v>83</v>
      </c>
      <c r="AL552" s="1" t="s">
        <v>28</v>
      </c>
      <c r="AM552" s="1">
        <v>278.0</v>
      </c>
      <c r="AN552" s="1">
        <v>1995.0</v>
      </c>
      <c r="AO552" s="1">
        <v>1994.0</v>
      </c>
      <c r="AQ552" s="3">
        <v>45166.0</v>
      </c>
      <c r="AR552" s="1" t="s">
        <v>96</v>
      </c>
      <c r="AS552" s="1" t="s">
        <v>2649</v>
      </c>
      <c r="AT552" s="1" t="s">
        <v>31</v>
      </c>
      <c r="AX552" s="1">
        <v>0.0</v>
      </c>
      <c r="AY552" s="1">
        <v>0.0</v>
      </c>
    </row>
    <row r="553" spans="20:51" ht="15.75" hidden="1">
      <c r="T553" s="1">
        <v>110763.0</v>
      </c>
      <c r="U553" s="1"/>
      <c r="V553" s="1"/>
      <c r="W553" s="1"/>
      <c r="X553" s="1"/>
      <c r="Y553" s="1" t="s">
        <v>2650</v>
      </c>
      <c r="Z553" s="1" t="s">
        <v>2651</v>
      </c>
      <c r="AA553" s="1" t="s">
        <v>2652</v>
      </c>
      <c r="AB553" s="1"/>
      <c r="AC553" s="1"/>
      <c r="AD553" s="1"/>
      <c r="AE553" s="1"/>
      <c r="AG553" s="2" t="str">
        <f>"0679724532"</f>
        <v>0679724532</v>
      </c>
      <c r="AH553" s="2" t="str">
        <f>"9780679724537"</f>
        <v>9780679724537</v>
      </c>
      <c r="AI553" s="1">
        <v>0.0</v>
      </c>
      <c r="AJ553" s="1">
        <v>3.93</v>
      </c>
      <c r="AK553" s="1" t="s">
        <v>83</v>
      </c>
      <c r="AL553" s="1" t="s">
        <v>28</v>
      </c>
      <c r="AM553" s="1">
        <v>218.0</v>
      </c>
      <c r="AN553" s="1">
        <v>1989.0</v>
      </c>
      <c r="AO553" s="1">
        <v>1979.0</v>
      </c>
      <c r="AQ553" s="3">
        <v>45173.0</v>
      </c>
      <c r="AR553" s="1" t="s">
        <v>31</v>
      </c>
      <c r="AS553" s="1" t="s">
        <v>2653</v>
      </c>
      <c r="AT553" s="1" t="s">
        <v>31</v>
      </c>
      <c r="AX553" s="1">
        <v>0.0</v>
      </c>
      <c r="AY553" s="1">
        <v>0.0</v>
      </c>
    </row>
    <row r="554" spans="20:51" ht="15.75" hidden="1">
      <c r="T554" s="1">
        <v>1.7693047E7</v>
      </c>
      <c r="U554" s="1"/>
      <c r="V554" s="1"/>
      <c r="W554" s="1"/>
      <c r="X554" s="1"/>
      <c r="Y554" s="1" t="s">
        <v>2654</v>
      </c>
      <c r="Z554" s="1" t="s">
        <v>2655</v>
      </c>
      <c r="AA554" s="1" t="s">
        <v>2656</v>
      </c>
      <c r="AB554" s="1"/>
      <c r="AC554" s="1"/>
      <c r="AD554" s="1"/>
      <c r="AE554" s="1"/>
      <c r="AG554" s="2" t="str">
        <f t="shared" si="36" ref="AG554:AH554">""</f>
        <v/>
      </c>
      <c r="AH554" s="2" t="str">
        <f t="shared" si="36"/>
        <v/>
      </c>
      <c r="AI554" s="1">
        <v>0.0</v>
      </c>
      <c r="AJ554" s="1">
        <v>4.16</v>
      </c>
      <c r="AK554" s="1" t="s">
        <v>2657</v>
      </c>
      <c r="AL554" s="1" t="s">
        <v>59</v>
      </c>
      <c r="AM554" s="1">
        <v>242.0</v>
      </c>
      <c r="AN554" s="1">
        <v>2012.0</v>
      </c>
      <c r="AO554" s="1">
        <v>2012.0</v>
      </c>
      <c r="AQ554" s="3">
        <v>45173.0</v>
      </c>
      <c r="AR554" s="1" t="s">
        <v>31</v>
      </c>
      <c r="AS554" s="1" t="s">
        <v>2658</v>
      </c>
      <c r="AT554" s="1" t="s">
        <v>31</v>
      </c>
      <c r="AX554" s="1">
        <v>0.0</v>
      </c>
      <c r="AY554" s="1">
        <v>0.0</v>
      </c>
    </row>
    <row r="555" spans="20:51" ht="15.75" hidden="1">
      <c r="T555" s="1">
        <v>369266.0</v>
      </c>
      <c r="U555" s="1"/>
      <c r="V555" s="1"/>
      <c r="W555" s="1"/>
      <c r="X555" s="1"/>
      <c r="Y555" s="1" t="s">
        <v>2659</v>
      </c>
      <c r="Z555" s="1" t="s">
        <v>2660</v>
      </c>
      <c r="AA555" s="1" t="s">
        <v>2661</v>
      </c>
      <c r="AB555" s="1"/>
      <c r="AC555" s="1"/>
      <c r="AD555" s="1"/>
      <c r="AE555" s="1"/>
      <c r="AF555" s="1" t="s">
        <v>2662</v>
      </c>
      <c r="AG555" s="2" t="str">
        <f>"1572245131"</f>
        <v>1572245131</v>
      </c>
      <c r="AH555" s="2" t="str">
        <f>"9781572245136"</f>
        <v>9781572245136</v>
      </c>
      <c r="AI555" s="1">
        <v>0.0</v>
      </c>
      <c r="AJ555" s="1">
        <v>4.26</v>
      </c>
      <c r="AK555" s="1" t="s">
        <v>2663</v>
      </c>
      <c r="AL555" s="1" t="s">
        <v>28</v>
      </c>
      <c r="AM555" s="1">
        <v>241.0</v>
      </c>
      <c r="AN555" s="1">
        <v>2007.0</v>
      </c>
      <c r="AQ555" s="3">
        <v>45173.0</v>
      </c>
      <c r="AR555" s="1" t="s">
        <v>31</v>
      </c>
      <c r="AS555" s="1" t="s">
        <v>2664</v>
      </c>
      <c r="AT555" s="1" t="s">
        <v>31</v>
      </c>
      <c r="AX555" s="1">
        <v>0.0</v>
      </c>
      <c r="AY555" s="1">
        <v>0.0</v>
      </c>
    </row>
    <row r="556" spans="20:51" ht="15.75" hidden="1">
      <c r="T556" s="1">
        <v>534092.0</v>
      </c>
      <c r="U556" s="1"/>
      <c r="V556" s="1"/>
      <c r="W556" s="1"/>
      <c r="X556" s="1"/>
      <c r="Y556" s="1" t="s">
        <v>2665</v>
      </c>
      <c r="Z556" s="1" t="s">
        <v>2666</v>
      </c>
      <c r="AA556" s="1" t="s">
        <v>2667</v>
      </c>
      <c r="AB556" s="1"/>
      <c r="AC556" s="1"/>
      <c r="AD556" s="1"/>
      <c r="AE556" s="1"/>
      <c r="AF556" s="1" t="s">
        <v>2668</v>
      </c>
      <c r="AG556" s="2" t="str">
        <f>"0060928972"</f>
        <v>0060928972</v>
      </c>
      <c r="AH556" s="2" t="str">
        <f>"9780060928971"</f>
        <v>9780060928971</v>
      </c>
      <c r="AI556" s="1">
        <v>0.0</v>
      </c>
      <c r="AJ556" s="1">
        <v>4.1</v>
      </c>
      <c r="AK556" s="1" t="s">
        <v>2669</v>
      </c>
      <c r="AL556" s="1" t="s">
        <v>28</v>
      </c>
      <c r="AM556" s="1">
        <v>272.0</v>
      </c>
      <c r="AN556" s="1">
        <v>2019.0</v>
      </c>
      <c r="AO556" s="1">
        <v>1997.0</v>
      </c>
      <c r="AQ556" s="3">
        <v>45173.0</v>
      </c>
      <c r="AR556" s="1" t="s">
        <v>31</v>
      </c>
      <c r="AS556" s="1" t="s">
        <v>2670</v>
      </c>
      <c r="AT556" s="1" t="s">
        <v>31</v>
      </c>
      <c r="AX556" s="1">
        <v>0.0</v>
      </c>
      <c r="AY556" s="1">
        <v>0.0</v>
      </c>
    </row>
    <row r="557" spans="20:51" ht="15.75" hidden="1">
      <c r="T557" s="1">
        <v>19507.0</v>
      </c>
      <c r="U557" s="1"/>
      <c r="V557" s="1"/>
      <c r="W557" s="1"/>
      <c r="X557" s="1"/>
      <c r="Y557" s="1" t="s">
        <v>2671</v>
      </c>
      <c r="Z557" s="1" t="s">
        <v>2672</v>
      </c>
      <c r="AA557" s="1" t="s">
        <v>2673</v>
      </c>
      <c r="AB557" s="1"/>
      <c r="AC557" s="1"/>
      <c r="AD557" s="1"/>
      <c r="AE557" s="1"/>
      <c r="AG557" s="2" t="str">
        <f>"0465042872"</f>
        <v>0465042872</v>
      </c>
      <c r="AH557" s="2" t="str">
        <f>"9780465042876"</f>
        <v>9780465042876</v>
      </c>
      <c r="AI557" s="1">
        <v>0.0</v>
      </c>
      <c r="AJ557" s="1">
        <v>4.25</v>
      </c>
      <c r="AK557" s="1" t="s">
        <v>46</v>
      </c>
      <c r="AL557" s="1" t="s">
        <v>28</v>
      </c>
      <c r="AM557" s="1">
        <v>288.0</v>
      </c>
      <c r="AN557" s="1">
        <v>2003.0</v>
      </c>
      <c r="AO557" s="1">
        <v>2002.0</v>
      </c>
      <c r="AQ557" s="3">
        <v>45173.0</v>
      </c>
      <c r="AR557" s="1" t="s">
        <v>31</v>
      </c>
      <c r="AS557" s="1" t="s">
        <v>2674</v>
      </c>
      <c r="AT557" s="1" t="s">
        <v>31</v>
      </c>
      <c r="AX557" s="1">
        <v>0.0</v>
      </c>
      <c r="AY557" s="1">
        <v>0.0</v>
      </c>
    </row>
    <row r="558" spans="20:51" ht="15.75" hidden="1">
      <c r="T558" s="1">
        <v>746803.0</v>
      </c>
      <c r="U558" s="1"/>
      <c r="V558" s="1"/>
      <c r="W558" s="1"/>
      <c r="X558" s="1"/>
      <c r="Y558" s="1" t="s">
        <v>2675</v>
      </c>
      <c r="Z558" s="1" t="s">
        <v>149</v>
      </c>
      <c r="AA558" s="1" t="s">
        <v>150</v>
      </c>
      <c r="AB558" s="1"/>
      <c r="AC558" s="1"/>
      <c r="AD558" s="1"/>
      <c r="AE558" s="1"/>
      <c r="AF558" s="1" t="s">
        <v>2676</v>
      </c>
      <c r="AG558" s="2" t="str">
        <f>"0140134662"</f>
        <v>0140134662</v>
      </c>
      <c r="AH558" s="2" t="str">
        <f>"9780140134667"</f>
        <v>9780140134667</v>
      </c>
      <c r="AI558" s="1">
        <v>0.0</v>
      </c>
      <c r="AJ558" s="1">
        <v>4.19</v>
      </c>
      <c r="AK558" s="1" t="s">
        <v>151</v>
      </c>
      <c r="AL558" s="1" t="s">
        <v>28</v>
      </c>
      <c r="AM558" s="1">
        <v>288.0</v>
      </c>
      <c r="AN558" s="1">
        <v>1990.0</v>
      </c>
      <c r="AO558" s="1">
        <v>1964.0</v>
      </c>
      <c r="AQ558" s="3">
        <v>45173.0</v>
      </c>
      <c r="AR558" s="1" t="s">
        <v>31</v>
      </c>
      <c r="AS558" s="1" t="s">
        <v>2677</v>
      </c>
      <c r="AT558" s="1" t="s">
        <v>31</v>
      </c>
      <c r="AX558" s="1">
        <v>0.0</v>
      </c>
      <c r="AY558" s="1">
        <v>0.0</v>
      </c>
    </row>
    <row r="559" spans="20:51" ht="15.75" hidden="1">
      <c r="T559" s="1">
        <v>923950.0</v>
      </c>
      <c r="U559" s="1"/>
      <c r="V559" s="1"/>
      <c r="W559" s="1"/>
      <c r="X559" s="1"/>
      <c r="Y559" s="1" t="s">
        <v>2678</v>
      </c>
      <c r="Z559" s="1" t="s">
        <v>2679</v>
      </c>
      <c r="AA559" s="1" t="s">
        <v>2680</v>
      </c>
      <c r="AB559" s="1"/>
      <c r="AC559" s="1"/>
      <c r="AD559" s="1"/>
      <c r="AE559" s="1"/>
      <c r="AG559" s="2" t="str">
        <f>"0553062182"</f>
        <v>0553062182</v>
      </c>
      <c r="AH559" s="2" t="str">
        <f>"9780553062182"</f>
        <v>9780553062182</v>
      </c>
      <c r="AI559" s="1">
        <v>0.0</v>
      </c>
      <c r="AJ559" s="1">
        <v>3.86</v>
      </c>
      <c r="AK559" s="1" t="s">
        <v>2681</v>
      </c>
      <c r="AL559" s="1" t="s">
        <v>28</v>
      </c>
      <c r="AM559" s="1">
        <v>251.0</v>
      </c>
      <c r="AN559" s="1">
        <v>1997.0</v>
      </c>
      <c r="AO559" s="1">
        <v>1997.0</v>
      </c>
      <c r="AQ559" s="3">
        <v>45173.0</v>
      </c>
      <c r="AR559" s="1" t="s">
        <v>31</v>
      </c>
      <c r="AS559" s="1" t="s">
        <v>2682</v>
      </c>
      <c r="AT559" s="1" t="s">
        <v>31</v>
      </c>
      <c r="AX559" s="1">
        <v>0.0</v>
      </c>
      <c r="AY559" s="1">
        <v>0.0</v>
      </c>
    </row>
    <row r="560" spans="20:51" ht="15.75" hidden="1">
      <c r="T560" s="1">
        <v>646175.0</v>
      </c>
      <c r="U560" s="1"/>
      <c r="V560" s="1"/>
      <c r="W560" s="1"/>
      <c r="X560" s="1"/>
      <c r="Y560" s="1" t="s">
        <v>2683</v>
      </c>
      <c r="Z560" s="1" t="s">
        <v>129</v>
      </c>
      <c r="AA560" s="1" t="s">
        <v>130</v>
      </c>
      <c r="AB560" s="1"/>
      <c r="AC560" s="1"/>
      <c r="AD560" s="1"/>
      <c r="AE560" s="1"/>
      <c r="AF560" s="1" t="s">
        <v>2684</v>
      </c>
      <c r="AG560" s="2" t="str">
        <f>"0156612062"</f>
        <v>0156612062</v>
      </c>
      <c r="AH560" s="2" t="str">
        <f>"9780156612067"</f>
        <v>9780156612067</v>
      </c>
      <c r="AI560" s="1">
        <v>0.0</v>
      </c>
      <c r="AJ560" s="1">
        <v>4.2</v>
      </c>
      <c r="AK560" s="1" t="s">
        <v>2685</v>
      </c>
      <c r="AL560" s="1" t="s">
        <v>28</v>
      </c>
      <c r="AM560" s="1">
        <v>244.0</v>
      </c>
      <c r="AN560" s="1">
        <v>1955.0</v>
      </c>
      <c r="AO560" s="1">
        <v>1931.0</v>
      </c>
      <c r="AQ560" s="3">
        <v>45173.0</v>
      </c>
      <c r="AR560" s="1" t="s">
        <v>31</v>
      </c>
      <c r="AS560" s="1" t="s">
        <v>2686</v>
      </c>
      <c r="AT560" s="1" t="s">
        <v>31</v>
      </c>
      <c r="AX560" s="1">
        <v>0.0</v>
      </c>
      <c r="AY560" s="1">
        <v>0.0</v>
      </c>
    </row>
    <row r="561" spans="20:51" ht="15.75" hidden="1">
      <c r="T561" s="1">
        <v>21032.0</v>
      </c>
      <c r="U561" s="1"/>
      <c r="V561" s="1"/>
      <c r="W561" s="1"/>
      <c r="X561" s="1"/>
      <c r="Y561" s="1" t="s">
        <v>2687</v>
      </c>
      <c r="Z561" s="1" t="s">
        <v>2688</v>
      </c>
      <c r="AA561" s="1" t="s">
        <v>2689</v>
      </c>
      <c r="AB561" s="1"/>
      <c r="AC561" s="1"/>
      <c r="AD561" s="1"/>
      <c r="AE561" s="1"/>
      <c r="AG561" s="2" t="str">
        <f>"0465021476"</f>
        <v>0465021476</v>
      </c>
      <c r="AH561" s="2" t="str">
        <f>"9780465021475"</f>
        <v>9780465021475</v>
      </c>
      <c r="AI561" s="1">
        <v>0.0</v>
      </c>
      <c r="AJ561" s="1">
        <v>4.45</v>
      </c>
      <c r="AK561" s="1" t="s">
        <v>46</v>
      </c>
      <c r="AL561" s="1" t="s">
        <v>41</v>
      </c>
      <c r="AM561" s="1">
        <v>544.0</v>
      </c>
      <c r="AN561" s="1">
        <v>1980.0</v>
      </c>
      <c r="AO561" s="1">
        <v>1980.0</v>
      </c>
      <c r="AQ561" s="3">
        <v>45173.0</v>
      </c>
      <c r="AR561" s="1" t="s">
        <v>31</v>
      </c>
      <c r="AS561" s="1" t="s">
        <v>2690</v>
      </c>
      <c r="AT561" s="1" t="s">
        <v>31</v>
      </c>
      <c r="AX561" s="1">
        <v>0.0</v>
      </c>
      <c r="AY561" s="1">
        <v>0.0</v>
      </c>
    </row>
    <row r="562" spans="20:51" ht="15.75" hidden="1">
      <c r="T562" s="1">
        <v>1.20863898E8</v>
      </c>
      <c r="U562" s="1"/>
      <c r="V562" s="1"/>
      <c r="W562" s="1"/>
      <c r="X562" s="1"/>
      <c r="Y562" s="1" t="s">
        <v>2691</v>
      </c>
      <c r="Z562" s="1" t="s">
        <v>2692</v>
      </c>
      <c r="AA562" s="1" t="s">
        <v>2693</v>
      </c>
      <c r="AB562" s="1"/>
      <c r="AC562" s="1"/>
      <c r="AD562" s="1"/>
      <c r="AE562" s="1"/>
      <c r="AG562" s="2" t="str">
        <f>"1509556133"</f>
        <v>1509556133</v>
      </c>
      <c r="AH562" s="2" t="str">
        <f>"9781509556137"</f>
        <v>9781509556137</v>
      </c>
      <c r="AI562" s="1">
        <v>0.0</v>
      </c>
      <c r="AJ562" s="1">
        <v>3.88</v>
      </c>
      <c r="AK562" s="1" t="s">
        <v>2694</v>
      </c>
      <c r="AL562" s="1" t="s">
        <v>28</v>
      </c>
      <c r="AM562" s="1">
        <v>176.0</v>
      </c>
      <c r="AN562" s="1">
        <v>2023.0</v>
      </c>
      <c r="AO562" s="1">
        <v>2023.0</v>
      </c>
      <c r="AQ562" s="3">
        <v>45173.0</v>
      </c>
      <c r="AR562" s="1" t="s">
        <v>31</v>
      </c>
      <c r="AS562" s="1" t="s">
        <v>2695</v>
      </c>
      <c r="AT562" s="1" t="s">
        <v>31</v>
      </c>
      <c r="AX562" s="1">
        <v>0.0</v>
      </c>
      <c r="AY562" s="1">
        <v>0.0</v>
      </c>
    </row>
    <row r="563" spans="20:51" ht="15.75" hidden="1">
      <c r="T563" s="1">
        <v>3.4964946E7</v>
      </c>
      <c r="U563" s="1"/>
      <c r="V563" s="1"/>
      <c r="W563" s="1"/>
      <c r="X563" s="1"/>
      <c r="Y563" s="1" t="s">
        <v>2696</v>
      </c>
      <c r="Z563" s="1" t="s">
        <v>2697</v>
      </c>
      <c r="AA563" s="1" t="s">
        <v>2698</v>
      </c>
      <c r="AB563" s="1"/>
      <c r="AC563" s="1"/>
      <c r="AD563" s="1"/>
      <c r="AE563" s="1"/>
      <c r="AG563" s="2" t="str">
        <f>"1250154391"</f>
        <v>1250154391</v>
      </c>
      <c r="AH563" s="2" t="str">
        <f>"9781250154392"</f>
        <v>9781250154392</v>
      </c>
      <c r="AI563" s="1">
        <v>0.0</v>
      </c>
      <c r="AJ563" s="1">
        <v>3.83</v>
      </c>
      <c r="AK563" s="1" t="s">
        <v>1998</v>
      </c>
      <c r="AL563" s="1" t="s">
        <v>41</v>
      </c>
      <c r="AM563" s="1">
        <v>240.0</v>
      </c>
      <c r="AN563" s="1">
        <v>2018.0</v>
      </c>
      <c r="AO563" s="1">
        <v>2018.0</v>
      </c>
      <c r="AQ563" s="3">
        <v>45173.0</v>
      </c>
      <c r="AR563" s="1" t="s">
        <v>31</v>
      </c>
      <c r="AS563" s="1" t="s">
        <v>2699</v>
      </c>
      <c r="AT563" s="1" t="s">
        <v>31</v>
      </c>
      <c r="AX563" s="1">
        <v>0.0</v>
      </c>
      <c r="AY563" s="1">
        <v>0.0</v>
      </c>
    </row>
    <row r="564" spans="20:51" ht="15.75" hidden="1">
      <c r="T564" s="1">
        <v>5.2759282E7</v>
      </c>
      <c r="U564" s="1"/>
      <c r="V564" s="1"/>
      <c r="W564" s="1"/>
      <c r="X564" s="1"/>
      <c r="Y564" s="1" t="s">
        <v>2700</v>
      </c>
      <c r="Z564" s="1" t="s">
        <v>2701</v>
      </c>
      <c r="AA564" s="1" t="s">
        <v>2702</v>
      </c>
      <c r="AB564" s="1"/>
      <c r="AC564" s="1"/>
      <c r="AD564" s="1"/>
      <c r="AE564" s="1"/>
      <c r="AG564" s="2" t="str">
        <f>"1982145625"</f>
        <v>1982145625</v>
      </c>
      <c r="AH564" s="2" t="str">
        <f>"9781982145620"</f>
        <v>9781982145620</v>
      </c>
      <c r="AI564" s="1">
        <v>0.0</v>
      </c>
      <c r="AJ564" s="1">
        <v>4.01</v>
      </c>
      <c r="AK564" s="1" t="s">
        <v>345</v>
      </c>
      <c r="AL564" s="1" t="s">
        <v>41</v>
      </c>
      <c r="AM564" s="1">
        <v>320.0</v>
      </c>
      <c r="AN564" s="1">
        <v>2020.0</v>
      </c>
      <c r="AO564" s="1">
        <v>2020.0</v>
      </c>
      <c r="AQ564" s="3">
        <v>45173.0</v>
      </c>
      <c r="AR564" s="1" t="s">
        <v>31</v>
      </c>
      <c r="AS564" s="1" t="s">
        <v>2703</v>
      </c>
      <c r="AT564" s="1" t="s">
        <v>31</v>
      </c>
      <c r="AX564" s="1">
        <v>0.0</v>
      </c>
      <c r="AY564" s="1">
        <v>0.0</v>
      </c>
    </row>
    <row r="565" spans="20:51" ht="15.75" hidden="1">
      <c r="T565" s="1">
        <v>644361.0</v>
      </c>
      <c r="U565" s="1"/>
      <c r="V565" s="1"/>
      <c r="W565" s="1"/>
      <c r="X565" s="1"/>
      <c r="Y565" s="1" t="s">
        <v>2704</v>
      </c>
      <c r="Z565" s="1" t="s">
        <v>2705</v>
      </c>
      <c r="AA565" s="1" t="s">
        <v>2706</v>
      </c>
      <c r="AB565" s="1"/>
      <c r="AC565" s="1"/>
      <c r="AD565" s="1"/>
      <c r="AE565" s="1"/>
      <c r="AG565" s="2" t="str">
        <f>"0812930290"</f>
        <v>0812930290</v>
      </c>
      <c r="AH565" s="2" t="str">
        <f>"9780812930290"</f>
        <v>9780812930290</v>
      </c>
      <c r="AI565" s="1">
        <v>0.0</v>
      </c>
      <c r="AJ565" s="1">
        <v>3.87</v>
      </c>
      <c r="AK565" s="1" t="s">
        <v>2707</v>
      </c>
      <c r="AL565" s="1" t="s">
        <v>28</v>
      </c>
      <c r="AM565" s="1">
        <v>426.0</v>
      </c>
      <c r="AN565" s="1">
        <v>1998.0</v>
      </c>
      <c r="AO565" s="1">
        <v>1997.0</v>
      </c>
      <c r="AQ565" s="3">
        <v>45173.0</v>
      </c>
      <c r="AR565" s="1" t="s">
        <v>31</v>
      </c>
      <c r="AS565" s="1" t="s">
        <v>2708</v>
      </c>
      <c r="AT565" s="1" t="s">
        <v>31</v>
      </c>
      <c r="AX565" s="1">
        <v>0.0</v>
      </c>
      <c r="AY565" s="1">
        <v>0.0</v>
      </c>
    </row>
    <row r="566" spans="20:51" ht="15.75" hidden="1">
      <c r="T566" s="1">
        <v>116676.0</v>
      </c>
      <c r="U566" s="1"/>
      <c r="V566" s="1"/>
      <c r="W566" s="1"/>
      <c r="X566" s="1"/>
      <c r="Y566" s="1" t="s">
        <v>2709</v>
      </c>
      <c r="Z566" s="1" t="s">
        <v>2710</v>
      </c>
      <c r="AA566" s="1" t="s">
        <v>2711</v>
      </c>
      <c r="AB566" s="1"/>
      <c r="AC566" s="1"/>
      <c r="AD566" s="1"/>
      <c r="AE566" s="1"/>
      <c r="AG566" s="2" t="str">
        <f>"0226661016"</f>
        <v>0226661016</v>
      </c>
      <c r="AH566" s="2" t="str">
        <f>"9780226661018"</f>
        <v>9780226661018</v>
      </c>
      <c r="AI566" s="1">
        <v>0.0</v>
      </c>
      <c r="AJ566" s="1">
        <v>3.33</v>
      </c>
      <c r="AK566" s="1" t="s">
        <v>224</v>
      </c>
      <c r="AL566" s="1" t="s">
        <v>28</v>
      </c>
      <c r="AM566" s="1">
        <v>484.0</v>
      </c>
      <c r="AN566" s="1">
        <v>1989.0</v>
      </c>
      <c r="AO566" s="1">
        <v>1984.0</v>
      </c>
      <c r="AQ566" s="3">
        <v>45173.0</v>
      </c>
      <c r="AR566" s="1" t="s">
        <v>31</v>
      </c>
      <c r="AS566" s="1" t="s">
        <v>2712</v>
      </c>
      <c r="AT566" s="1" t="s">
        <v>31</v>
      </c>
      <c r="AX566" s="1">
        <v>0.0</v>
      </c>
      <c r="AY566" s="1">
        <v>0.0</v>
      </c>
    </row>
    <row r="567" spans="20:51" ht="15.75" hidden="1">
      <c r="T567" s="1">
        <v>6562140.0</v>
      </c>
      <c r="U567" s="1"/>
      <c r="V567" s="1"/>
      <c r="W567" s="1"/>
      <c r="X567" s="1"/>
      <c r="Y567" s="1" t="s">
        <v>2713</v>
      </c>
      <c r="Z567" s="1" t="s">
        <v>2714</v>
      </c>
      <c r="AA567" s="1" t="s">
        <v>2715</v>
      </c>
      <c r="AB567" s="1"/>
      <c r="AC567" s="1"/>
      <c r="AD567" s="1"/>
      <c r="AE567" s="1"/>
      <c r="AG567" s="2" t="str">
        <f>"0195324870"</f>
        <v>0195324870</v>
      </c>
      <c r="AH567" s="2" t="str">
        <f>"9780195324877"</f>
        <v>9780195324877</v>
      </c>
      <c r="AI567" s="1">
        <v>0.0</v>
      </c>
      <c r="AJ567" s="1">
        <v>3.86</v>
      </c>
      <c r="AK567" s="1" t="s">
        <v>214</v>
      </c>
      <c r="AL567" s="1" t="s">
        <v>41</v>
      </c>
      <c r="AM567" s="1">
        <v>384.0</v>
      </c>
      <c r="AN567" s="1">
        <v>2009.0</v>
      </c>
      <c r="AO567" s="1">
        <v>2009.0</v>
      </c>
      <c r="AQ567" s="3">
        <v>45173.0</v>
      </c>
      <c r="AR567" s="1" t="s">
        <v>31</v>
      </c>
      <c r="AS567" s="1" t="s">
        <v>2716</v>
      </c>
      <c r="AT567" s="1" t="s">
        <v>31</v>
      </c>
      <c r="AX567" s="1">
        <v>0.0</v>
      </c>
      <c r="AY567" s="1">
        <v>0.0</v>
      </c>
    </row>
    <row r="568" spans="20:51" ht="15.75" hidden="1">
      <c r="T568" s="1">
        <v>52374.0</v>
      </c>
      <c r="U568" s="1"/>
      <c r="V568" s="1"/>
      <c r="W568" s="1"/>
      <c r="X568" s="1"/>
      <c r="Y568" s="1" t="s">
        <v>2717</v>
      </c>
      <c r="Z568" s="1" t="s">
        <v>1005</v>
      </c>
      <c r="AA568" s="1" t="s">
        <v>1006</v>
      </c>
      <c r="AB568" s="1"/>
      <c r="AC568" s="1"/>
      <c r="AD568" s="1"/>
      <c r="AE568" s="1"/>
      <c r="AG568" s="2" t="str">
        <f>"0312280866"</f>
        <v>0312280866</v>
      </c>
      <c r="AH568" s="2" t="str">
        <f>"9780312280864"</f>
        <v>9780312280864</v>
      </c>
      <c r="AI568" s="1">
        <v>0.0</v>
      </c>
      <c r="AJ568" s="1">
        <v>4.14</v>
      </c>
      <c r="AK568" s="1" t="s">
        <v>945</v>
      </c>
      <c r="AL568" s="1" t="s">
        <v>28</v>
      </c>
      <c r="AM568" s="1">
        <v>312.0</v>
      </c>
      <c r="AN568" s="1">
        <v>2001.0</v>
      </c>
      <c r="AO568" s="1">
        <v>1964.0</v>
      </c>
      <c r="AQ568" s="3">
        <v>45173.0</v>
      </c>
      <c r="AR568" s="1" t="s">
        <v>31</v>
      </c>
      <c r="AS568" s="1" t="s">
        <v>2718</v>
      </c>
      <c r="AT568" s="1" t="s">
        <v>31</v>
      </c>
      <c r="AX568" s="1">
        <v>0.0</v>
      </c>
      <c r="AY568" s="1">
        <v>0.0</v>
      </c>
    </row>
    <row r="569" spans="20:51" ht="15.75" hidden="1">
      <c r="T569" s="1">
        <v>1767179.0</v>
      </c>
      <c r="U569" s="1"/>
      <c r="V569" s="1"/>
      <c r="W569" s="1"/>
      <c r="X569" s="1"/>
      <c r="Y569" s="1" t="s">
        <v>2719</v>
      </c>
      <c r="Z569" s="1" t="s">
        <v>2720</v>
      </c>
      <c r="AA569" s="1" t="s">
        <v>2721</v>
      </c>
      <c r="AB569" s="1"/>
      <c r="AC569" s="1"/>
      <c r="AD569" s="1"/>
      <c r="AE569" s="1"/>
      <c r="AG569" s="2" t="str">
        <f>"0374521751"</f>
        <v>0374521751</v>
      </c>
      <c r="AH569" s="2" t="str">
        <f>"9780374521752"</f>
        <v>9780374521752</v>
      </c>
      <c r="AI569" s="1">
        <v>0.0</v>
      </c>
      <c r="AJ569" s="1">
        <v>3.92</v>
      </c>
      <c r="AK569" s="1" t="s">
        <v>2722</v>
      </c>
      <c r="AL569" s="1" t="s">
        <v>28</v>
      </c>
      <c r="AM569" s="1">
        <v>289.0</v>
      </c>
      <c r="AN569" s="1">
        <v>1989.0</v>
      </c>
      <c r="AO569" s="1">
        <v>1987.0</v>
      </c>
      <c r="AQ569" s="3">
        <v>45173.0</v>
      </c>
      <c r="AR569" s="1" t="s">
        <v>31</v>
      </c>
      <c r="AS569" s="1" t="s">
        <v>2723</v>
      </c>
      <c r="AT569" s="1" t="s">
        <v>31</v>
      </c>
      <c r="AX569" s="1">
        <v>0.0</v>
      </c>
      <c r="AY569" s="1">
        <v>0.0</v>
      </c>
    </row>
    <row r="570" spans="20:51" ht="15.75" hidden="1">
      <c r="T570" s="1">
        <v>241061.0</v>
      </c>
      <c r="U570" s="1"/>
      <c r="V570" s="1"/>
      <c r="W570" s="1"/>
      <c r="X570" s="1"/>
      <c r="Y570" s="1" t="s">
        <v>2724</v>
      </c>
      <c r="Z570" s="1" t="s">
        <v>2725</v>
      </c>
      <c r="AA570" s="1" t="s">
        <v>2726</v>
      </c>
      <c r="AB570" s="1"/>
      <c r="AC570" s="1"/>
      <c r="AD570" s="1"/>
      <c r="AE570" s="1"/>
      <c r="AG570" s="2" t="str">
        <f>"0674654617"</f>
        <v>0674654617</v>
      </c>
      <c r="AH570" s="2" t="str">
        <f>"9780674654617"</f>
        <v>9780674654617</v>
      </c>
      <c r="AI570" s="1">
        <v>0.0</v>
      </c>
      <c r="AJ570" s="1">
        <v>4.15</v>
      </c>
      <c r="AK570" s="1" t="s">
        <v>107</v>
      </c>
      <c r="AL570" s="1" t="s">
        <v>28</v>
      </c>
      <c r="AM570" s="1">
        <v>346.0</v>
      </c>
      <c r="AN570" s="1">
        <v>1996.0</v>
      </c>
      <c r="AO570" s="1">
        <v>1964.0</v>
      </c>
      <c r="AQ570" s="3">
        <v>45173.0</v>
      </c>
      <c r="AR570" s="1" t="s">
        <v>31</v>
      </c>
      <c r="AS570" s="1" t="s">
        <v>2727</v>
      </c>
      <c r="AT570" s="1" t="s">
        <v>31</v>
      </c>
      <c r="AX570" s="1">
        <v>0.0</v>
      </c>
      <c r="AY570" s="1">
        <v>0.0</v>
      </c>
    </row>
    <row r="571" spans="20:51" ht="15.75" hidden="1">
      <c r="T571" s="1">
        <v>902813.0</v>
      </c>
      <c r="U571" s="1"/>
      <c r="V571" s="1"/>
      <c r="W571" s="1"/>
      <c r="X571" s="1"/>
      <c r="Y571" s="1" t="s">
        <v>2728</v>
      </c>
      <c r="Z571" s="1" t="s">
        <v>2729</v>
      </c>
      <c r="AA571" s="1" t="s">
        <v>2730</v>
      </c>
      <c r="AB571" s="1"/>
      <c r="AC571" s="1"/>
      <c r="AD571" s="1"/>
      <c r="AE571" s="1"/>
      <c r="AG571" s="2" t="str">
        <f>"0195095758"</f>
        <v>0195095758</v>
      </c>
      <c r="AH571" s="2" t="str">
        <f>"9780195095753"</f>
        <v>9780195095753</v>
      </c>
      <c r="AI571" s="1">
        <v>0.0</v>
      </c>
      <c r="AJ571" s="1">
        <v>4.19</v>
      </c>
      <c r="AK571" s="1" t="s">
        <v>214</v>
      </c>
      <c r="AL571" s="1" t="s">
        <v>28</v>
      </c>
      <c r="AM571" s="1">
        <v>400.0</v>
      </c>
      <c r="AN571" s="1">
        <v>1995.0</v>
      </c>
      <c r="AO571" s="1">
        <v>1993.0</v>
      </c>
      <c r="AQ571" s="3">
        <v>45173.0</v>
      </c>
      <c r="AR571" s="1" t="s">
        <v>31</v>
      </c>
      <c r="AS571" s="1" t="s">
        <v>2731</v>
      </c>
      <c r="AT571" s="1" t="s">
        <v>31</v>
      </c>
      <c r="AX571" s="1">
        <v>0.0</v>
      </c>
      <c r="AY571" s="1">
        <v>0.0</v>
      </c>
    </row>
    <row r="572" spans="20:51" ht="15.75" hidden="1">
      <c r="T572" s="1">
        <v>1.3260387E7</v>
      </c>
      <c r="U572" s="1"/>
      <c r="V572" s="1"/>
      <c r="W572" s="1"/>
      <c r="X572" s="1"/>
      <c r="Y572" s="1" t="s">
        <v>2732</v>
      </c>
      <c r="Z572" s="1" t="s">
        <v>2733</v>
      </c>
      <c r="AA572" s="1" t="s">
        <v>2734</v>
      </c>
      <c r="AB572" s="1"/>
      <c r="AC572" s="1"/>
      <c r="AD572" s="1"/>
      <c r="AE572" s="1"/>
      <c r="AF572" s="1" t="s">
        <v>2735</v>
      </c>
      <c r="AG572" s="2" t="str">
        <f>"1439181551"</f>
        <v>1439181551</v>
      </c>
      <c r="AH572" s="2" t="str">
        <f>"9781439181553"</f>
        <v>9781439181553</v>
      </c>
      <c r="AI572" s="1">
        <v>0.0</v>
      </c>
      <c r="AJ572" s="1">
        <v>3.77</v>
      </c>
      <c r="AK572" s="1" t="s">
        <v>280</v>
      </c>
      <c r="AL572" s="1" t="s">
        <v>41</v>
      </c>
      <c r="AM572" s="1">
        <v>352.0</v>
      </c>
      <c r="AN572" s="1">
        <v>2014.0</v>
      </c>
      <c r="AO572" s="1">
        <v>2012.0</v>
      </c>
      <c r="AQ572" s="3">
        <v>45173.0</v>
      </c>
      <c r="AR572" s="1" t="s">
        <v>31</v>
      </c>
      <c r="AS572" s="1" t="s">
        <v>2736</v>
      </c>
      <c r="AT572" s="1" t="s">
        <v>31</v>
      </c>
      <c r="AX572" s="1">
        <v>0.0</v>
      </c>
      <c r="AY572" s="1">
        <v>0.0</v>
      </c>
    </row>
    <row r="573" spans="20:51" ht="15.75" hidden="1">
      <c r="T573" s="1">
        <v>581365.0</v>
      </c>
      <c r="U573" s="1"/>
      <c r="V573" s="1"/>
      <c r="W573" s="1"/>
      <c r="X573" s="1"/>
      <c r="Y573" s="1" t="s">
        <v>2737</v>
      </c>
      <c r="Z573" s="1" t="s">
        <v>2738</v>
      </c>
      <c r="AA573" s="1" t="s">
        <v>2739</v>
      </c>
      <c r="AB573" s="1"/>
      <c r="AC573" s="1"/>
      <c r="AD573" s="1"/>
      <c r="AE573" s="1"/>
      <c r="AF573" s="1" t="s">
        <v>2740</v>
      </c>
      <c r="AG573" s="2" t="str">
        <f>"1405160225"</f>
        <v>1405160225</v>
      </c>
      <c r="AH573" s="2" t="str">
        <f>"9781405160223"</f>
        <v>9781405160223</v>
      </c>
      <c r="AI573" s="1">
        <v>0.0</v>
      </c>
      <c r="AJ573" s="1">
        <v>4.11</v>
      </c>
      <c r="AK573" s="1" t="s">
        <v>1315</v>
      </c>
      <c r="AL573" s="1" t="s">
        <v>28</v>
      </c>
      <c r="AM573" s="1">
        <v>256.0</v>
      </c>
      <c r="AN573" s="1">
        <v>2007.0</v>
      </c>
      <c r="AO573" s="1">
        <v>2007.0</v>
      </c>
      <c r="AQ573" s="3">
        <v>45173.0</v>
      </c>
      <c r="AR573" s="1" t="s">
        <v>31</v>
      </c>
      <c r="AS573" s="1" t="s">
        <v>2741</v>
      </c>
      <c r="AT573" s="1" t="s">
        <v>31</v>
      </c>
      <c r="AX573" s="1">
        <v>0.0</v>
      </c>
      <c r="AY573" s="1">
        <v>0.0</v>
      </c>
    </row>
    <row r="574" spans="20:51" ht="15.75" hidden="1">
      <c r="T574" s="1">
        <v>6719017.0</v>
      </c>
      <c r="U574" s="1"/>
      <c r="V574" s="1"/>
      <c r="W574" s="1"/>
      <c r="X574" s="1"/>
      <c r="Y574" s="1" t="s">
        <v>2742</v>
      </c>
      <c r="Z574" s="1" t="s">
        <v>2743</v>
      </c>
      <c r="AA574" s="1" t="s">
        <v>2744</v>
      </c>
      <c r="AB574" s="1"/>
      <c r="AC574" s="1"/>
      <c r="AD574" s="1"/>
      <c r="AE574" s="1"/>
      <c r="AG574" s="2" t="str">
        <f>"0670021105"</f>
        <v>0670021105</v>
      </c>
      <c r="AH574" s="2" t="str">
        <f>"9780670021109"</f>
        <v>9780670021109</v>
      </c>
      <c r="AI574" s="1">
        <v>0.0</v>
      </c>
      <c r="AJ574" s="1">
        <v>4.06</v>
      </c>
      <c r="AK574" s="1" t="s">
        <v>2745</v>
      </c>
      <c r="AL574" s="1" t="s">
        <v>41</v>
      </c>
      <c r="AM574" s="1">
        <v>388.0</v>
      </c>
      <c r="AN574" s="1">
        <v>2009.0</v>
      </c>
      <c r="AO574" s="1">
        <v>2007.0</v>
      </c>
      <c r="AQ574" s="3">
        <v>45173.0</v>
      </c>
      <c r="AR574" s="1" t="s">
        <v>31</v>
      </c>
      <c r="AS574" s="1" t="s">
        <v>2746</v>
      </c>
      <c r="AT574" s="1" t="s">
        <v>31</v>
      </c>
      <c r="AX574" s="1">
        <v>0.0</v>
      </c>
      <c r="AY574" s="1">
        <v>0.0</v>
      </c>
    </row>
    <row r="575" spans="20:51" ht="15.75" hidden="1">
      <c r="T575" s="1">
        <v>1547578.0</v>
      </c>
      <c r="U575" s="1"/>
      <c r="V575" s="1"/>
      <c r="W575" s="1"/>
      <c r="X575" s="1"/>
      <c r="Y575" s="1" t="s">
        <v>2747</v>
      </c>
      <c r="Z575" s="1" t="s">
        <v>2748</v>
      </c>
      <c r="AA575" s="1" t="s">
        <v>2749</v>
      </c>
      <c r="AB575" s="1"/>
      <c r="AC575" s="1"/>
      <c r="AD575" s="1"/>
      <c r="AE575" s="1"/>
      <c r="AG575" s="2" t="str">
        <f>"068807877X"</f>
        <v>068807877X</v>
      </c>
      <c r="AH575" s="2" t="str">
        <f>"9780688078775"</f>
        <v>9780688078775</v>
      </c>
      <c r="AI575" s="1">
        <v>0.0</v>
      </c>
      <c r="AJ575" s="1">
        <v>4.0</v>
      </c>
      <c r="AK575" s="1" t="s">
        <v>2750</v>
      </c>
      <c r="AL575" s="1" t="s">
        <v>28</v>
      </c>
      <c r="AM575" s="1">
        <v>835.0</v>
      </c>
      <c r="AN575" s="1">
        <v>1974.0</v>
      </c>
      <c r="AO575" s="1">
        <v>1974.0</v>
      </c>
      <c r="AQ575" s="3">
        <v>45173.0</v>
      </c>
      <c r="AR575" s="1" t="s">
        <v>31</v>
      </c>
      <c r="AS575" s="1" t="s">
        <v>2751</v>
      </c>
      <c r="AT575" s="1" t="s">
        <v>31</v>
      </c>
      <c r="AX575" s="1">
        <v>0.0</v>
      </c>
      <c r="AY575" s="1">
        <v>0.0</v>
      </c>
    </row>
    <row r="576" spans="20:51" ht="15.75" hidden="1">
      <c r="T576" s="1">
        <v>2.881479E7</v>
      </c>
      <c r="U576" s="1"/>
      <c r="V576" s="1"/>
      <c r="W576" s="1"/>
      <c r="X576" s="1"/>
      <c r="Y576" s="1" t="s">
        <v>2752</v>
      </c>
      <c r="Z576" s="1" t="s">
        <v>2748</v>
      </c>
      <c r="AA576" s="1" t="s">
        <v>2749</v>
      </c>
      <c r="AB576" s="1"/>
      <c r="AC576" s="1"/>
      <c r="AD576" s="1"/>
      <c r="AE576" s="1"/>
      <c r="AF576" s="1" t="s">
        <v>2753</v>
      </c>
      <c r="AG576" s="2" t="str">
        <f>"0679644830"</f>
        <v>0679644830</v>
      </c>
      <c r="AH576" s="2" t="str">
        <f>"9780679644835"</f>
        <v>9780679644835</v>
      </c>
      <c r="AI576" s="1">
        <v>0.0</v>
      </c>
      <c r="AJ576" s="1">
        <v>4.03</v>
      </c>
      <c r="AK576" s="1" t="s">
        <v>988</v>
      </c>
      <c r="AL576" s="1" t="s">
        <v>41</v>
      </c>
      <c r="AM576" s="1">
        <v>720.0</v>
      </c>
      <c r="AN576" s="1">
        <v>2016.0</v>
      </c>
      <c r="AO576" s="1">
        <v>2016.0</v>
      </c>
      <c r="AQ576" s="3">
        <v>45173.0</v>
      </c>
      <c r="AR576" s="1" t="s">
        <v>31</v>
      </c>
      <c r="AS576" s="1" t="s">
        <v>2754</v>
      </c>
      <c r="AT576" s="1" t="s">
        <v>31</v>
      </c>
      <c r="AX576" s="1">
        <v>0.0</v>
      </c>
      <c r="AY576" s="1">
        <v>0.0</v>
      </c>
    </row>
    <row r="577" spans="20:51" ht="15.75" hidden="1">
      <c r="T577" s="1">
        <v>2.4388341E7</v>
      </c>
      <c r="U577" s="1"/>
      <c r="V577" s="1"/>
      <c r="W577" s="1"/>
      <c r="X577" s="1"/>
      <c r="Y577" s="1" t="s">
        <v>2755</v>
      </c>
      <c r="Z577" s="1" t="s">
        <v>2748</v>
      </c>
      <c r="AA577" s="1" t="s">
        <v>2749</v>
      </c>
      <c r="AB577" s="1"/>
      <c r="AC577" s="1"/>
      <c r="AD577" s="1"/>
      <c r="AE577" s="1"/>
      <c r="AF577" s="1" t="s">
        <v>2756</v>
      </c>
      <c r="AG577" s="2" t="str">
        <f>"0679644814"</f>
        <v>0679644814</v>
      </c>
      <c r="AH577" s="2" t="str">
        <f>"9780679644811"</f>
        <v>9780679644811</v>
      </c>
      <c r="AI577" s="1">
        <v>0.0</v>
      </c>
      <c r="AJ577" s="1">
        <v>4.11</v>
      </c>
      <c r="AK577" s="1" t="s">
        <v>988</v>
      </c>
      <c r="AL577" s="1" t="s">
        <v>41</v>
      </c>
      <c r="AM577" s="1">
        <v>784.0</v>
      </c>
      <c r="AN577" s="1">
        <v>2015.0</v>
      </c>
      <c r="AO577" s="1">
        <v>2015.0</v>
      </c>
      <c r="AQ577" s="3">
        <v>45173.0</v>
      </c>
      <c r="AR577" s="1" t="s">
        <v>31</v>
      </c>
      <c r="AS577" s="1" t="s">
        <v>2757</v>
      </c>
      <c r="AT577" s="1" t="s">
        <v>31</v>
      </c>
      <c r="AX577" s="1">
        <v>0.0</v>
      </c>
      <c r="AY577" s="1">
        <v>0.0</v>
      </c>
    </row>
    <row r="578" spans="20:51" ht="15.75" hidden="1">
      <c r="T578" s="1">
        <v>1.8310234E7</v>
      </c>
      <c r="U578" s="1"/>
      <c r="V578" s="1"/>
      <c r="W578" s="1"/>
      <c r="X578" s="1"/>
      <c r="Y578" s="1" t="s">
        <v>2758</v>
      </c>
      <c r="Z578" s="1" t="s">
        <v>2748</v>
      </c>
      <c r="AA578" s="1" t="s">
        <v>2749</v>
      </c>
      <c r="AB578" s="1"/>
      <c r="AC578" s="1"/>
      <c r="AD578" s="1"/>
      <c r="AE578" s="1"/>
      <c r="AF578" s="1" t="s">
        <v>2759</v>
      </c>
      <c r="AG578" s="2" t="str">
        <f>"0679644792"</f>
        <v>0679644792</v>
      </c>
      <c r="AH578" s="2" t="str">
        <f>"9780679644798"</f>
        <v>9780679644798</v>
      </c>
      <c r="AI578" s="1">
        <v>0.0</v>
      </c>
      <c r="AJ578" s="1">
        <v>4.26</v>
      </c>
      <c r="AK578" s="1" t="s">
        <v>988</v>
      </c>
      <c r="AL578" s="1" t="s">
        <v>41</v>
      </c>
      <c r="AM578" s="1">
        <v>696.0</v>
      </c>
      <c r="AN578" s="1">
        <v>2014.0</v>
      </c>
      <c r="AO578" s="1">
        <v>2014.0</v>
      </c>
      <c r="AQ578" s="3">
        <v>45173.0</v>
      </c>
      <c r="AR578" s="1" t="s">
        <v>31</v>
      </c>
      <c r="AS578" s="1" t="s">
        <v>2760</v>
      </c>
      <c r="AT578" s="1" t="s">
        <v>31</v>
      </c>
      <c r="AX578" s="1">
        <v>0.0</v>
      </c>
      <c r="AY578" s="1">
        <v>0.0</v>
      </c>
    </row>
    <row r="579" spans="20:51" ht="15.75" hidden="1">
      <c r="T579" s="1">
        <v>1.8505796E7</v>
      </c>
      <c r="U579" s="1"/>
      <c r="V579" s="1"/>
      <c r="W579" s="1"/>
      <c r="X579" s="1"/>
      <c r="Y579" s="1" t="s">
        <v>2761</v>
      </c>
      <c r="Z579" s="1" t="s">
        <v>2762</v>
      </c>
      <c r="AA579" s="1" t="s">
        <v>2763</v>
      </c>
      <c r="AB579" s="1"/>
      <c r="AC579" s="1"/>
      <c r="AD579" s="1"/>
      <c r="AE579" s="1"/>
      <c r="AG579" s="2" t="str">
        <f>"0062265423"</f>
        <v>0062265423</v>
      </c>
      <c r="AH579" s="2" t="str">
        <f>"9780062265425"</f>
        <v>9780062265425</v>
      </c>
      <c r="AI579" s="1">
        <v>0.0</v>
      </c>
      <c r="AJ579" s="1">
        <v>3.92</v>
      </c>
      <c r="AK579" s="1" t="s">
        <v>2764</v>
      </c>
      <c r="AL579" s="1" t="s">
        <v>41</v>
      </c>
      <c r="AM579" s="1">
        <v>256.0</v>
      </c>
      <c r="AN579" s="1">
        <v>2014.0</v>
      </c>
      <c r="AO579" s="1">
        <v>2014.0</v>
      </c>
      <c r="AQ579" s="3">
        <v>45173.0</v>
      </c>
      <c r="AR579" s="1" t="s">
        <v>31</v>
      </c>
      <c r="AS579" s="1" t="s">
        <v>2765</v>
      </c>
      <c r="AT579" s="1" t="s">
        <v>31</v>
      </c>
      <c r="AX579" s="1">
        <v>0.0</v>
      </c>
      <c r="AY579" s="1">
        <v>0.0</v>
      </c>
    </row>
    <row r="580" spans="20:51" ht="15.75" hidden="1">
      <c r="T580" s="1">
        <v>1.7910086E7</v>
      </c>
      <c r="U580" s="1"/>
      <c r="V580" s="1"/>
      <c r="W580" s="1"/>
      <c r="X580" s="1"/>
      <c r="Y580" s="1" t="s">
        <v>2766</v>
      </c>
      <c r="Z580" s="1" t="s">
        <v>2767</v>
      </c>
      <c r="AA580" s="1" t="s">
        <v>2768</v>
      </c>
      <c r="AB580" s="1"/>
      <c r="AC580" s="1"/>
      <c r="AD580" s="1"/>
      <c r="AE580" s="1"/>
      <c r="AG580" s="2" t="str">
        <f>"0805095691"</f>
        <v>0805095691</v>
      </c>
      <c r="AH580" s="2" t="str">
        <f>"9780805095692"</f>
        <v>9780805095692</v>
      </c>
      <c r="AI580" s="1">
        <v>0.0</v>
      </c>
      <c r="AJ580" s="1">
        <v>3.88</v>
      </c>
      <c r="AK580" s="1" t="s">
        <v>2769</v>
      </c>
      <c r="AL580" s="1" t="s">
        <v>41</v>
      </c>
      <c r="AM580" s="1">
        <v>304.0</v>
      </c>
      <c r="AN580" s="1">
        <v>2014.0</v>
      </c>
      <c r="AO580" s="1">
        <v>2014.0</v>
      </c>
      <c r="AQ580" s="3">
        <v>45173.0</v>
      </c>
      <c r="AR580" s="1" t="s">
        <v>31</v>
      </c>
      <c r="AS580" s="1" t="s">
        <v>2770</v>
      </c>
      <c r="AT580" s="1" t="s">
        <v>31</v>
      </c>
      <c r="AX580" s="1">
        <v>0.0</v>
      </c>
      <c r="AY580" s="1">
        <v>0.0</v>
      </c>
    </row>
    <row r="581" spans="20:51" ht="15.75" hidden="1">
      <c r="T581" s="1">
        <v>6509046.0</v>
      </c>
      <c r="U581" s="1"/>
      <c r="V581" s="1"/>
      <c r="W581" s="1"/>
      <c r="X581" s="1"/>
      <c r="Y581" s="1" t="s">
        <v>2771</v>
      </c>
      <c r="Z581" s="1" t="s">
        <v>2772</v>
      </c>
      <c r="AA581" s="1" t="s">
        <v>2773</v>
      </c>
      <c r="AB581" s="1"/>
      <c r="AC581" s="1"/>
      <c r="AD581" s="1"/>
      <c r="AE581" s="1"/>
      <c r="AG581" s="2" t="str">
        <f>"0571242545"</f>
        <v>0571242545</v>
      </c>
      <c r="AH581" s="2" t="str">
        <f>"9780571242542"</f>
        <v>9780571242542</v>
      </c>
      <c r="AI581" s="1">
        <v>0.0</v>
      </c>
      <c r="AJ581" s="1">
        <v>3.86</v>
      </c>
      <c r="AK581" s="1" t="s">
        <v>1589</v>
      </c>
      <c r="AL581" s="1" t="s">
        <v>28</v>
      </c>
      <c r="AM581" s="1">
        <v>399.0</v>
      </c>
      <c r="AN581" s="1">
        <v>2010.0</v>
      </c>
      <c r="AO581" s="1">
        <v>2009.0</v>
      </c>
      <c r="AQ581" s="3">
        <v>45173.0</v>
      </c>
      <c r="AR581" s="1" t="s">
        <v>31</v>
      </c>
      <c r="AS581" s="1" t="s">
        <v>2774</v>
      </c>
      <c r="AT581" s="1" t="s">
        <v>31</v>
      </c>
      <c r="AX581" s="1">
        <v>0.0</v>
      </c>
      <c r="AY581" s="1">
        <v>0.0</v>
      </c>
    </row>
    <row r="582" spans="20:51" ht="15.75" hidden="1">
      <c r="T582" s="1">
        <v>34459.0</v>
      </c>
      <c r="U582" s="1"/>
      <c r="V582" s="1"/>
      <c r="W582" s="1"/>
      <c r="X582" s="1"/>
      <c r="Y582" s="1" t="s">
        <v>2775</v>
      </c>
      <c r="Z582" s="1" t="s">
        <v>2776</v>
      </c>
      <c r="AA582" s="1" t="s">
        <v>2777</v>
      </c>
      <c r="AB582" s="1"/>
      <c r="AC582" s="1"/>
      <c r="AD582" s="1"/>
      <c r="AE582" s="1"/>
      <c r="AF582" s="1" t="s">
        <v>2778</v>
      </c>
      <c r="AG582" s="2" t="str">
        <f>"0226468011"</f>
        <v>0226468011</v>
      </c>
      <c r="AH582" s="2" t="str">
        <f>"9780226468013"</f>
        <v>9780226468013</v>
      </c>
      <c r="AI582" s="1">
        <v>0.0</v>
      </c>
      <c r="AJ582" s="1">
        <v>4.1</v>
      </c>
      <c r="AK582" s="1" t="s">
        <v>224</v>
      </c>
      <c r="AL582" s="1" t="s">
        <v>28</v>
      </c>
      <c r="AM582" s="1">
        <v>276.0</v>
      </c>
      <c r="AN582" s="1">
        <v>2003.0</v>
      </c>
      <c r="AO582" s="1">
        <v>1980.0</v>
      </c>
      <c r="AQ582" s="3">
        <v>45172.0</v>
      </c>
      <c r="AR582" s="1" t="s">
        <v>31</v>
      </c>
      <c r="AS582" s="1" t="s">
        <v>2779</v>
      </c>
      <c r="AT582" s="1" t="s">
        <v>31</v>
      </c>
      <c r="AX582" s="1">
        <v>0.0</v>
      </c>
      <c r="AY582" s="1">
        <v>0.0</v>
      </c>
    </row>
    <row r="583" spans="20:51" ht="15.75" hidden="1">
      <c r="T583" s="1">
        <v>2.2756935E7</v>
      </c>
      <c r="U583" s="1"/>
      <c r="V583" s="1"/>
      <c r="W583" s="1"/>
      <c r="X583" s="1"/>
      <c r="Y583" s="1" t="s">
        <v>2780</v>
      </c>
      <c r="Z583" s="1" t="s">
        <v>2781</v>
      </c>
      <c r="AA583" s="1" t="s">
        <v>2782</v>
      </c>
      <c r="AB583" s="1"/>
      <c r="AC583" s="1"/>
      <c r="AD583" s="1"/>
      <c r="AE583" s="1"/>
      <c r="AG583" s="2" t="str">
        <f t="shared" si="37" ref="AG583:AH583">""</f>
        <v/>
      </c>
      <c r="AH583" s="2" t="str">
        <f t="shared" si="37"/>
        <v/>
      </c>
      <c r="AI583" s="1">
        <v>0.0</v>
      </c>
      <c r="AJ583" s="1">
        <v>3.88</v>
      </c>
      <c r="AK583" s="1" t="s">
        <v>194</v>
      </c>
      <c r="AL583" s="1" t="s">
        <v>59</v>
      </c>
      <c r="AM583" s="1">
        <v>784.0</v>
      </c>
      <c r="AN583" s="1">
        <v>2015.0</v>
      </c>
      <c r="AO583" s="1">
        <v>2015.0</v>
      </c>
      <c r="AQ583" s="3">
        <v>45172.0</v>
      </c>
      <c r="AR583" s="1" t="s">
        <v>31</v>
      </c>
      <c r="AS583" s="1" t="s">
        <v>2783</v>
      </c>
      <c r="AT583" s="1" t="s">
        <v>31</v>
      </c>
      <c r="AX583" s="1">
        <v>0.0</v>
      </c>
      <c r="AY583" s="1">
        <v>0.0</v>
      </c>
    </row>
    <row r="584" spans="20:51" ht="15.75" hidden="1">
      <c r="T584" s="1">
        <v>2.4341585E7</v>
      </c>
      <c r="U584" s="1"/>
      <c r="V584" s="1"/>
      <c r="W584" s="1"/>
      <c r="X584" s="1"/>
      <c r="Y584" s="1" t="s">
        <v>2784</v>
      </c>
      <c r="Z584" s="1" t="s">
        <v>2785</v>
      </c>
      <c r="AA584" s="1" t="s">
        <v>2786</v>
      </c>
      <c r="AB584" s="1"/>
      <c r="AC584" s="1"/>
      <c r="AD584" s="1"/>
      <c r="AE584" s="1"/>
      <c r="AG584" s="2" t="str">
        <f>"0807075469"</f>
        <v>0807075469</v>
      </c>
      <c r="AH584" s="2" t="str">
        <f>"9780807075463"</f>
        <v>9780807075463</v>
      </c>
      <c r="AI584" s="1">
        <v>0.0</v>
      </c>
      <c r="AJ584" s="1">
        <v>3.73</v>
      </c>
      <c r="AK584" s="1" t="s">
        <v>831</v>
      </c>
      <c r="AL584" s="1" t="s">
        <v>28</v>
      </c>
      <c r="AM584" s="1">
        <v>211.0</v>
      </c>
      <c r="AN584" s="1">
        <v>2015.0</v>
      </c>
      <c r="AO584" s="1">
        <v>2015.0</v>
      </c>
      <c r="AQ584" s="3">
        <v>45172.0</v>
      </c>
      <c r="AR584" s="1" t="s">
        <v>31</v>
      </c>
      <c r="AS584" s="1" t="s">
        <v>2787</v>
      </c>
      <c r="AT584" s="1" t="s">
        <v>31</v>
      </c>
      <c r="AX584" s="1">
        <v>0.0</v>
      </c>
      <c r="AY584" s="1">
        <v>0.0</v>
      </c>
    </row>
    <row r="585" spans="20:51" ht="15.75" hidden="1">
      <c r="T585" s="1">
        <v>1.0791288E7</v>
      </c>
      <c r="U585" s="1"/>
      <c r="V585" s="1"/>
      <c r="W585" s="1"/>
      <c r="X585" s="1"/>
      <c r="Y585" s="1" t="s">
        <v>2788</v>
      </c>
      <c r="Z585" s="1" t="s">
        <v>2789</v>
      </c>
      <c r="AA585" s="1" t="s">
        <v>2790</v>
      </c>
      <c r="AB585" s="1"/>
      <c r="AC585" s="1"/>
      <c r="AD585" s="1"/>
      <c r="AE585" s="1"/>
      <c r="AG585" s="2" t="str">
        <f>"0300141106"</f>
        <v>0300141106</v>
      </c>
      <c r="AH585" s="2" t="str">
        <f>"9780300141108"</f>
        <v>9780300141108</v>
      </c>
      <c r="AI585" s="1">
        <v>0.0</v>
      </c>
      <c r="AJ585" s="1">
        <v>3.16</v>
      </c>
      <c r="AK585" s="1" t="s">
        <v>545</v>
      </c>
      <c r="AL585" s="1" t="s">
        <v>41</v>
      </c>
      <c r="AM585" s="1">
        <v>224.0</v>
      </c>
      <c r="AN585" s="1">
        <v>2011.0</v>
      </c>
      <c r="AO585" s="1">
        <v>2011.0</v>
      </c>
      <c r="AQ585" s="3">
        <v>45172.0</v>
      </c>
      <c r="AR585" s="1" t="s">
        <v>31</v>
      </c>
      <c r="AS585" s="1" t="s">
        <v>2791</v>
      </c>
      <c r="AT585" s="1" t="s">
        <v>31</v>
      </c>
      <c r="AX585" s="1">
        <v>0.0</v>
      </c>
      <c r="AY585" s="1">
        <v>0.0</v>
      </c>
    </row>
    <row r="586" spans="20:51" ht="15.75" hidden="1">
      <c r="T586" s="1">
        <v>1.3079548E7</v>
      </c>
      <c r="U586" s="1"/>
      <c r="V586" s="1"/>
      <c r="W586" s="1"/>
      <c r="X586" s="1"/>
      <c r="Y586" s="1" t="s">
        <v>2792</v>
      </c>
      <c r="Z586" s="1" t="s">
        <v>2793</v>
      </c>
      <c r="AA586" s="1" t="s">
        <v>2794</v>
      </c>
      <c r="AB586" s="1"/>
      <c r="AC586" s="1"/>
      <c r="AD586" s="1"/>
      <c r="AE586" s="1"/>
      <c r="AG586" s="2" t="str">
        <f>"0811219453"</f>
        <v>0811219453</v>
      </c>
      <c r="AH586" s="2" t="str">
        <f>"9780811219457"</f>
        <v>9780811219457</v>
      </c>
      <c r="AI586" s="1">
        <v>0.0</v>
      </c>
      <c r="AJ586" s="1">
        <v>4.02</v>
      </c>
      <c r="AK586" s="1" t="s">
        <v>95</v>
      </c>
      <c r="AL586" s="1" t="s">
        <v>41</v>
      </c>
      <c r="AM586" s="1">
        <v>223.0</v>
      </c>
      <c r="AN586" s="1">
        <v>2012.0</v>
      </c>
      <c r="AO586" s="1">
        <v>2011.0</v>
      </c>
      <c r="AQ586" s="3">
        <v>45172.0</v>
      </c>
      <c r="AR586" s="1" t="s">
        <v>31</v>
      </c>
      <c r="AS586" s="1" t="s">
        <v>2795</v>
      </c>
      <c r="AT586" s="1" t="s">
        <v>31</v>
      </c>
      <c r="AX586" s="1">
        <v>0.0</v>
      </c>
      <c r="AY586" s="1">
        <v>0.0</v>
      </c>
    </row>
    <row r="587" spans="20:51" ht="15.75" hidden="1">
      <c r="T587" s="1">
        <v>91781.0</v>
      </c>
      <c r="U587" s="1"/>
      <c r="V587" s="1"/>
      <c r="W587" s="1"/>
      <c r="X587" s="1"/>
      <c r="Y587" s="1" t="s">
        <v>2796</v>
      </c>
      <c r="Z587" s="1" t="s">
        <v>2797</v>
      </c>
      <c r="AA587" s="1" t="s">
        <v>2798</v>
      </c>
      <c r="AB587" s="1"/>
      <c r="AC587" s="1"/>
      <c r="AD587" s="1"/>
      <c r="AE587" s="1"/>
      <c r="AF587" s="1" t="s">
        <v>2799</v>
      </c>
      <c r="AG587" s="2" t="str">
        <f>"0062506064"</f>
        <v>0062506064</v>
      </c>
      <c r="AH587" s="2" t="str">
        <f>"9780062506061"</f>
        <v>9780062506061</v>
      </c>
      <c r="AI587" s="1">
        <v>0.0</v>
      </c>
      <c r="AJ587" s="1">
        <v>4.13</v>
      </c>
      <c r="AK587" s="1" t="s">
        <v>2418</v>
      </c>
      <c r="AL587" s="1" t="s">
        <v>28</v>
      </c>
      <c r="AM587" s="1">
        <v>192.0</v>
      </c>
      <c r="AN587" s="1">
        <v>1991.0</v>
      </c>
      <c r="AO587" s="1">
        <v>1990.0</v>
      </c>
      <c r="AQ587" s="3">
        <v>45172.0</v>
      </c>
      <c r="AR587" s="1" t="s">
        <v>31</v>
      </c>
      <c r="AS587" s="1" t="s">
        <v>2800</v>
      </c>
      <c r="AT587" s="1" t="s">
        <v>31</v>
      </c>
      <c r="AX587" s="1">
        <v>0.0</v>
      </c>
      <c r="AY587" s="1">
        <v>0.0</v>
      </c>
    </row>
    <row r="588" spans="20:51" ht="15.75" hidden="1">
      <c r="T588" s="1">
        <v>239927.0</v>
      </c>
      <c r="U588" s="1"/>
      <c r="V588" s="1"/>
      <c r="W588" s="1"/>
      <c r="X588" s="1"/>
      <c r="Y588" s="1" t="s">
        <v>2801</v>
      </c>
      <c r="Z588" s="1" t="s">
        <v>2802</v>
      </c>
      <c r="AA588" s="1" t="s">
        <v>2803</v>
      </c>
      <c r="AB588" s="1"/>
      <c r="AC588" s="1"/>
      <c r="AD588" s="1"/>
      <c r="AE588" s="1"/>
      <c r="AG588" s="2" t="str">
        <f>"0415905192"</f>
        <v>0415905192</v>
      </c>
      <c r="AH588" s="2" t="str">
        <f>"9780415905190"</f>
        <v>9780415905190</v>
      </c>
      <c r="AI588" s="1">
        <v>0.0</v>
      </c>
      <c r="AJ588" s="1">
        <v>4.13</v>
      </c>
      <c r="AK588" s="1" t="s">
        <v>132</v>
      </c>
      <c r="AL588" s="1" t="s">
        <v>28</v>
      </c>
      <c r="AM588" s="1">
        <v>688.0</v>
      </c>
      <c r="AN588" s="1">
        <v>1993.0</v>
      </c>
      <c r="AO588" s="1">
        <v>1993.0</v>
      </c>
      <c r="AQ588" s="3">
        <v>45172.0</v>
      </c>
      <c r="AR588" s="1" t="s">
        <v>31</v>
      </c>
      <c r="AS588" s="1" t="s">
        <v>2804</v>
      </c>
      <c r="AT588" s="1" t="s">
        <v>31</v>
      </c>
      <c r="AX588" s="1">
        <v>0.0</v>
      </c>
      <c r="AY588" s="1">
        <v>0.0</v>
      </c>
    </row>
    <row r="589" spans="20:51" ht="15.75" hidden="1">
      <c r="T589" s="1">
        <v>732225.0</v>
      </c>
      <c r="U589" s="1"/>
      <c r="V589" s="1"/>
      <c r="W589" s="1"/>
      <c r="X589" s="1"/>
      <c r="Y589" s="1" t="s">
        <v>2805</v>
      </c>
      <c r="Z589" s="1" t="s">
        <v>2806</v>
      </c>
      <c r="AA589" s="1" t="s">
        <v>2807</v>
      </c>
      <c r="AB589" s="1"/>
      <c r="AC589" s="1"/>
      <c r="AD589" s="1"/>
      <c r="AE589" s="1"/>
      <c r="AG589" s="2" t="str">
        <f>"0674362705"</f>
        <v>0674362705</v>
      </c>
      <c r="AH589" s="2" t="str">
        <f>"9780674362703"</f>
        <v>9780674362703</v>
      </c>
      <c r="AI589" s="1">
        <v>0.0</v>
      </c>
      <c r="AJ589" s="1">
        <v>3.78</v>
      </c>
      <c r="AK589" s="1" t="s">
        <v>107</v>
      </c>
      <c r="AL589" s="1" t="s">
        <v>28</v>
      </c>
      <c r="AM589" s="1">
        <v>256.0</v>
      </c>
      <c r="AN589" s="1">
        <v>1989.0</v>
      </c>
      <c r="AO589" s="1">
        <v>1977.0</v>
      </c>
      <c r="AQ589" s="3">
        <v>45172.0</v>
      </c>
      <c r="AR589" s="1" t="s">
        <v>31</v>
      </c>
      <c r="AS589" s="1" t="s">
        <v>2808</v>
      </c>
      <c r="AT589" s="1" t="s">
        <v>31</v>
      </c>
      <c r="AX589" s="1">
        <v>0.0</v>
      </c>
      <c r="AY589" s="1">
        <v>0.0</v>
      </c>
    </row>
    <row r="590" spans="20:51" ht="15.75" hidden="1">
      <c r="T590" s="1">
        <v>2.3282306E7</v>
      </c>
      <c r="U590" s="1"/>
      <c r="V590" s="1"/>
      <c r="W590" s="1"/>
      <c r="X590" s="1"/>
      <c r="Y590" s="1" t="s">
        <v>2809</v>
      </c>
      <c r="Z590" s="1" t="s">
        <v>2810</v>
      </c>
      <c r="AA590" s="1" t="s">
        <v>2811</v>
      </c>
      <c r="AB590" s="1"/>
      <c r="AC590" s="1"/>
      <c r="AD590" s="1"/>
      <c r="AE590" s="1"/>
      <c r="AG590" s="2" t="str">
        <f>"1559364890"</f>
        <v>1559364890</v>
      </c>
      <c r="AH590" s="2" t="str">
        <f>"9781559364898"</f>
        <v>9781559364898</v>
      </c>
      <c r="AI590" s="1">
        <v>0.0</v>
      </c>
      <c r="AJ590" s="1">
        <v>3.92</v>
      </c>
      <c r="AK590" s="1" t="s">
        <v>2812</v>
      </c>
      <c r="AL590" s="1" t="s">
        <v>28</v>
      </c>
      <c r="AM590" s="1">
        <v>192.0</v>
      </c>
      <c r="AN590" s="1">
        <v>2023.0</v>
      </c>
      <c r="AO590" s="1">
        <v>2012.0</v>
      </c>
      <c r="AQ590" s="3">
        <v>45172.0</v>
      </c>
      <c r="AR590" s="1" t="s">
        <v>31</v>
      </c>
      <c r="AS590" s="1" t="s">
        <v>2813</v>
      </c>
      <c r="AT590" s="1" t="s">
        <v>31</v>
      </c>
      <c r="AX590" s="1">
        <v>0.0</v>
      </c>
      <c r="AY590" s="1">
        <v>0.0</v>
      </c>
    </row>
    <row r="591" spans="20:51" ht="15.75" hidden="1">
      <c r="T591" s="1">
        <v>6.1540891E7</v>
      </c>
      <c r="U591" s="1"/>
      <c r="V591" s="1"/>
      <c r="W591" s="1"/>
      <c r="X591" s="1"/>
      <c r="Y591" s="1" t="s">
        <v>2814</v>
      </c>
      <c r="Z591" s="1" t="s">
        <v>2815</v>
      </c>
      <c r="AA591" s="1" t="s">
        <v>2816</v>
      </c>
      <c r="AB591" s="1"/>
      <c r="AC591" s="1"/>
      <c r="AD591" s="1"/>
      <c r="AE591" s="1"/>
      <c r="AG591" s="2" t="str">
        <f>""</f>
        <v/>
      </c>
      <c r="AH591" s="2" t="str">
        <f>"9781914237041"</f>
        <v>9781914237041</v>
      </c>
      <c r="AI591" s="1">
        <v>0.0</v>
      </c>
      <c r="AJ591" s="1">
        <v>3.83</v>
      </c>
      <c r="AK591" s="1" t="s">
        <v>2817</v>
      </c>
      <c r="AL591" s="1" t="s">
        <v>28</v>
      </c>
      <c r="AM591" s="1">
        <v>198.0</v>
      </c>
      <c r="AN591" s="1">
        <v>2022.0</v>
      </c>
      <c r="AQ591" s="3">
        <v>45172.0</v>
      </c>
      <c r="AR591" s="1" t="s">
        <v>31</v>
      </c>
      <c r="AS591" s="1" t="s">
        <v>2818</v>
      </c>
      <c r="AT591" s="1" t="s">
        <v>31</v>
      </c>
      <c r="AX591" s="1">
        <v>0.0</v>
      </c>
      <c r="AY591" s="1">
        <v>0.0</v>
      </c>
    </row>
    <row r="592" spans="20:51" ht="15.75" hidden="1">
      <c r="T592" s="1">
        <v>1.7735647E7</v>
      </c>
      <c r="U592" s="1"/>
      <c r="V592" s="1"/>
      <c r="W592" s="1"/>
      <c r="X592" s="1"/>
      <c r="Y592" s="1" t="s">
        <v>2819</v>
      </c>
      <c r="Z592" s="1" t="s">
        <v>2820</v>
      </c>
      <c r="AA592" s="1" t="s">
        <v>2821</v>
      </c>
      <c r="AB592" s="1"/>
      <c r="AC592" s="1"/>
      <c r="AD592" s="1"/>
      <c r="AE592" s="1"/>
      <c r="AG592" s="2" t="str">
        <f>"0140522956"</f>
        <v>0140522956</v>
      </c>
      <c r="AH592" s="2" t="str">
        <f>"9780140522952"</f>
        <v>9780140522952</v>
      </c>
      <c r="AI592" s="1">
        <v>0.0</v>
      </c>
      <c r="AJ592" s="1">
        <v>4.22</v>
      </c>
      <c r="AK592" s="1" t="s">
        <v>2822</v>
      </c>
      <c r="AL592" s="1" t="s">
        <v>28</v>
      </c>
      <c r="AM592" s="1">
        <v>139.0</v>
      </c>
      <c r="AN592" s="1">
        <v>1972.0</v>
      </c>
      <c r="AO592" s="1">
        <v>1972.0</v>
      </c>
      <c r="AQ592" s="3">
        <v>45171.0</v>
      </c>
      <c r="AR592" s="1" t="s">
        <v>31</v>
      </c>
      <c r="AS592" s="1" t="s">
        <v>2823</v>
      </c>
      <c r="AT592" s="1" t="s">
        <v>31</v>
      </c>
      <c r="AX592" s="1">
        <v>0.0</v>
      </c>
      <c r="AY592" s="1">
        <v>0.0</v>
      </c>
    </row>
    <row r="593" spans="20:51" ht="15.75" hidden="1">
      <c r="T593" s="1">
        <v>36436.0</v>
      </c>
      <c r="U593" s="1"/>
      <c r="V593" s="1"/>
      <c r="W593" s="1"/>
      <c r="X593" s="1"/>
      <c r="Y593" s="1" t="s">
        <v>2824</v>
      </c>
      <c r="Z593" s="1" t="s">
        <v>1054</v>
      </c>
      <c r="AA593" s="1" t="s">
        <v>1055</v>
      </c>
      <c r="AB593" s="1"/>
      <c r="AC593" s="1"/>
      <c r="AD593" s="1"/>
      <c r="AE593" s="1"/>
      <c r="AG593" s="2" t="str">
        <f>"0375701486"</f>
        <v>0375701486</v>
      </c>
      <c r="AH593" s="2" t="str">
        <f>"9780375701481"</f>
        <v>9780375701481</v>
      </c>
      <c r="AI593" s="1">
        <v>0.0</v>
      </c>
      <c r="AJ593" s="1">
        <v>3.8</v>
      </c>
      <c r="AK593" s="1" t="s">
        <v>83</v>
      </c>
      <c r="AL593" s="1" t="s">
        <v>28</v>
      </c>
      <c r="AM593" s="1">
        <v>416.0</v>
      </c>
      <c r="AN593" s="1">
        <v>2005.0</v>
      </c>
      <c r="AO593" s="1">
        <v>2004.0</v>
      </c>
      <c r="AQ593" s="3">
        <v>45171.0</v>
      </c>
      <c r="AR593" s="1" t="s">
        <v>31</v>
      </c>
      <c r="AS593" s="1" t="s">
        <v>2825</v>
      </c>
      <c r="AT593" s="1" t="s">
        <v>31</v>
      </c>
      <c r="AX593" s="1">
        <v>0.0</v>
      </c>
      <c r="AY593" s="1">
        <v>0.0</v>
      </c>
    </row>
    <row r="594" spans="20:51" ht="15.75" hidden="1">
      <c r="T594" s="1">
        <v>1443432.0</v>
      </c>
      <c r="U594" s="1"/>
      <c r="V594" s="1"/>
      <c r="W594" s="1"/>
      <c r="X594" s="1"/>
      <c r="Y594" s="1" t="s">
        <v>2826</v>
      </c>
      <c r="Z594" s="1" t="s">
        <v>2827</v>
      </c>
      <c r="AA594" s="1" t="s">
        <v>2828</v>
      </c>
      <c r="AB594" s="1"/>
      <c r="AC594" s="1"/>
      <c r="AD594" s="1"/>
      <c r="AE594" s="1"/>
      <c r="AG594" s="2" t="str">
        <f>"1844671917"</f>
        <v>1844671917</v>
      </c>
      <c r="AH594" s="2" t="str">
        <f>"9781844671915"</f>
        <v>9781844671915</v>
      </c>
      <c r="AI594" s="1">
        <v>0.0</v>
      </c>
      <c r="AJ594" s="1">
        <v>4.09</v>
      </c>
      <c r="AK594" s="1" t="s">
        <v>1125</v>
      </c>
      <c r="AL594" s="1" t="s">
        <v>28</v>
      </c>
      <c r="AM594" s="1">
        <v>312.0</v>
      </c>
      <c r="AN594" s="1">
        <v>2008.0</v>
      </c>
      <c r="AO594" s="1">
        <v>1947.0</v>
      </c>
      <c r="AQ594" s="3">
        <v>45170.0</v>
      </c>
      <c r="AR594" s="1" t="s">
        <v>31</v>
      </c>
      <c r="AS594" s="1" t="s">
        <v>2829</v>
      </c>
      <c r="AT594" s="1" t="s">
        <v>31</v>
      </c>
      <c r="AX594" s="1">
        <v>0.0</v>
      </c>
      <c r="AY594" s="1">
        <v>0.0</v>
      </c>
    </row>
    <row r="595" spans="20:51" ht="15.75" hidden="1">
      <c r="T595" s="1">
        <v>282447.0</v>
      </c>
      <c r="U595" s="1"/>
      <c r="V595" s="1"/>
      <c r="W595" s="1"/>
      <c r="X595" s="1"/>
      <c r="Y595" s="1" t="s">
        <v>2830</v>
      </c>
      <c r="Z595" s="1" t="s">
        <v>1498</v>
      </c>
      <c r="AA595" s="1" t="s">
        <v>1499</v>
      </c>
      <c r="AB595" s="1"/>
      <c r="AC595" s="1"/>
      <c r="AD595" s="1"/>
      <c r="AE595" s="1"/>
      <c r="AG595" s="2" t="str">
        <f>"0393310957"</f>
        <v>0393310957</v>
      </c>
      <c r="AH595" s="2" t="str">
        <f>"9780393310955"</f>
        <v>9780393310955</v>
      </c>
      <c r="AI595" s="1">
        <v>0.0</v>
      </c>
      <c r="AJ595" s="1">
        <v>4.02</v>
      </c>
      <c r="AK595" s="1" t="s">
        <v>113</v>
      </c>
      <c r="AL595" s="1" t="s">
        <v>28</v>
      </c>
      <c r="AM595" s="1">
        <v>192.0</v>
      </c>
      <c r="AN595" s="1">
        <v>1994.0</v>
      </c>
      <c r="AO595" s="1">
        <v>1930.0</v>
      </c>
      <c r="AQ595" s="3">
        <v>45170.0</v>
      </c>
      <c r="AR595" s="1" t="s">
        <v>31</v>
      </c>
      <c r="AS595" s="1" t="s">
        <v>2831</v>
      </c>
      <c r="AT595" s="1" t="s">
        <v>31</v>
      </c>
      <c r="AX595" s="1">
        <v>0.0</v>
      </c>
      <c r="AY595" s="1">
        <v>0.0</v>
      </c>
    </row>
    <row r="596" spans="20:51" ht="15.75" hidden="1">
      <c r="T596" s="1">
        <v>22135.0</v>
      </c>
      <c r="U596" s="1"/>
      <c r="V596" s="1"/>
      <c r="W596" s="1"/>
      <c r="X596" s="1"/>
      <c r="Y596" s="1" t="s">
        <v>2832</v>
      </c>
      <c r="Z596" s="1" t="s">
        <v>2833</v>
      </c>
      <c r="AA596" s="1" t="s">
        <v>2834</v>
      </c>
      <c r="AB596" s="1"/>
      <c r="AC596" s="1"/>
      <c r="AD596" s="1"/>
      <c r="AE596" s="1"/>
      <c r="AG596" s="2" t="str">
        <f>"0679750541"</f>
        <v>0679750541</v>
      </c>
      <c r="AH596" s="2" t="str">
        <f>"9780679750543"</f>
        <v>9780679750543</v>
      </c>
      <c r="AI596" s="1">
        <v>0.0</v>
      </c>
      <c r="AJ596" s="1">
        <v>4.17</v>
      </c>
      <c r="AK596" s="1" t="s">
        <v>83</v>
      </c>
      <c r="AL596" s="1" t="s">
        <v>28</v>
      </c>
      <c r="AM596" s="1">
        <v>402.0</v>
      </c>
      <c r="AN596" s="1">
        <v>1994.0</v>
      </c>
      <c r="AO596" s="1">
        <v>1993.0</v>
      </c>
      <c r="AQ596" s="3">
        <v>45170.0</v>
      </c>
      <c r="AR596" s="1" t="s">
        <v>31</v>
      </c>
      <c r="AS596" s="1" t="s">
        <v>2835</v>
      </c>
      <c r="AT596" s="1" t="s">
        <v>31</v>
      </c>
      <c r="AX596" s="1">
        <v>0.0</v>
      </c>
      <c r="AY596" s="1">
        <v>0.0</v>
      </c>
    </row>
    <row r="597" spans="20:51" ht="15.75" hidden="1">
      <c r="T597" s="1">
        <v>381440.0</v>
      </c>
      <c r="U597" s="1"/>
      <c r="V597" s="1"/>
      <c r="W597" s="1"/>
      <c r="X597" s="1"/>
      <c r="Y597" s="1" t="s">
        <v>2836</v>
      </c>
      <c r="Z597" s="1" t="s">
        <v>2837</v>
      </c>
      <c r="AA597" s="1" t="s">
        <v>2838</v>
      </c>
      <c r="AB597" s="1"/>
      <c r="AC597" s="1"/>
      <c r="AD597" s="1"/>
      <c r="AE597" s="1"/>
      <c r="AF597" s="1" t="s">
        <v>2839</v>
      </c>
      <c r="AG597" s="2" t="str">
        <f>"0942299795"</f>
        <v>0942299795</v>
      </c>
      <c r="AH597" s="2" t="str">
        <f>"9780942299793"</f>
        <v>9780942299793</v>
      </c>
      <c r="AI597" s="1">
        <v>0.0</v>
      </c>
      <c r="AJ597" s="1">
        <v>4.03</v>
      </c>
      <c r="AK597" s="1" t="s">
        <v>2840</v>
      </c>
      <c r="AL597" s="1" t="s">
        <v>28</v>
      </c>
      <c r="AM597" s="1">
        <v>160.0</v>
      </c>
      <c r="AN597" s="1">
        <v>1995.0</v>
      </c>
      <c r="AO597" s="1">
        <v>1967.0</v>
      </c>
      <c r="AQ597" s="3">
        <v>45170.0</v>
      </c>
      <c r="AR597" s="1" t="s">
        <v>31</v>
      </c>
      <c r="AS597" s="1" t="s">
        <v>2841</v>
      </c>
      <c r="AT597" s="1" t="s">
        <v>31</v>
      </c>
      <c r="AX597" s="1">
        <v>0.0</v>
      </c>
      <c r="AY597" s="1">
        <v>0.0</v>
      </c>
    </row>
    <row r="598" spans="20:51" ht="15.75" hidden="1">
      <c r="T598" s="1">
        <v>1353737.0</v>
      </c>
      <c r="U598" s="1"/>
      <c r="V598" s="1"/>
      <c r="W598" s="1"/>
      <c r="X598" s="1"/>
      <c r="Y598" s="1" t="s">
        <v>2842</v>
      </c>
      <c r="Z598" s="1" t="s">
        <v>2843</v>
      </c>
      <c r="AA598" s="1" t="s">
        <v>2844</v>
      </c>
      <c r="AB598" s="1"/>
      <c r="AC598" s="1"/>
      <c r="AD598" s="1"/>
      <c r="AE598" s="1"/>
      <c r="AG598" s="2" t="str">
        <f>"0226551946"</f>
        <v>0226551946</v>
      </c>
      <c r="AH598" s="2" t="str">
        <f>"9780226551944"</f>
        <v>9780226551944</v>
      </c>
      <c r="AI598" s="1">
        <v>0.0</v>
      </c>
      <c r="AJ598" s="1">
        <v>3.8</v>
      </c>
      <c r="AK598" s="1" t="s">
        <v>224</v>
      </c>
      <c r="AL598" s="1" t="s">
        <v>41</v>
      </c>
      <c r="AM598" s="1">
        <v>507.0</v>
      </c>
      <c r="AN598" s="1">
        <v>2000.0</v>
      </c>
      <c r="AO598" s="1">
        <v>2000.0</v>
      </c>
      <c r="AQ598" s="3">
        <v>45170.0</v>
      </c>
      <c r="AR598" s="1" t="s">
        <v>31</v>
      </c>
      <c r="AS598" s="1" t="s">
        <v>2845</v>
      </c>
      <c r="AT598" s="1" t="s">
        <v>31</v>
      </c>
      <c r="AX598" s="1">
        <v>0.0</v>
      </c>
      <c r="AY598" s="1">
        <v>0.0</v>
      </c>
    </row>
    <row r="599" spans="20:51" ht="15.75" hidden="1">
      <c r="T599" s="1">
        <v>103548.0</v>
      </c>
      <c r="U599" s="1"/>
      <c r="V599" s="1"/>
      <c r="W599" s="1"/>
      <c r="X599" s="1"/>
      <c r="Y599" s="1" t="s">
        <v>2846</v>
      </c>
      <c r="Z599" s="1" t="s">
        <v>2847</v>
      </c>
      <c r="AA599" s="1" t="s">
        <v>2848</v>
      </c>
      <c r="AB599" s="1"/>
      <c r="AC599" s="1"/>
      <c r="AD599" s="1"/>
      <c r="AE599" s="1"/>
      <c r="AG599" s="2" t="str">
        <f>"0789315114"</f>
        <v>0789315114</v>
      </c>
      <c r="AH599" s="2" t="str">
        <f>"9780789315113"</f>
        <v>9780789315113</v>
      </c>
      <c r="AI599" s="1">
        <v>0.0</v>
      </c>
      <c r="AJ599" s="1">
        <v>3.98</v>
      </c>
      <c r="AK599" s="1" t="s">
        <v>2849</v>
      </c>
      <c r="AL599" s="1" t="s">
        <v>41</v>
      </c>
      <c r="AM599" s="1">
        <v>384.0</v>
      </c>
      <c r="AN599" s="1">
        <v>2006.0</v>
      </c>
      <c r="AO599" s="1">
        <v>2006.0</v>
      </c>
      <c r="AQ599" s="3">
        <v>45170.0</v>
      </c>
      <c r="AR599" s="1" t="s">
        <v>31</v>
      </c>
      <c r="AS599" s="1" t="s">
        <v>2850</v>
      </c>
      <c r="AT599" s="1" t="s">
        <v>31</v>
      </c>
      <c r="AX599" s="1">
        <v>0.0</v>
      </c>
      <c r="AY599" s="1">
        <v>0.0</v>
      </c>
    </row>
    <row r="600" spans="20:51" ht="15.75" hidden="1">
      <c r="T600" s="1">
        <v>426189.0</v>
      </c>
      <c r="U600" s="1"/>
      <c r="V600" s="1"/>
      <c r="W600" s="1"/>
      <c r="X600" s="1"/>
      <c r="Y600" s="1" t="s">
        <v>2851</v>
      </c>
      <c r="Z600" s="1" t="s">
        <v>2852</v>
      </c>
      <c r="AA600" s="1" t="s">
        <v>2853</v>
      </c>
      <c r="AB600" s="1"/>
      <c r="AC600" s="1"/>
      <c r="AD600" s="1"/>
      <c r="AE600" s="1"/>
      <c r="AF600" s="1" t="s">
        <v>2854</v>
      </c>
      <c r="AG600" s="2" t="str">
        <f>"0631233369"</f>
        <v>0631233369</v>
      </c>
      <c r="AH600" s="2" t="str">
        <f>"9780631233367"</f>
        <v>9780631233367</v>
      </c>
      <c r="AI600" s="1">
        <v>0.0</v>
      </c>
      <c r="AJ600" s="1">
        <v>3.89</v>
      </c>
      <c r="AK600" s="1" t="s">
        <v>1315</v>
      </c>
      <c r="AL600" s="1" t="s">
        <v>28</v>
      </c>
      <c r="AM600" s="1">
        <v>224.0</v>
      </c>
      <c r="AN600" s="1">
        <v>2005.0</v>
      </c>
      <c r="AO600" s="1">
        <v>2005.0</v>
      </c>
      <c r="AQ600" s="3">
        <v>45170.0</v>
      </c>
      <c r="AR600" s="1" t="s">
        <v>31</v>
      </c>
      <c r="AS600" s="1" t="s">
        <v>2855</v>
      </c>
      <c r="AT600" s="1" t="s">
        <v>31</v>
      </c>
      <c r="AX600" s="1">
        <v>0.0</v>
      </c>
      <c r="AY600" s="1">
        <v>0.0</v>
      </c>
    </row>
    <row r="601" spans="20:51" ht="15.75" hidden="1">
      <c r="T601" s="1">
        <v>21026.0</v>
      </c>
      <c r="U601" s="1"/>
      <c r="V601" s="1"/>
      <c r="W601" s="1"/>
      <c r="X601" s="1"/>
      <c r="Y601" s="1" t="s">
        <v>2856</v>
      </c>
      <c r="Z601" s="1" t="s">
        <v>2688</v>
      </c>
      <c r="AA601" s="1" t="s">
        <v>2689</v>
      </c>
      <c r="AB601" s="1"/>
      <c r="AC601" s="1"/>
      <c r="AD601" s="1"/>
      <c r="AE601" s="1"/>
      <c r="AG601" s="2" t="str">
        <f>"0465021182"</f>
        <v>0465021182</v>
      </c>
      <c r="AH601" s="2" t="str">
        <f>"9780465021185"</f>
        <v>9780465021185</v>
      </c>
      <c r="AI601" s="1">
        <v>0.0</v>
      </c>
      <c r="AJ601" s="1">
        <v>3.78</v>
      </c>
      <c r="AK601" s="1" t="s">
        <v>46</v>
      </c>
      <c r="AL601" s="1" t="s">
        <v>28</v>
      </c>
      <c r="AM601" s="1">
        <v>272.0</v>
      </c>
      <c r="AN601" s="1">
        <v>1991.0</v>
      </c>
      <c r="AO601" s="1">
        <v>1974.0</v>
      </c>
      <c r="AQ601" s="3">
        <v>45170.0</v>
      </c>
      <c r="AR601" s="1" t="s">
        <v>31</v>
      </c>
      <c r="AS601" s="1" t="s">
        <v>2857</v>
      </c>
      <c r="AT601" s="1" t="s">
        <v>31</v>
      </c>
      <c r="AX601" s="1">
        <v>0.0</v>
      </c>
      <c r="AY601" s="1">
        <v>0.0</v>
      </c>
    </row>
    <row r="602" spans="20:51" ht="15.75" hidden="1">
      <c r="T602" s="1">
        <v>21025.0</v>
      </c>
      <c r="U602" s="1"/>
      <c r="V602" s="1"/>
      <c r="W602" s="1"/>
      <c r="X602" s="1"/>
      <c r="Y602" s="1" t="s">
        <v>2858</v>
      </c>
      <c r="Z602" s="1" t="s">
        <v>2688</v>
      </c>
      <c r="AA602" s="1" t="s">
        <v>2689</v>
      </c>
      <c r="AB602" s="1"/>
      <c r="AC602" s="1"/>
      <c r="AD602" s="1"/>
      <c r="AE602" s="1"/>
      <c r="AF602" s="1" t="s">
        <v>2859</v>
      </c>
      <c r="AG602" s="2" t="str">
        <f>"0060938110"</f>
        <v>0060938110</v>
      </c>
      <c r="AH602" s="2" t="str">
        <f>"9780060938116"</f>
        <v>9780060938116</v>
      </c>
      <c r="AI602" s="1">
        <v>0.0</v>
      </c>
      <c r="AJ602" s="1">
        <v>4.32</v>
      </c>
      <c r="AK602" s="1" t="s">
        <v>474</v>
      </c>
      <c r="AL602" s="1" t="s">
        <v>28</v>
      </c>
      <c r="AM602" s="1">
        <v>288.0</v>
      </c>
      <c r="AN602" s="1">
        <v>2003.0</v>
      </c>
      <c r="AO602" s="1">
        <v>2001.0</v>
      </c>
      <c r="AQ602" s="3">
        <v>45170.0</v>
      </c>
      <c r="AR602" s="1" t="s">
        <v>31</v>
      </c>
      <c r="AS602" s="1" t="s">
        <v>2860</v>
      </c>
      <c r="AT602" s="1" t="s">
        <v>31</v>
      </c>
      <c r="AX602" s="1">
        <v>0.0</v>
      </c>
      <c r="AY602" s="1">
        <v>0.0</v>
      </c>
    </row>
    <row r="603" spans="20:51" ht="15.75" hidden="1">
      <c r="T603" s="1">
        <v>78.0</v>
      </c>
      <c r="U603" s="1"/>
      <c r="V603" s="1"/>
      <c r="W603" s="1"/>
      <c r="X603" s="1"/>
      <c r="Y603" s="1" t="s">
        <v>2861</v>
      </c>
      <c r="Z603" s="1" t="s">
        <v>2862</v>
      </c>
      <c r="AA603" s="1" t="s">
        <v>2863</v>
      </c>
      <c r="AB603" s="1"/>
      <c r="AC603" s="1"/>
      <c r="AD603" s="1"/>
      <c r="AE603" s="1"/>
      <c r="AG603" s="2" t="str">
        <f>"0374518734"</f>
        <v>0374518734</v>
      </c>
      <c r="AH603" s="2" t="str">
        <f>"9780374518738"</f>
        <v>9780374518738</v>
      </c>
      <c r="AI603" s="1">
        <v>0.0</v>
      </c>
      <c r="AJ603" s="1">
        <v>4.36</v>
      </c>
      <c r="AK603" s="1" t="s">
        <v>89</v>
      </c>
      <c r="AL603" s="1" t="s">
        <v>28</v>
      </c>
      <c r="AM603" s="1">
        <v>720.0</v>
      </c>
      <c r="AN603" s="1">
        <v>1999.0</v>
      </c>
      <c r="AO603" s="1">
        <v>1998.0</v>
      </c>
      <c r="AQ603" s="3">
        <v>45170.0</v>
      </c>
      <c r="AR603" s="1" t="s">
        <v>31</v>
      </c>
      <c r="AS603" s="1" t="s">
        <v>2864</v>
      </c>
      <c r="AT603" s="1" t="s">
        <v>31</v>
      </c>
      <c r="AX603" s="1">
        <v>0.0</v>
      </c>
      <c r="AY603" s="1">
        <v>0.0</v>
      </c>
    </row>
    <row r="604" spans="20:51" ht="15.75" hidden="1">
      <c r="T604" s="1">
        <v>3.6820477E7</v>
      </c>
      <c r="U604" s="1"/>
      <c r="V604" s="1"/>
      <c r="W604" s="1"/>
      <c r="X604" s="1"/>
      <c r="Y604" s="1" t="s">
        <v>2865</v>
      </c>
      <c r="Z604" s="1" t="s">
        <v>2866</v>
      </c>
      <c r="AA604" s="1" t="s">
        <v>2867</v>
      </c>
      <c r="AB604" s="1"/>
      <c r="AC604" s="1"/>
      <c r="AD604" s="1"/>
      <c r="AE604" s="1"/>
      <c r="AG604" s="2" t="str">
        <f>"163557191X"</f>
        <v>163557191X</v>
      </c>
      <c r="AH604" s="2" t="str">
        <f>"9781635571912"</f>
        <v>9781635571912</v>
      </c>
      <c r="AI604" s="1">
        <v>0.0</v>
      </c>
      <c r="AJ604" s="1">
        <v>4.18</v>
      </c>
      <c r="AK604" s="1" t="s">
        <v>1742</v>
      </c>
      <c r="AL604" s="1" t="s">
        <v>41</v>
      </c>
      <c r="AM604" s="1">
        <v>144.0</v>
      </c>
      <c r="AN604" s="1">
        <v>2018.0</v>
      </c>
      <c r="AO604" s="1">
        <v>2018.0</v>
      </c>
      <c r="AQ604" s="3">
        <v>45170.0</v>
      </c>
      <c r="AR604" s="1" t="s">
        <v>31</v>
      </c>
      <c r="AS604" s="1" t="s">
        <v>2868</v>
      </c>
      <c r="AT604" s="1" t="s">
        <v>31</v>
      </c>
      <c r="AX604" s="1">
        <v>0.0</v>
      </c>
      <c r="AY604" s="1">
        <v>0.0</v>
      </c>
    </row>
    <row r="605" spans="20:51" ht="15.75" hidden="1">
      <c r="T605" s="1">
        <v>2.8695425E7</v>
      </c>
      <c r="U605" s="1"/>
      <c r="V605" s="1"/>
      <c r="W605" s="1"/>
      <c r="X605" s="1"/>
      <c r="Y605" s="1" t="s">
        <v>2869</v>
      </c>
      <c r="Z605" s="1" t="s">
        <v>2870</v>
      </c>
      <c r="AA605" s="1" t="s">
        <v>2871</v>
      </c>
      <c r="AB605" s="1"/>
      <c r="AC605" s="1"/>
      <c r="AD605" s="1"/>
      <c r="AE605" s="1"/>
      <c r="AG605" s="2" t="str">
        <f>"1620972255"</f>
        <v>1620972255</v>
      </c>
      <c r="AH605" s="2" t="str">
        <f>"9781620972250"</f>
        <v>9781620972250</v>
      </c>
      <c r="AI605" s="1">
        <v>0.0</v>
      </c>
      <c r="AJ605" s="1">
        <v>4.12</v>
      </c>
      <c r="AK605" s="1" t="s">
        <v>2872</v>
      </c>
      <c r="AL605" s="1" t="s">
        <v>41</v>
      </c>
      <c r="AM605" s="1">
        <v>242.0</v>
      </c>
      <c r="AN605" s="1">
        <v>2016.0</v>
      </c>
      <c r="AO605" s="1">
        <v>2016.0</v>
      </c>
      <c r="AQ605" s="3">
        <v>45170.0</v>
      </c>
      <c r="AR605" s="1" t="s">
        <v>31</v>
      </c>
      <c r="AS605" s="1" t="s">
        <v>2873</v>
      </c>
      <c r="AT605" s="1" t="s">
        <v>31</v>
      </c>
      <c r="AX605" s="1">
        <v>0.0</v>
      </c>
      <c r="AY605" s="1">
        <v>0.0</v>
      </c>
    </row>
    <row r="606" spans="20:51" ht="15.75" hidden="1">
      <c r="T606" s="1">
        <v>2483355.0</v>
      </c>
      <c r="U606" s="1"/>
      <c r="V606" s="1"/>
      <c r="W606" s="1"/>
      <c r="X606" s="1"/>
      <c r="Y606" s="1" t="s">
        <v>2874</v>
      </c>
      <c r="Z606" s="1" t="s">
        <v>2875</v>
      </c>
      <c r="AA606" s="1" t="s">
        <v>2876</v>
      </c>
      <c r="AB606" s="1"/>
      <c r="AC606" s="1"/>
      <c r="AD606" s="1"/>
      <c r="AE606" s="1"/>
      <c r="AG606" s="2" t="str">
        <f>"0151014906"</f>
        <v>0151014906</v>
      </c>
      <c r="AH606" s="2" t="str">
        <f>"9780151014903"</f>
        <v>9780151014903</v>
      </c>
      <c r="AI606" s="1">
        <v>0.0</v>
      </c>
      <c r="AJ606" s="1">
        <v>4.03</v>
      </c>
      <c r="AK606" s="1" t="s">
        <v>915</v>
      </c>
      <c r="AL606" s="1" t="s">
        <v>41</v>
      </c>
      <c r="AM606" s="1">
        <v>336.0</v>
      </c>
      <c r="AN606" s="1">
        <v>2008.0</v>
      </c>
      <c r="AO606" s="1">
        <v>2008.0</v>
      </c>
      <c r="AQ606" s="3">
        <v>45170.0</v>
      </c>
      <c r="AR606" s="1" t="s">
        <v>31</v>
      </c>
      <c r="AS606" s="1" t="s">
        <v>2877</v>
      </c>
      <c r="AT606" s="1" t="s">
        <v>31</v>
      </c>
      <c r="AX606" s="1">
        <v>0.0</v>
      </c>
      <c r="AY606" s="1">
        <v>0.0</v>
      </c>
    </row>
    <row r="607" spans="20:51" ht="15.75" hidden="1">
      <c r="T607" s="1">
        <v>302616.0</v>
      </c>
      <c r="U607" s="1"/>
      <c r="V607" s="1"/>
      <c r="W607" s="1"/>
      <c r="X607" s="1"/>
      <c r="Y607" s="1" t="s">
        <v>2878</v>
      </c>
      <c r="Z607" s="1" t="s">
        <v>2879</v>
      </c>
      <c r="AA607" s="1" t="s">
        <v>2880</v>
      </c>
      <c r="AB607" s="1"/>
      <c r="AC607" s="1"/>
      <c r="AD607" s="1"/>
      <c r="AE607" s="1"/>
      <c r="AF607" s="1" t="s">
        <v>2881</v>
      </c>
      <c r="AG607" s="2" t="str">
        <f>"0877280789"</f>
        <v>0877280789</v>
      </c>
      <c r="AH607" s="2" t="str">
        <f>"9780877280781"</f>
        <v>9780877280781</v>
      </c>
      <c r="AI607" s="1">
        <v>0.0</v>
      </c>
      <c r="AJ607" s="1">
        <v>4.08</v>
      </c>
      <c r="AK607" s="1" t="s">
        <v>2882</v>
      </c>
      <c r="AL607" s="1" t="s">
        <v>28</v>
      </c>
      <c r="AM607" s="1">
        <v>224.0</v>
      </c>
      <c r="AN607" s="1">
        <v>2001.0</v>
      </c>
      <c r="AO607" s="1">
        <v>1861.0</v>
      </c>
      <c r="AQ607" s="3">
        <v>45169.0</v>
      </c>
      <c r="AR607" s="1" t="s">
        <v>31</v>
      </c>
      <c r="AS607" s="1" t="s">
        <v>2883</v>
      </c>
      <c r="AT607" s="1" t="s">
        <v>31</v>
      </c>
      <c r="AX607" s="1">
        <v>0.0</v>
      </c>
      <c r="AY607" s="1">
        <v>0.0</v>
      </c>
    </row>
    <row r="608" spans="20:51" ht="15.75" hidden="1">
      <c r="T608" s="1">
        <v>144930.0</v>
      </c>
      <c r="U608" s="1"/>
      <c r="V608" s="1"/>
      <c r="W608" s="1"/>
      <c r="X608" s="1"/>
      <c r="Y608" s="1" t="s">
        <v>2884</v>
      </c>
      <c r="Z608" s="1" t="s">
        <v>2885</v>
      </c>
      <c r="AA608" s="1" t="s">
        <v>2886</v>
      </c>
      <c r="AB608" s="1"/>
      <c r="AC608" s="1"/>
      <c r="AD608" s="1"/>
      <c r="AE608" s="1"/>
      <c r="AG608" s="2" t="str">
        <f>"188775279X"</f>
        <v>188775279X</v>
      </c>
      <c r="AH608" s="2" t="str">
        <f>"9781887752794"</f>
        <v>9781887752794</v>
      </c>
      <c r="AI608" s="1">
        <v>0.0</v>
      </c>
      <c r="AJ608" s="1">
        <v>4.33</v>
      </c>
      <c r="AK608" s="1" t="s">
        <v>2887</v>
      </c>
      <c r="AL608" s="1" t="s">
        <v>28</v>
      </c>
      <c r="AM608" s="1">
        <v>160.0</v>
      </c>
      <c r="AN608" s="1">
        <v>2006.0</v>
      </c>
      <c r="AO608" s="1">
        <v>1991.0</v>
      </c>
      <c r="AQ608" s="3">
        <v>45169.0</v>
      </c>
      <c r="AR608" s="1" t="s">
        <v>31</v>
      </c>
      <c r="AS608" s="1" t="s">
        <v>2888</v>
      </c>
      <c r="AT608" s="1" t="s">
        <v>31</v>
      </c>
      <c r="AX608" s="1">
        <v>0.0</v>
      </c>
      <c r="AY608" s="1">
        <v>0.0</v>
      </c>
    </row>
    <row r="609" spans="20:51" ht="15.75" hidden="1">
      <c r="T609" s="1">
        <v>424128.0</v>
      </c>
      <c r="U609" s="1"/>
      <c r="V609" s="1"/>
      <c r="W609" s="1"/>
      <c r="X609" s="1"/>
      <c r="Y609" s="1" t="s">
        <v>2889</v>
      </c>
      <c r="Z609" s="1" t="s">
        <v>2890</v>
      </c>
      <c r="AA609" s="1" t="s">
        <v>2891</v>
      </c>
      <c r="AB609" s="1"/>
      <c r="AC609" s="1"/>
      <c r="AD609" s="1"/>
      <c r="AE609" s="1"/>
      <c r="AF609" s="1" t="s">
        <v>2892</v>
      </c>
      <c r="AG609" s="2" t="str">
        <f>"0900588780"</f>
        <v>0900588780</v>
      </c>
      <c r="AH609" s="2" t="str">
        <f>"9780900588785"</f>
        <v>9780900588785</v>
      </c>
      <c r="AI609" s="1">
        <v>0.0</v>
      </c>
      <c r="AJ609" s="1">
        <v>4.28</v>
      </c>
      <c r="AK609" s="1" t="s">
        <v>2893</v>
      </c>
      <c r="AL609" s="1" t="s">
        <v>41</v>
      </c>
      <c r="AM609" s="1">
        <v>476.0</v>
      </c>
      <c r="AN609" s="1">
        <v>2004.0</v>
      </c>
      <c r="AO609" s="1">
        <v>1962.0</v>
      </c>
      <c r="AQ609" s="3">
        <v>45169.0</v>
      </c>
      <c r="AR609" s="1" t="s">
        <v>31</v>
      </c>
      <c r="AS609" s="1" t="s">
        <v>2894</v>
      </c>
      <c r="AT609" s="1" t="s">
        <v>31</v>
      </c>
      <c r="AX609" s="1">
        <v>0.0</v>
      </c>
      <c r="AY609" s="1">
        <v>0.0</v>
      </c>
    </row>
    <row r="610" spans="20:51" ht="15.75" hidden="1">
      <c r="T610" s="1">
        <v>424129.0</v>
      </c>
      <c r="U610" s="1"/>
      <c r="V610" s="1"/>
      <c r="W610" s="1"/>
      <c r="X610" s="1"/>
      <c r="Y610" s="1" t="s">
        <v>2895</v>
      </c>
      <c r="Z610" s="1" t="s">
        <v>2890</v>
      </c>
      <c r="AA610" s="1" t="s">
        <v>2891</v>
      </c>
      <c r="AB610" s="1"/>
      <c r="AC610" s="1"/>
      <c r="AD610" s="1"/>
      <c r="AE610" s="1"/>
      <c r="AF610" s="1" t="s">
        <v>2896</v>
      </c>
      <c r="AG610" s="2" t="str">
        <f>"0900588667"</f>
        <v>0900588667</v>
      </c>
      <c r="AH610" s="2" t="str">
        <f>"9780900588662"</f>
        <v>9780900588662</v>
      </c>
      <c r="AI610" s="1">
        <v>0.0</v>
      </c>
      <c r="AJ610" s="1">
        <v>4.12</v>
      </c>
      <c r="AK610" s="1" t="s">
        <v>2893</v>
      </c>
      <c r="AL610" s="1" t="s">
        <v>41</v>
      </c>
      <c r="AM610" s="1">
        <v>168.0</v>
      </c>
      <c r="AN610" s="1">
        <v>2004.0</v>
      </c>
      <c r="AO610" s="1">
        <v>1931.0</v>
      </c>
      <c r="AQ610" s="3">
        <v>45169.0</v>
      </c>
      <c r="AR610" s="1" t="s">
        <v>31</v>
      </c>
      <c r="AS610" s="1" t="s">
        <v>2897</v>
      </c>
      <c r="AT610" s="1" t="s">
        <v>31</v>
      </c>
      <c r="AX610" s="1">
        <v>0.0</v>
      </c>
      <c r="AY610" s="1">
        <v>0.0</v>
      </c>
    </row>
    <row r="611" spans="20:51" ht="15.75" hidden="1">
      <c r="T611" s="1">
        <v>424125.0</v>
      </c>
      <c r="U611" s="1"/>
      <c r="V611" s="1"/>
      <c r="W611" s="1"/>
      <c r="X611" s="1"/>
      <c r="Y611" s="1" t="s">
        <v>2898</v>
      </c>
      <c r="Z611" s="1" t="s">
        <v>2890</v>
      </c>
      <c r="AA611" s="1" t="s">
        <v>2891</v>
      </c>
      <c r="AB611" s="1"/>
      <c r="AC611" s="1"/>
      <c r="AD611" s="1"/>
      <c r="AE611" s="1"/>
      <c r="AF611" s="1" t="s">
        <v>2899</v>
      </c>
      <c r="AG611" s="2" t="str">
        <f>"0900588241"</f>
        <v>0900588241</v>
      </c>
      <c r="AH611" s="2" t="str">
        <f>"9780900588242"</f>
        <v>9780900588242</v>
      </c>
      <c r="AI611" s="1">
        <v>0.0</v>
      </c>
      <c r="AJ611" s="1">
        <v>4.14</v>
      </c>
      <c r="AK611" s="1" t="s">
        <v>2893</v>
      </c>
      <c r="AL611" s="1" t="s">
        <v>28</v>
      </c>
      <c r="AM611" s="1">
        <v>136.0</v>
      </c>
      <c r="AN611" s="1">
        <v>2004.0</v>
      </c>
      <c r="AO611" s="1">
        <v>1927.0</v>
      </c>
      <c r="AQ611" s="3">
        <v>45169.0</v>
      </c>
      <c r="AR611" s="1" t="s">
        <v>31</v>
      </c>
      <c r="AS611" s="1" t="s">
        <v>2900</v>
      </c>
      <c r="AT611" s="1" t="s">
        <v>31</v>
      </c>
      <c r="AX611" s="1">
        <v>0.0</v>
      </c>
      <c r="AY611" s="1">
        <v>0.0</v>
      </c>
    </row>
    <row r="612" spans="20:51" ht="15.75" hidden="1">
      <c r="T612" s="1">
        <v>28025.0</v>
      </c>
      <c r="U612" s="1"/>
      <c r="V612" s="1"/>
      <c r="W612" s="1"/>
      <c r="X612" s="1"/>
      <c r="Y612" s="1" t="s">
        <v>2901</v>
      </c>
      <c r="Z612" s="1" t="s">
        <v>2902</v>
      </c>
      <c r="AA612" s="1" t="s">
        <v>2903</v>
      </c>
      <c r="AB612" s="1"/>
      <c r="AC612" s="1"/>
      <c r="AD612" s="1"/>
      <c r="AE612" s="1"/>
      <c r="AF612" s="1" t="s">
        <v>2904</v>
      </c>
      <c r="AG612" s="2" t="str">
        <f>"0691017778"</f>
        <v>0691017778</v>
      </c>
      <c r="AH612" s="2" t="str">
        <f>"9780691017778"</f>
        <v>9780691017778</v>
      </c>
      <c r="AI612" s="1">
        <v>0.0</v>
      </c>
      <c r="AJ612" s="1">
        <v>4.23</v>
      </c>
      <c r="AK612" s="1" t="s">
        <v>2905</v>
      </c>
      <c r="AL612" s="1" t="s">
        <v>28</v>
      </c>
      <c r="AM612" s="1">
        <v>195.0</v>
      </c>
      <c r="AN612" s="1">
        <v>1974.0</v>
      </c>
      <c r="AO612" s="1">
        <v>1949.0</v>
      </c>
      <c r="AQ612" s="3">
        <v>45169.0</v>
      </c>
      <c r="AR612" s="1" t="s">
        <v>31</v>
      </c>
      <c r="AS612" s="1" t="s">
        <v>2906</v>
      </c>
      <c r="AT612" s="1" t="s">
        <v>31</v>
      </c>
      <c r="AX612" s="1">
        <v>0.0</v>
      </c>
      <c r="AY612" s="1">
        <v>0.0</v>
      </c>
    </row>
    <row r="613" spans="20:51" ht="15.75" hidden="1">
      <c r="T613" s="1">
        <v>4099.0</v>
      </c>
      <c r="U613" s="1"/>
      <c r="V613" s="1"/>
      <c r="W613" s="1"/>
      <c r="X613" s="1"/>
      <c r="Y613" s="1" t="s">
        <v>2907</v>
      </c>
      <c r="Z613" s="1" t="s">
        <v>2908</v>
      </c>
      <c r="AA613" s="1" t="s">
        <v>2909</v>
      </c>
      <c r="AB613" s="1"/>
      <c r="AC613" s="1"/>
      <c r="AD613" s="1"/>
      <c r="AE613" s="1"/>
      <c r="AF613" s="1" t="s">
        <v>2910</v>
      </c>
      <c r="AG613" s="2" t="str">
        <f>"020161622X"</f>
        <v>020161622X</v>
      </c>
      <c r="AH613" s="2" t="str">
        <f>"9780201616224"</f>
        <v>9780201616224</v>
      </c>
      <c r="AI613" s="1">
        <v>0.0</v>
      </c>
      <c r="AJ613" s="1">
        <v>4.33</v>
      </c>
      <c r="AK613" s="1" t="s">
        <v>2911</v>
      </c>
      <c r="AL613" s="1" t="s">
        <v>28</v>
      </c>
      <c r="AM613" s="1">
        <v>321.0</v>
      </c>
      <c r="AN613" s="1">
        <v>1999.0</v>
      </c>
      <c r="AO613" s="1">
        <v>1999.0</v>
      </c>
      <c r="AQ613" s="3">
        <v>45169.0</v>
      </c>
      <c r="AR613" s="1" t="s">
        <v>31</v>
      </c>
      <c r="AS613" s="1" t="s">
        <v>2912</v>
      </c>
      <c r="AT613" s="1" t="s">
        <v>31</v>
      </c>
      <c r="AX613" s="1">
        <v>0.0</v>
      </c>
      <c r="AY613" s="1">
        <v>0.0</v>
      </c>
    </row>
    <row r="614" spans="20:51" ht="15.75" hidden="1">
      <c r="T614" s="1">
        <v>2.0613511E7</v>
      </c>
      <c r="U614" s="1"/>
      <c r="V614" s="1"/>
      <c r="W614" s="1"/>
      <c r="X614" s="1"/>
      <c r="Y614" s="1" t="s">
        <v>2913</v>
      </c>
      <c r="Z614" s="1" t="s">
        <v>2914</v>
      </c>
      <c r="AA614" s="1" t="s">
        <v>2915</v>
      </c>
      <c r="AB614" s="1"/>
      <c r="AC614" s="1"/>
      <c r="AD614" s="1"/>
      <c r="AE614" s="1"/>
      <c r="AG614" s="2" t="str">
        <f>"1555976891"</f>
        <v>1555976891</v>
      </c>
      <c r="AH614" s="2" t="str">
        <f>"9781555976897"</f>
        <v>9781555976897</v>
      </c>
      <c r="AI614" s="1">
        <v>0.0</v>
      </c>
      <c r="AJ614" s="1">
        <v>3.94</v>
      </c>
      <c r="AK614" s="1" t="s">
        <v>971</v>
      </c>
      <c r="AL614" s="1" t="s">
        <v>41</v>
      </c>
      <c r="AM614" s="1">
        <v>205.0</v>
      </c>
      <c r="AN614" s="1">
        <v>2014.0</v>
      </c>
      <c r="AO614" s="1">
        <v>2014.0</v>
      </c>
      <c r="AQ614" s="3">
        <v>45169.0</v>
      </c>
      <c r="AR614" s="1" t="s">
        <v>31</v>
      </c>
      <c r="AS614" s="1" t="s">
        <v>2916</v>
      </c>
      <c r="AT614" s="1" t="s">
        <v>31</v>
      </c>
      <c r="AX614" s="1">
        <v>0.0</v>
      </c>
      <c r="AY614" s="1">
        <v>0.0</v>
      </c>
    </row>
    <row r="615" spans="20:51" ht="15.75" hidden="1">
      <c r="T615" s="1">
        <v>85767.0</v>
      </c>
      <c r="U615" s="1"/>
      <c r="V615" s="1"/>
      <c r="W615" s="1"/>
      <c r="X615" s="1"/>
      <c r="Y615" s="1" t="s">
        <v>2917</v>
      </c>
      <c r="Z615" s="1" t="s">
        <v>2918</v>
      </c>
      <c r="AA615" s="1" t="s">
        <v>2919</v>
      </c>
      <c r="AB615" s="1"/>
      <c r="AC615" s="1"/>
      <c r="AD615" s="1"/>
      <c r="AE615" s="1"/>
      <c r="AG615" s="2" t="str">
        <f>"0415389550"</f>
        <v>0415389550</v>
      </c>
      <c r="AH615" s="2" t="str">
        <f>"9780415389556"</f>
        <v>9780415389556</v>
      </c>
      <c r="AI615" s="1">
        <v>0.0</v>
      </c>
      <c r="AJ615" s="1">
        <v>4.06</v>
      </c>
      <c r="AK615" s="1" t="s">
        <v>132</v>
      </c>
      <c r="AL615" s="1" t="s">
        <v>28</v>
      </c>
      <c r="AM615" s="1">
        <v>236.0</v>
      </c>
      <c r="AN615" s="1">
        <v>2006.0</v>
      </c>
      <c r="AO615" s="1">
        <v>1989.0</v>
      </c>
      <c r="AQ615" s="3">
        <v>45169.0</v>
      </c>
      <c r="AR615" s="1" t="s">
        <v>31</v>
      </c>
      <c r="AS615" s="1" t="s">
        <v>2920</v>
      </c>
      <c r="AT615" s="1" t="s">
        <v>31</v>
      </c>
      <c r="AX615" s="1">
        <v>0.0</v>
      </c>
      <c r="AY615" s="1">
        <v>0.0</v>
      </c>
    </row>
    <row r="616" spans="20:51" ht="15.75" hidden="1">
      <c r="T616" s="1">
        <v>5.2128695E7</v>
      </c>
      <c r="U616" s="1"/>
      <c r="V616" s="1"/>
      <c r="W616" s="1"/>
      <c r="X616" s="1"/>
      <c r="Y616" s="1" t="s">
        <v>2921</v>
      </c>
      <c r="Z616" s="1" t="s">
        <v>2922</v>
      </c>
      <c r="AA616" s="1" t="s">
        <v>2923</v>
      </c>
      <c r="AB616" s="1"/>
      <c r="AC616" s="1"/>
      <c r="AD616" s="1"/>
      <c r="AE616" s="1"/>
      <c r="AG616" s="2" t="str">
        <f>"080701379X"</f>
        <v>080701379X</v>
      </c>
      <c r="AH616" s="2" t="str">
        <f>"9780807013793"</f>
        <v>9780807013793</v>
      </c>
      <c r="AI616" s="1">
        <v>2.0</v>
      </c>
      <c r="AJ616" s="1">
        <v>4.37</v>
      </c>
      <c r="AK616" s="1" t="s">
        <v>831</v>
      </c>
      <c r="AL616" s="1" t="s">
        <v>41</v>
      </c>
      <c r="AM616" s="1">
        <v>210.0</v>
      </c>
      <c r="AN616" s="1">
        <v>2020.0</v>
      </c>
      <c r="AO616" s="1">
        <v>2020.0</v>
      </c>
      <c r="AQ616" s="3">
        <v>45169.0</v>
      </c>
      <c r="AT616" s="1" t="s">
        <v>127</v>
      </c>
      <c r="AX616" s="1">
        <v>1.0</v>
      </c>
      <c r="AY616" s="1">
        <v>0.0</v>
      </c>
    </row>
    <row r="617" spans="20:51" ht="15.75" hidden="1">
      <c r="T617" s="1">
        <v>826948.0</v>
      </c>
      <c r="U617" s="1"/>
      <c r="V617" s="1"/>
      <c r="W617" s="1"/>
      <c r="X617" s="1"/>
      <c r="Y617" s="1" t="s">
        <v>2924</v>
      </c>
      <c r="Z617" s="1" t="s">
        <v>2925</v>
      </c>
      <c r="AA617" s="1" t="s">
        <v>2926</v>
      </c>
      <c r="AB617" s="1"/>
      <c r="AC617" s="1"/>
      <c r="AD617" s="1"/>
      <c r="AE617" s="1"/>
      <c r="AG617" s="2" t="str">
        <f>"0300022913"</f>
        <v>0300022913</v>
      </c>
      <c r="AH617" s="2" t="str">
        <f>"9780300022919"</f>
        <v>9780300022919</v>
      </c>
      <c r="AI617" s="1">
        <v>0.0</v>
      </c>
      <c r="AJ617" s="1">
        <v>4.12</v>
      </c>
      <c r="AK617" s="1" t="s">
        <v>545</v>
      </c>
      <c r="AL617" s="1" t="s">
        <v>28</v>
      </c>
      <c r="AM617" s="1">
        <v>282.0</v>
      </c>
      <c r="AN617" s="1">
        <v>1978.0</v>
      </c>
      <c r="AO617" s="1">
        <v>1976.0</v>
      </c>
      <c r="AQ617" s="3">
        <v>45169.0</v>
      </c>
      <c r="AR617" s="1" t="s">
        <v>31</v>
      </c>
      <c r="AS617" s="1" t="s">
        <v>2927</v>
      </c>
      <c r="AT617" s="1" t="s">
        <v>31</v>
      </c>
      <c r="AX617" s="1">
        <v>0.0</v>
      </c>
      <c r="AY617" s="1">
        <v>0.0</v>
      </c>
    </row>
    <row r="618" spans="20:51" ht="15.75" hidden="1">
      <c r="T618" s="1">
        <v>406639.0</v>
      </c>
      <c r="U618" s="1"/>
      <c r="V618" s="1"/>
      <c r="W618" s="1"/>
      <c r="X618" s="1"/>
      <c r="Y618" s="1" t="s">
        <v>2928</v>
      </c>
      <c r="Z618" s="1" t="s">
        <v>2929</v>
      </c>
      <c r="AA618" s="1" t="s">
        <v>2930</v>
      </c>
      <c r="AB618" s="1"/>
      <c r="AC618" s="1"/>
      <c r="AD618" s="1"/>
      <c r="AE618" s="1"/>
      <c r="AG618" s="2" t="str">
        <f>"0385036434"</f>
        <v>0385036434</v>
      </c>
      <c r="AH618" s="2" t="str">
        <f>"9780385036436"</f>
        <v>9780385036436</v>
      </c>
      <c r="AI618" s="1">
        <v>0.0</v>
      </c>
      <c r="AJ618" s="1">
        <v>4.14</v>
      </c>
      <c r="AK618" s="1" t="s">
        <v>2931</v>
      </c>
      <c r="AL618" s="1" t="s">
        <v>28</v>
      </c>
      <c r="AM618" s="1">
        <v>235.0</v>
      </c>
      <c r="AN618" s="1">
        <v>1972.0</v>
      </c>
      <c r="AO618" s="1">
        <v>1588.0</v>
      </c>
      <c r="AQ618" s="3">
        <v>45169.0</v>
      </c>
      <c r="AR618" s="1" t="s">
        <v>31</v>
      </c>
      <c r="AS618" s="1" t="s">
        <v>2932</v>
      </c>
      <c r="AT618" s="1" t="s">
        <v>31</v>
      </c>
      <c r="AX618" s="1">
        <v>0.0</v>
      </c>
      <c r="AY618" s="1">
        <v>0.0</v>
      </c>
    </row>
    <row r="619" spans="20:51" ht="15.75" hidden="1">
      <c r="T619" s="1">
        <v>194746.0</v>
      </c>
      <c r="U619" s="1"/>
      <c r="V619" s="1"/>
      <c r="W619" s="1"/>
      <c r="X619" s="1"/>
      <c r="Y619" s="1" t="s">
        <v>2933</v>
      </c>
      <c r="Z619" s="1" t="s">
        <v>2934</v>
      </c>
      <c r="AA619" s="1" t="s">
        <v>2935</v>
      </c>
      <c r="AB619" s="1"/>
      <c r="AC619" s="1"/>
      <c r="AD619" s="1"/>
      <c r="AE619" s="1"/>
      <c r="AF619" s="1" t="s">
        <v>2936</v>
      </c>
      <c r="AG619" s="2" t="str">
        <f>"0811204812"</f>
        <v>0811204812</v>
      </c>
      <c r="AH619" s="2" t="str">
        <f>"9780811204811"</f>
        <v>9780811204811</v>
      </c>
      <c r="AI619" s="1">
        <v>0.0</v>
      </c>
      <c r="AJ619" s="1">
        <v>4.03</v>
      </c>
      <c r="AK619" s="1" t="s">
        <v>95</v>
      </c>
      <c r="AL619" s="1" t="s">
        <v>28</v>
      </c>
      <c r="AM619" s="1">
        <v>177.0</v>
      </c>
      <c r="AN619" s="1">
        <v>1958.0</v>
      </c>
      <c r="AO619" s="1">
        <v>1948.0</v>
      </c>
      <c r="AQ619" s="3">
        <v>45169.0</v>
      </c>
      <c r="AR619" s="1" t="s">
        <v>31</v>
      </c>
      <c r="AS619" s="1" t="s">
        <v>2937</v>
      </c>
      <c r="AT619" s="1" t="s">
        <v>31</v>
      </c>
      <c r="AX619" s="1">
        <v>0.0</v>
      </c>
      <c r="AY619" s="1">
        <v>0.0</v>
      </c>
    </row>
    <row r="620" spans="20:51" ht="15.75" hidden="1">
      <c r="T620" s="1">
        <v>721863.0</v>
      </c>
      <c r="U620" s="1"/>
      <c r="V620" s="1"/>
      <c r="W620" s="1"/>
      <c r="X620" s="1"/>
      <c r="Y620" s="1" t="s">
        <v>2938</v>
      </c>
      <c r="Z620" s="1" t="s">
        <v>2939</v>
      </c>
      <c r="AA620" s="1" t="s">
        <v>2940</v>
      </c>
      <c r="AB620" s="1"/>
      <c r="AC620" s="1"/>
      <c r="AD620" s="1"/>
      <c r="AE620" s="1"/>
      <c r="AF620" s="1" t="s">
        <v>2941</v>
      </c>
      <c r="AG620" s="2" t="str">
        <f>"4770021844"</f>
        <v>4770021844</v>
      </c>
      <c r="AH620" s="2" t="str">
        <f>"9784770021847"</f>
        <v>9784770021847</v>
      </c>
      <c r="AI620" s="1">
        <v>0.0</v>
      </c>
      <c r="AJ620" s="1">
        <v>3.92</v>
      </c>
      <c r="AK620" s="1" t="s">
        <v>2942</v>
      </c>
      <c r="AL620" s="1" t="s">
        <v>28</v>
      </c>
      <c r="AM620" s="1">
        <v>273.0</v>
      </c>
      <c r="AN620" s="1">
        <v>1997.0</v>
      </c>
      <c r="AO620" s="1">
        <v>1994.0</v>
      </c>
      <c r="AQ620" s="3">
        <v>45169.0</v>
      </c>
      <c r="AR620" s="1" t="s">
        <v>31</v>
      </c>
      <c r="AS620" s="1" t="s">
        <v>2943</v>
      </c>
      <c r="AT620" s="1" t="s">
        <v>31</v>
      </c>
      <c r="AX620" s="1">
        <v>0.0</v>
      </c>
      <c r="AY620" s="1">
        <v>0.0</v>
      </c>
    </row>
    <row r="621" spans="20:51" ht="15.75" hidden="1">
      <c r="T621" s="1">
        <v>5.4810887E7</v>
      </c>
      <c r="U621" s="1"/>
      <c r="V621" s="1"/>
      <c r="W621" s="1"/>
      <c r="X621" s="1"/>
      <c r="Y621" s="1" t="s">
        <v>2944</v>
      </c>
      <c r="Z621" s="1" t="s">
        <v>2945</v>
      </c>
      <c r="AA621" s="1" t="s">
        <v>2946</v>
      </c>
      <c r="AB621" s="1"/>
      <c r="AC621" s="1"/>
      <c r="AD621" s="1"/>
      <c r="AE621" s="1"/>
      <c r="AF621" s="1" t="s">
        <v>2947</v>
      </c>
      <c r="AG621" s="2" t="str">
        <f>"1681375397"</f>
        <v>1681375397</v>
      </c>
      <c r="AH621" s="2" t="str">
        <f>"9781681375397"</f>
        <v>9781681375397</v>
      </c>
      <c r="AI621" s="1">
        <v>0.0</v>
      </c>
      <c r="AJ621" s="1">
        <v>4.1</v>
      </c>
      <c r="AK621" s="1" t="s">
        <v>77</v>
      </c>
      <c r="AL621" s="1" t="s">
        <v>28</v>
      </c>
      <c r="AM621" s="1">
        <v>304.0</v>
      </c>
      <c r="AN621" s="1">
        <v>2021.0</v>
      </c>
      <c r="AO621" s="1">
        <v>2021.0</v>
      </c>
      <c r="AQ621" s="3">
        <v>45169.0</v>
      </c>
      <c r="AR621" s="1" t="s">
        <v>31</v>
      </c>
      <c r="AS621" s="1" t="s">
        <v>2948</v>
      </c>
      <c r="AT621" s="1" t="s">
        <v>31</v>
      </c>
      <c r="AX621" s="1">
        <v>0.0</v>
      </c>
      <c r="AY621" s="1">
        <v>0.0</v>
      </c>
    </row>
    <row r="622" spans="20:51" ht="15.75" hidden="1">
      <c r="T622" s="1">
        <v>162780.0</v>
      </c>
      <c r="U622" s="1"/>
      <c r="V622" s="1"/>
      <c r="W622" s="1"/>
      <c r="X622" s="1"/>
      <c r="Y622" s="1" t="s">
        <v>2949</v>
      </c>
      <c r="Z622" s="1" t="s">
        <v>2950</v>
      </c>
      <c r="AA622" s="1" t="s">
        <v>2951</v>
      </c>
      <c r="AB622" s="1"/>
      <c r="AC622" s="1"/>
      <c r="AD622" s="1"/>
      <c r="AE622" s="1"/>
      <c r="AF622" s="1" t="s">
        <v>2952</v>
      </c>
      <c r="AG622" s="2" t="str">
        <f>"0521427088"</f>
        <v>0521427088</v>
      </c>
      <c r="AH622" s="2" t="str">
        <f>"9780521427081"</f>
        <v>9780521427081</v>
      </c>
      <c r="AI622" s="1">
        <v>0.0</v>
      </c>
      <c r="AJ622" s="1">
        <v>4.13</v>
      </c>
      <c r="AK622" s="1" t="s">
        <v>605</v>
      </c>
      <c r="AL622" s="1" t="s">
        <v>28</v>
      </c>
      <c r="AM622" s="1">
        <v>184.0</v>
      </c>
      <c r="AN622" s="1">
        <v>1992.0</v>
      </c>
      <c r="AO622" s="1">
        <v>1944.0</v>
      </c>
      <c r="AQ622" s="3">
        <v>45169.0</v>
      </c>
      <c r="AR622" s="1" t="s">
        <v>31</v>
      </c>
      <c r="AS622" s="1" t="s">
        <v>2953</v>
      </c>
      <c r="AT622" s="1" t="s">
        <v>31</v>
      </c>
      <c r="AX622" s="1">
        <v>0.0</v>
      </c>
      <c r="AY622" s="1">
        <v>0.0</v>
      </c>
    </row>
    <row r="623" spans="20:51" ht="15.75" hidden="1">
      <c r="T623" s="1">
        <v>1875.0</v>
      </c>
      <c r="U623" s="1"/>
      <c r="V623" s="1"/>
      <c r="W623" s="1"/>
      <c r="X623" s="1"/>
      <c r="Y623" s="1" t="s">
        <v>2954</v>
      </c>
      <c r="Z623" s="1" t="s">
        <v>2955</v>
      </c>
      <c r="AA623" s="1" t="s">
        <v>2956</v>
      </c>
      <c r="AB623" s="1"/>
      <c r="AC623" s="1"/>
      <c r="AD623" s="1"/>
      <c r="AE623" s="1"/>
      <c r="AG623" s="2" t="str">
        <f>"0679724699"</f>
        <v>0679724699</v>
      </c>
      <c r="AH623" s="2" t="str">
        <f>"9780679724698"</f>
        <v>9780679724698</v>
      </c>
      <c r="AI623" s="1">
        <v>0.0</v>
      </c>
      <c r="AJ623" s="1">
        <v>4.03</v>
      </c>
      <c r="AK623" s="1" t="s">
        <v>83</v>
      </c>
      <c r="AL623" s="1" t="s">
        <v>28</v>
      </c>
      <c r="AM623" s="1">
        <v>176.0</v>
      </c>
      <c r="AN623" s="1">
        <v>1990.0</v>
      </c>
      <c r="AO623" s="1">
        <v>1976.0</v>
      </c>
      <c r="AQ623" s="3">
        <v>45169.0</v>
      </c>
      <c r="AR623" s="1" t="s">
        <v>31</v>
      </c>
      <c r="AS623" s="1" t="s">
        <v>2957</v>
      </c>
      <c r="AT623" s="1" t="s">
        <v>31</v>
      </c>
      <c r="AX623" s="1">
        <v>0.0</v>
      </c>
      <c r="AY623" s="1">
        <v>0.0</v>
      </c>
    </row>
    <row r="624" spans="20:51" ht="15.75" hidden="1">
      <c r="T624" s="1">
        <v>181549.0</v>
      </c>
      <c r="U624" s="1"/>
      <c r="V624" s="1"/>
      <c r="W624" s="1"/>
      <c r="X624" s="1"/>
      <c r="Y624" s="1" t="s">
        <v>2958</v>
      </c>
      <c r="Z624" s="1" t="s">
        <v>2918</v>
      </c>
      <c r="AA624" s="1" t="s">
        <v>2919</v>
      </c>
      <c r="AB624" s="1"/>
      <c r="AC624" s="1"/>
      <c r="AD624" s="1"/>
      <c r="AE624" s="1"/>
      <c r="AG624" s="2" t="str">
        <f>"0415903661"</f>
        <v>0415903661</v>
      </c>
      <c r="AH624" s="2" t="str">
        <f>"9780415903660"</f>
        <v>9780415903660</v>
      </c>
      <c r="AI624" s="1">
        <v>0.0</v>
      </c>
      <c r="AJ624" s="1">
        <v>4.11</v>
      </c>
      <c r="AK624" s="1" t="s">
        <v>132</v>
      </c>
      <c r="AL624" s="1" t="s">
        <v>28</v>
      </c>
      <c r="AM624" s="1">
        <v>304.0</v>
      </c>
      <c r="AN624" s="1">
        <v>1993.0</v>
      </c>
      <c r="AO624" s="1">
        <v>1993.0</v>
      </c>
      <c r="AQ624" s="3">
        <v>45169.0</v>
      </c>
      <c r="AR624" s="1" t="s">
        <v>31</v>
      </c>
      <c r="AS624" s="1" t="s">
        <v>2959</v>
      </c>
      <c r="AT624" s="1" t="s">
        <v>31</v>
      </c>
      <c r="AX624" s="1">
        <v>0.0</v>
      </c>
      <c r="AY624" s="1">
        <v>0.0</v>
      </c>
    </row>
    <row r="625" spans="20:51" ht="15.75" hidden="1">
      <c r="T625" s="1">
        <v>415459.0</v>
      </c>
      <c r="U625" s="1"/>
      <c r="V625" s="1"/>
      <c r="W625" s="1"/>
      <c r="X625" s="1"/>
      <c r="Y625" s="1" t="s">
        <v>2960</v>
      </c>
      <c r="Z625" s="1" t="s">
        <v>2961</v>
      </c>
      <c r="AA625" s="1" t="s">
        <v>2962</v>
      </c>
      <c r="AB625" s="1"/>
      <c r="AC625" s="1"/>
      <c r="AD625" s="1"/>
      <c r="AE625" s="1"/>
      <c r="AF625" s="1" t="s">
        <v>2963</v>
      </c>
      <c r="AG625" s="2" t="str">
        <f>"0441363954"</f>
        <v>0441363954</v>
      </c>
      <c r="AH625" s="2" t="str">
        <f>"9780441363957"</f>
        <v>9780441363957</v>
      </c>
      <c r="AI625" s="1">
        <v>0.0</v>
      </c>
      <c r="AJ625" s="1">
        <v>3.89</v>
      </c>
      <c r="AK625" s="1" t="s">
        <v>2484</v>
      </c>
      <c r="AL625" s="1" t="s">
        <v>315</v>
      </c>
      <c r="AM625" s="1">
        <v>134.0</v>
      </c>
      <c r="AN625" s="1">
        <v>1967.0</v>
      </c>
      <c r="AO625" s="1">
        <v>1967.0</v>
      </c>
      <c r="AQ625" s="3">
        <v>45168.0</v>
      </c>
      <c r="AR625" s="1" t="s">
        <v>31</v>
      </c>
      <c r="AS625" s="1" t="s">
        <v>2964</v>
      </c>
      <c r="AT625" s="1" t="s">
        <v>31</v>
      </c>
      <c r="AX625" s="1">
        <v>0.0</v>
      </c>
      <c r="AY625" s="1">
        <v>0.0</v>
      </c>
    </row>
    <row r="626" spans="20:51" ht="15.75" hidden="1">
      <c r="T626" s="1">
        <v>182549.0</v>
      </c>
      <c r="U626" s="1"/>
      <c r="V626" s="1"/>
      <c r="W626" s="1"/>
      <c r="X626" s="1"/>
      <c r="Y626" s="1" t="s">
        <v>2965</v>
      </c>
      <c r="Z626" s="1" t="s">
        <v>2961</v>
      </c>
      <c r="AA626" s="1" t="s">
        <v>2962</v>
      </c>
      <c r="AB626" s="1"/>
      <c r="AC626" s="1"/>
      <c r="AD626" s="1"/>
      <c r="AE626" s="1"/>
      <c r="AG626" s="2" t="str">
        <f>"0759229945"</f>
        <v>0759229945</v>
      </c>
      <c r="AH626" s="2" t="str">
        <f>"9780759229945"</f>
        <v>9780759229945</v>
      </c>
      <c r="AI626" s="1">
        <v>0.0</v>
      </c>
      <c r="AJ626" s="1">
        <v>4.06</v>
      </c>
      <c r="AK626" s="5" t="s">
        <v>2966</v>
      </c>
      <c r="AL626" s="1" t="s">
        <v>28</v>
      </c>
      <c r="AM626" s="1">
        <v>172.0</v>
      </c>
      <c r="AN626" s="1">
        <v>1999.0</v>
      </c>
      <c r="AO626" s="1">
        <v>1965.0</v>
      </c>
      <c r="AQ626" s="3">
        <v>45168.0</v>
      </c>
      <c r="AR626" s="1" t="s">
        <v>31</v>
      </c>
      <c r="AS626" s="1" t="s">
        <v>2967</v>
      </c>
      <c r="AT626" s="1" t="s">
        <v>31</v>
      </c>
      <c r="AX626" s="1">
        <v>0.0</v>
      </c>
      <c r="AY626" s="1">
        <v>0.0</v>
      </c>
    </row>
    <row r="627" spans="20:51" ht="15.75" hidden="1">
      <c r="T627" s="1">
        <v>5.430383E7</v>
      </c>
      <c r="U627" s="1"/>
      <c r="V627" s="1"/>
      <c r="W627" s="1"/>
      <c r="X627" s="1"/>
      <c r="Y627" s="1" t="s">
        <v>2968</v>
      </c>
      <c r="Z627" s="1" t="s">
        <v>2969</v>
      </c>
      <c r="AA627" s="1" t="s">
        <v>2970</v>
      </c>
      <c r="AB627" s="1"/>
      <c r="AC627" s="1"/>
      <c r="AD627" s="1"/>
      <c r="AE627" s="1"/>
      <c r="AG627" s="2" t="str">
        <f>"1982160985"</f>
        <v>1982160985</v>
      </c>
      <c r="AH627" s="2" t="str">
        <f>"9781982160982"</f>
        <v>9781982160982</v>
      </c>
      <c r="AI627" s="1">
        <v>0.0</v>
      </c>
      <c r="AJ627" s="1">
        <v>3.57</v>
      </c>
      <c r="AK627" s="1" t="s">
        <v>101</v>
      </c>
      <c r="AL627" s="1" t="s">
        <v>41</v>
      </c>
      <c r="AM627" s="1">
        <v>256.0</v>
      </c>
      <c r="AN627" s="1">
        <v>2021.0</v>
      </c>
      <c r="AO627" s="1">
        <v>2021.0</v>
      </c>
      <c r="AQ627" s="3">
        <v>45168.0</v>
      </c>
      <c r="AR627" s="1" t="s">
        <v>31</v>
      </c>
      <c r="AS627" s="1" t="s">
        <v>2971</v>
      </c>
      <c r="AT627" s="1" t="s">
        <v>31</v>
      </c>
      <c r="AX627" s="1">
        <v>0.0</v>
      </c>
      <c r="AY627" s="1">
        <v>0.0</v>
      </c>
    </row>
    <row r="628" spans="20:51" ht="15.75" hidden="1">
      <c r="T628" s="1">
        <v>5.4785524E7</v>
      </c>
      <c r="U628" s="1"/>
      <c r="V628" s="1"/>
      <c r="W628" s="1"/>
      <c r="X628" s="1"/>
      <c r="Y628" s="1" t="s">
        <v>2972</v>
      </c>
      <c r="Z628" s="1" t="s">
        <v>2973</v>
      </c>
      <c r="AA628" s="1" t="s">
        <v>2974</v>
      </c>
      <c r="AB628" s="1"/>
      <c r="AC628" s="1"/>
      <c r="AD628" s="1"/>
      <c r="AE628" s="1"/>
      <c r="AG628" s="2" t="str">
        <f>"0374115265"</f>
        <v>0374115265</v>
      </c>
      <c r="AH628" s="2" t="str">
        <f>"9780374115265"</f>
        <v>9780374115265</v>
      </c>
      <c r="AI628" s="1">
        <v>0.0</v>
      </c>
      <c r="AJ628" s="1">
        <v>3.54</v>
      </c>
      <c r="AK628" s="1" t="s">
        <v>89</v>
      </c>
      <c r="AL628" s="1" t="s">
        <v>41</v>
      </c>
      <c r="AM628" s="1">
        <v>176.0</v>
      </c>
      <c r="AN628" s="1">
        <v>2021.0</v>
      </c>
      <c r="AO628" s="1">
        <v>2021.0</v>
      </c>
      <c r="AQ628" s="3">
        <v>45168.0</v>
      </c>
      <c r="AR628" s="1" t="s">
        <v>31</v>
      </c>
      <c r="AS628" s="1" t="s">
        <v>2975</v>
      </c>
      <c r="AT628" s="1" t="s">
        <v>31</v>
      </c>
      <c r="AX628" s="1">
        <v>0.0</v>
      </c>
      <c r="AY628" s="1">
        <v>0.0</v>
      </c>
    </row>
    <row r="629" spans="20:51" ht="15.75" hidden="1">
      <c r="T629" s="1">
        <v>5.331751E7</v>
      </c>
      <c r="U629" s="1"/>
      <c r="V629" s="1"/>
      <c r="W629" s="1"/>
      <c r="X629" s="1"/>
      <c r="Y629" s="1" t="s">
        <v>2976</v>
      </c>
      <c r="Z629" s="1" t="s">
        <v>2977</v>
      </c>
      <c r="AA629" s="1" t="s">
        <v>2978</v>
      </c>
      <c r="AB629" s="1"/>
      <c r="AC629" s="1"/>
      <c r="AD629" s="1"/>
      <c r="AE629" s="1"/>
      <c r="AF629" s="1" t="s">
        <v>2979</v>
      </c>
      <c r="AG629" s="2" t="str">
        <f>"0374293139"</f>
        <v>0374293139</v>
      </c>
      <c r="AH629" s="2" t="str">
        <f>"9780374293130"</f>
        <v>9780374293130</v>
      </c>
      <c r="AI629" s="1">
        <v>0.0</v>
      </c>
      <c r="AJ629" s="1">
        <v>4.02</v>
      </c>
      <c r="AK629" s="1" t="s">
        <v>89</v>
      </c>
      <c r="AL629" s="1" t="s">
        <v>41</v>
      </c>
      <c r="AM629" s="1">
        <v>768.0</v>
      </c>
      <c r="AN629" s="1">
        <v>2021.0</v>
      </c>
      <c r="AO629" s="1">
        <v>2021.0</v>
      </c>
      <c r="AQ629" s="3">
        <v>45168.0</v>
      </c>
      <c r="AR629" s="1" t="s">
        <v>31</v>
      </c>
      <c r="AS629" s="1" t="s">
        <v>2980</v>
      </c>
      <c r="AT629" s="1" t="s">
        <v>31</v>
      </c>
      <c r="AX629" s="1">
        <v>0.0</v>
      </c>
      <c r="AY629" s="1">
        <v>0.0</v>
      </c>
    </row>
    <row r="630" spans="20:51" ht="15.75" hidden="1">
      <c r="T630" s="1">
        <v>5.6269264E7</v>
      </c>
      <c r="U630" s="1"/>
      <c r="V630" s="1"/>
      <c r="W630" s="1"/>
      <c r="X630" s="1"/>
      <c r="Y630" s="1" t="s">
        <v>2981</v>
      </c>
      <c r="Z630" s="1" t="s">
        <v>2982</v>
      </c>
      <c r="AA630" s="1" t="s">
        <v>2983</v>
      </c>
      <c r="AB630" s="1"/>
      <c r="AC630" s="1"/>
      <c r="AD630" s="1"/>
      <c r="AE630" s="1"/>
      <c r="AF630" s="1" t="s">
        <v>2984</v>
      </c>
      <c r="AG630" s="2" t="str">
        <f>"0374157359"</f>
        <v>0374157359</v>
      </c>
      <c r="AH630" s="2" t="str">
        <f>"9780374157357"</f>
        <v>9780374157357</v>
      </c>
      <c r="AI630" s="1">
        <v>0.0</v>
      </c>
      <c r="AJ630" s="1">
        <v>4.21</v>
      </c>
      <c r="AK630" s="1" t="s">
        <v>89</v>
      </c>
      <c r="AL630" s="1" t="s">
        <v>41</v>
      </c>
      <c r="AM630" s="1">
        <v>692.0</v>
      </c>
      <c r="AN630" s="1">
        <v>2021.0</v>
      </c>
      <c r="AO630" s="1">
        <v>2021.0</v>
      </c>
      <c r="AQ630" s="3">
        <v>45168.0</v>
      </c>
      <c r="AR630" s="1" t="s">
        <v>31</v>
      </c>
      <c r="AS630" s="1" t="s">
        <v>2985</v>
      </c>
      <c r="AT630" s="1" t="s">
        <v>31</v>
      </c>
      <c r="AX630" s="1">
        <v>0.0</v>
      </c>
      <c r="AY630" s="1">
        <v>0.0</v>
      </c>
    </row>
    <row r="631" spans="20:51" ht="15.75" hidden="1">
      <c r="T631" s="1">
        <v>5.3137995E7</v>
      </c>
      <c r="U631" s="1"/>
      <c r="V631" s="1"/>
      <c r="W631" s="1"/>
      <c r="X631" s="1"/>
      <c r="Y631" s="1" t="s">
        <v>2986</v>
      </c>
      <c r="Z631" s="1" t="s">
        <v>2987</v>
      </c>
      <c r="AA631" s="1" t="s">
        <v>2988</v>
      </c>
      <c r="AB631" s="1"/>
      <c r="AC631" s="1"/>
      <c r="AD631" s="1"/>
      <c r="AE631" s="1"/>
      <c r="AG631" s="2" t="str">
        <f>"1250267994"</f>
        <v>1250267994</v>
      </c>
      <c r="AH631" s="2" t="str">
        <f>"9781250267993"</f>
        <v>9781250267993</v>
      </c>
      <c r="AI631" s="1">
        <v>0.0</v>
      </c>
      <c r="AJ631" s="1">
        <v>3.82</v>
      </c>
      <c r="AK631" s="1" t="s">
        <v>1998</v>
      </c>
      <c r="AL631" s="1" t="s">
        <v>41</v>
      </c>
      <c r="AM631" s="1">
        <v>304.0</v>
      </c>
      <c r="AN631" s="1">
        <v>2021.0</v>
      </c>
      <c r="AO631" s="1">
        <v>2021.0</v>
      </c>
      <c r="AQ631" s="3">
        <v>45168.0</v>
      </c>
      <c r="AR631" s="1" t="s">
        <v>31</v>
      </c>
      <c r="AS631" s="1" t="s">
        <v>2989</v>
      </c>
      <c r="AT631" s="1" t="s">
        <v>31</v>
      </c>
      <c r="AX631" s="1">
        <v>0.0</v>
      </c>
      <c r="AY631" s="1">
        <v>0.0</v>
      </c>
    </row>
    <row r="632" spans="20:51" ht="15.75" hidden="1">
      <c r="T632" s="1">
        <v>5.502868E7</v>
      </c>
      <c r="U632" s="1"/>
      <c r="V632" s="1"/>
      <c r="W632" s="1"/>
      <c r="X632" s="1"/>
      <c r="Y632" s="1" t="s">
        <v>2990</v>
      </c>
      <c r="Z632" s="1" t="s">
        <v>2991</v>
      </c>
      <c r="AA632" s="1" t="s">
        <v>2992</v>
      </c>
      <c r="AB632" s="1"/>
      <c r="AC632" s="1"/>
      <c r="AD632" s="1"/>
      <c r="AE632" s="1"/>
      <c r="AG632" s="2" t="str">
        <f>"0525577327"</f>
        <v>0525577327</v>
      </c>
      <c r="AH632" s="2" t="str">
        <f>"9780525577324"</f>
        <v>9780525577324</v>
      </c>
      <c r="AI632" s="1">
        <v>0.0</v>
      </c>
      <c r="AJ632" s="1">
        <v>4.29</v>
      </c>
      <c r="AK632" s="1" t="s">
        <v>2993</v>
      </c>
      <c r="AL632" s="1" t="s">
        <v>41</v>
      </c>
      <c r="AM632" s="1">
        <v>288.0</v>
      </c>
      <c r="AN632" s="1">
        <v>2021.0</v>
      </c>
      <c r="AO632" s="1">
        <v>2021.0</v>
      </c>
      <c r="AQ632" s="3">
        <v>45168.0</v>
      </c>
      <c r="AR632" s="1" t="s">
        <v>31</v>
      </c>
      <c r="AS632" s="1" t="s">
        <v>2994</v>
      </c>
      <c r="AT632" s="1" t="s">
        <v>31</v>
      </c>
      <c r="AX632" s="1">
        <v>0.0</v>
      </c>
      <c r="AY632" s="1">
        <v>0.0</v>
      </c>
    </row>
    <row r="633" spans="20:51" ht="15.75" hidden="1">
      <c r="T633" s="1">
        <v>5.0496808E7</v>
      </c>
      <c r="U633" s="1"/>
      <c r="V633" s="1"/>
      <c r="W633" s="1"/>
      <c r="X633" s="1"/>
      <c r="Y633" s="1" t="s">
        <v>2995</v>
      </c>
      <c r="Z633" s="1" t="s">
        <v>2996</v>
      </c>
      <c r="AA633" s="1" t="s">
        <v>2997</v>
      </c>
      <c r="AB633" s="1"/>
      <c r="AC633" s="1"/>
      <c r="AD633" s="1"/>
      <c r="AE633" s="1"/>
      <c r="AF633" s="1" t="s">
        <v>2998</v>
      </c>
      <c r="AG633" s="2" t="str">
        <f>"0062802798"</f>
        <v>0062802798</v>
      </c>
      <c r="AH633" s="2" t="str">
        <f>"9780062802798"</f>
        <v>9780062802798</v>
      </c>
      <c r="AI633" s="1">
        <v>0.0</v>
      </c>
      <c r="AJ633" s="1">
        <v>3.64</v>
      </c>
      <c r="AK633" s="1" t="s">
        <v>187</v>
      </c>
      <c r="AL633" s="1" t="s">
        <v>41</v>
      </c>
      <c r="AM633" s="1">
        <v>480.0</v>
      </c>
      <c r="AN633" s="1">
        <v>2021.0</v>
      </c>
      <c r="AO633" s="1">
        <v>2021.0</v>
      </c>
      <c r="AQ633" s="3">
        <v>45168.0</v>
      </c>
      <c r="AR633" s="1" t="s">
        <v>31</v>
      </c>
      <c r="AS633" s="1" t="s">
        <v>2999</v>
      </c>
      <c r="AT633" s="1" t="s">
        <v>31</v>
      </c>
      <c r="AX633" s="1">
        <v>0.0</v>
      </c>
      <c r="AY633" s="1">
        <v>0.0</v>
      </c>
    </row>
    <row r="634" spans="20:51" ht="15.75" hidden="1">
      <c r="T634" s="1">
        <v>123471.0</v>
      </c>
      <c r="U634" s="1"/>
      <c r="V634" s="1"/>
      <c r="W634" s="1"/>
      <c r="X634" s="1"/>
      <c r="Y634" s="1" t="s">
        <v>3000</v>
      </c>
      <c r="Z634" s="1" t="s">
        <v>2146</v>
      </c>
      <c r="AA634" s="1" t="s">
        <v>2147</v>
      </c>
      <c r="AB634" s="1"/>
      <c r="AC634" s="1"/>
      <c r="AD634" s="1"/>
      <c r="AE634" s="1"/>
      <c r="AG634" s="2" t="str">
        <f>"0465030785"</f>
        <v>0465030785</v>
      </c>
      <c r="AH634" s="2" t="str">
        <f>"9780465030781"</f>
        <v>9780465030781</v>
      </c>
      <c r="AI634" s="1">
        <v>0.0</v>
      </c>
      <c r="AJ634" s="1">
        <v>3.95</v>
      </c>
      <c r="AK634" s="1" t="s">
        <v>46</v>
      </c>
      <c r="AL634" s="1" t="s">
        <v>41</v>
      </c>
      <c r="AM634" s="1">
        <v>436.0</v>
      </c>
      <c r="AN634" s="1">
        <v>2007.0</v>
      </c>
      <c r="AO634" s="1">
        <v>2007.0</v>
      </c>
      <c r="AQ634" s="3">
        <v>45168.0</v>
      </c>
      <c r="AR634" s="1" t="s">
        <v>31</v>
      </c>
      <c r="AS634" s="1" t="s">
        <v>3001</v>
      </c>
      <c r="AT634" s="1" t="s">
        <v>31</v>
      </c>
      <c r="AX634" s="1">
        <v>0.0</v>
      </c>
      <c r="AY634" s="1">
        <v>0.0</v>
      </c>
    </row>
    <row r="635" spans="20:51" ht="15.75" hidden="1">
      <c r="T635" s="1">
        <v>5.6240358E7</v>
      </c>
      <c r="U635" s="1"/>
      <c r="V635" s="1"/>
      <c r="W635" s="1"/>
      <c r="X635" s="1"/>
      <c r="Y635" s="1" t="s">
        <v>3002</v>
      </c>
      <c r="Z635" s="1" t="s">
        <v>3003</v>
      </c>
      <c r="AA635" s="1" t="s">
        <v>3004</v>
      </c>
      <c r="AB635" s="1"/>
      <c r="AC635" s="1"/>
      <c r="AD635" s="1"/>
      <c r="AE635" s="1"/>
      <c r="AG635" s="2" t="str">
        <f>"161185444X"</f>
        <v>161185444X</v>
      </c>
      <c r="AH635" s="2" t="str">
        <f>"9781611854442"</f>
        <v>9781611854442</v>
      </c>
      <c r="AI635" s="1">
        <v>0.0</v>
      </c>
      <c r="AJ635" s="1">
        <v>3.56</v>
      </c>
      <c r="AK635" s="1" t="s">
        <v>3005</v>
      </c>
      <c r="AL635" s="1" t="s">
        <v>28</v>
      </c>
      <c r="AM635" s="1">
        <v>576.0</v>
      </c>
      <c r="AN635" s="1">
        <v>2021.0</v>
      </c>
      <c r="AO635" s="1">
        <v>2021.0</v>
      </c>
      <c r="AQ635" s="3">
        <v>45168.0</v>
      </c>
      <c r="AR635" s="1" t="s">
        <v>31</v>
      </c>
      <c r="AS635" s="1" t="s">
        <v>3006</v>
      </c>
      <c r="AT635" s="1" t="s">
        <v>31</v>
      </c>
      <c r="AX635" s="1">
        <v>0.0</v>
      </c>
      <c r="AY635" s="1">
        <v>0.0</v>
      </c>
    </row>
    <row r="636" spans="20:51" ht="15.75" hidden="1">
      <c r="T636" s="1">
        <v>6617037.0</v>
      </c>
      <c r="U636" s="1"/>
      <c r="V636" s="1"/>
      <c r="W636" s="1"/>
      <c r="X636" s="1"/>
      <c r="Y636" s="1" t="s">
        <v>3007</v>
      </c>
      <c r="Z636" s="1" t="s">
        <v>2982</v>
      </c>
      <c r="AA636" s="1" t="s">
        <v>2983</v>
      </c>
      <c r="AB636" s="1"/>
      <c r="AC636" s="1"/>
      <c r="AD636" s="1"/>
      <c r="AE636" s="1"/>
      <c r="AG636" s="2" t="str">
        <f>"1933633867"</f>
        <v>1933633867</v>
      </c>
      <c r="AH636" s="2" t="str">
        <f>"9781933633862"</f>
        <v>9781933633862</v>
      </c>
      <c r="AI636" s="1">
        <v>0.0</v>
      </c>
      <c r="AJ636" s="1">
        <v>4.21</v>
      </c>
      <c r="AK636" s="1" t="s">
        <v>1708</v>
      </c>
      <c r="AL636" s="1" t="s">
        <v>41</v>
      </c>
      <c r="AM636" s="1">
        <v>534.0</v>
      </c>
      <c r="AN636" s="1">
        <v>2011.0</v>
      </c>
      <c r="AO636" s="1">
        <v>2011.0</v>
      </c>
      <c r="AQ636" s="3">
        <v>45168.0</v>
      </c>
      <c r="AR636" s="1" t="s">
        <v>31</v>
      </c>
      <c r="AS636" s="1" t="s">
        <v>3008</v>
      </c>
      <c r="AT636" s="1" t="s">
        <v>31</v>
      </c>
      <c r="AX636" s="1">
        <v>0.0</v>
      </c>
      <c r="AY636" s="1">
        <v>0.0</v>
      </c>
    </row>
    <row r="637" spans="20:51" ht="15.75" hidden="1">
      <c r="T637" s="1">
        <v>1.1515482E7</v>
      </c>
      <c r="U637" s="1"/>
      <c r="V637" s="1"/>
      <c r="W637" s="1"/>
      <c r="X637" s="1"/>
      <c r="Y637" s="1" t="s">
        <v>3009</v>
      </c>
      <c r="Z637" s="1" t="s">
        <v>3010</v>
      </c>
      <c r="AA637" s="1" t="s">
        <v>3011</v>
      </c>
      <c r="AB637" s="1"/>
      <c r="AC637" s="1"/>
      <c r="AD637" s="1"/>
      <c r="AE637" s="1"/>
      <c r="AG637" s="2" t="str">
        <f>"0226771474"</f>
        <v>0226771474</v>
      </c>
      <c r="AH637" s="2" t="str">
        <f>"9780226771472"</f>
        <v>9780226771472</v>
      </c>
      <c r="AI637" s="1">
        <v>0.0</v>
      </c>
      <c r="AJ637" s="1">
        <v>4.05</v>
      </c>
      <c r="AK637" s="1" t="s">
        <v>224</v>
      </c>
      <c r="AL637" s="1" t="s">
        <v>41</v>
      </c>
      <c r="AM637" s="1">
        <v>264.0</v>
      </c>
      <c r="AN637" s="1">
        <v>2011.0</v>
      </c>
      <c r="AO637" s="1">
        <v>2011.0</v>
      </c>
      <c r="AQ637" s="3">
        <v>45168.0</v>
      </c>
      <c r="AR637" s="1" t="s">
        <v>31</v>
      </c>
      <c r="AS637" s="1" t="s">
        <v>3012</v>
      </c>
      <c r="AT637" s="1" t="s">
        <v>31</v>
      </c>
      <c r="AX637" s="1">
        <v>0.0</v>
      </c>
      <c r="AY637" s="1">
        <v>0.0</v>
      </c>
    </row>
    <row r="638" spans="20:51" ht="15.75" hidden="1">
      <c r="T638" s="1">
        <v>7113640.0</v>
      </c>
      <c r="U638" s="1"/>
      <c r="V638" s="1"/>
      <c r="W638" s="1"/>
      <c r="X638" s="1"/>
      <c r="Y638" s="1" t="s">
        <v>3013</v>
      </c>
      <c r="Z638" s="1" t="s">
        <v>3014</v>
      </c>
      <c r="AA638" s="1" t="s">
        <v>3015</v>
      </c>
      <c r="AB638" s="1"/>
      <c r="AC638" s="1"/>
      <c r="AD638" s="1"/>
      <c r="AE638" s="1"/>
      <c r="AG638" s="2" t="str">
        <f>"0195338286"</f>
        <v>0195338286</v>
      </c>
      <c r="AH638" s="2" t="str">
        <f>"9780195338287"</f>
        <v>9780195338287</v>
      </c>
      <c r="AI638" s="1">
        <v>0.0</v>
      </c>
      <c r="AJ638" s="1">
        <v>3.67</v>
      </c>
      <c r="AK638" s="1" t="s">
        <v>214</v>
      </c>
      <c r="AL638" s="1" t="s">
        <v>41</v>
      </c>
      <c r="AM638" s="1">
        <v>208.0</v>
      </c>
      <c r="AN638" s="1">
        <v>2009.0</v>
      </c>
      <c r="AO638" s="1">
        <v>2008.0</v>
      </c>
      <c r="AQ638" s="3">
        <v>45168.0</v>
      </c>
      <c r="AR638" s="1" t="s">
        <v>31</v>
      </c>
      <c r="AS638" s="1" t="s">
        <v>3016</v>
      </c>
      <c r="AT638" s="1" t="s">
        <v>31</v>
      </c>
      <c r="AX638" s="1">
        <v>0.0</v>
      </c>
      <c r="AY638" s="1">
        <v>0.0</v>
      </c>
    </row>
    <row r="639" spans="20:51" ht="15.75" hidden="1">
      <c r="T639" s="1">
        <v>5.3642061E7</v>
      </c>
      <c r="U639" s="1"/>
      <c r="V639" s="1"/>
      <c r="W639" s="1"/>
      <c r="X639" s="1"/>
      <c r="Y639" s="1" t="s">
        <v>3017</v>
      </c>
      <c r="Z639" s="1" t="s">
        <v>3018</v>
      </c>
      <c r="AA639" s="1" t="s">
        <v>3019</v>
      </c>
      <c r="AB639" s="1"/>
      <c r="AC639" s="1"/>
      <c r="AD639" s="1"/>
      <c r="AE639" s="1"/>
      <c r="AG639" s="2" t="str">
        <f>"0393542017"</f>
        <v>0393542017</v>
      </c>
      <c r="AH639" s="2" t="str">
        <f>"9780393542011"</f>
        <v>9780393542011</v>
      </c>
      <c r="AI639" s="1">
        <v>0.0</v>
      </c>
      <c r="AJ639" s="1">
        <v>4.29</v>
      </c>
      <c r="AK639" s="1" t="s">
        <v>113</v>
      </c>
      <c r="AL639" s="1" t="s">
        <v>41</v>
      </c>
      <c r="AM639" s="1">
        <v>432.0</v>
      </c>
      <c r="AN639" s="1">
        <v>2021.0</v>
      </c>
      <c r="AO639" s="1">
        <v>2021.0</v>
      </c>
      <c r="AQ639" s="3">
        <v>45168.0</v>
      </c>
      <c r="AR639" s="1" t="s">
        <v>31</v>
      </c>
      <c r="AS639" s="1" t="s">
        <v>3020</v>
      </c>
      <c r="AT639" s="1" t="s">
        <v>31</v>
      </c>
      <c r="AX639" s="1">
        <v>0.0</v>
      </c>
      <c r="AY639" s="1">
        <v>0.0</v>
      </c>
    </row>
    <row r="640" spans="20:51" ht="15.75" hidden="1">
      <c r="T640" s="1">
        <v>3.1617291E7</v>
      </c>
      <c r="U640" s="1"/>
      <c r="V640" s="1"/>
      <c r="W640" s="1"/>
      <c r="X640" s="1"/>
      <c r="Y640" s="1" t="s">
        <v>3021</v>
      </c>
      <c r="Z640" s="1" t="s">
        <v>3022</v>
      </c>
      <c r="AA640" s="1" t="s">
        <v>3023</v>
      </c>
      <c r="AB640" s="1"/>
      <c r="AC640" s="1"/>
      <c r="AD640" s="1"/>
      <c r="AE640" s="1"/>
      <c r="AG640" s="2" t="str">
        <f>"147389252X"</f>
        <v>147389252X</v>
      </c>
      <c r="AH640" s="2" t="str">
        <f>"9781473892521"</f>
        <v>9781473892521</v>
      </c>
      <c r="AI640" s="1">
        <v>0.0</v>
      </c>
      <c r="AJ640" s="1">
        <v>3.4</v>
      </c>
      <c r="AK640" s="1" t="s">
        <v>3024</v>
      </c>
      <c r="AL640" s="1" t="s">
        <v>28</v>
      </c>
      <c r="AM640" s="1">
        <v>256.0</v>
      </c>
      <c r="AN640" s="1">
        <v>2017.0</v>
      </c>
      <c r="AQ640" s="3">
        <v>45168.0</v>
      </c>
      <c r="AR640" s="1" t="s">
        <v>31</v>
      </c>
      <c r="AS640" s="1" t="s">
        <v>3025</v>
      </c>
      <c r="AT640" s="1" t="s">
        <v>31</v>
      </c>
      <c r="AX640" s="1">
        <v>0.0</v>
      </c>
      <c r="AY640" s="1">
        <v>0.0</v>
      </c>
    </row>
    <row r="641" spans="20:51" ht="15.75" hidden="1">
      <c r="T641" s="1">
        <v>6.1195296E7</v>
      </c>
      <c r="U641" s="1"/>
      <c r="V641" s="1"/>
      <c r="W641" s="1"/>
      <c r="X641" s="1"/>
      <c r="Y641" s="1" t="s">
        <v>3026</v>
      </c>
      <c r="Z641" s="1" t="s">
        <v>3027</v>
      </c>
      <c r="AA641" s="1" t="s">
        <v>3028</v>
      </c>
      <c r="AB641" s="1"/>
      <c r="AC641" s="1"/>
      <c r="AD641" s="1"/>
      <c r="AE641" s="1"/>
      <c r="AG641" s="2" t="str">
        <f>"059331705X"</f>
        <v>059331705X</v>
      </c>
      <c r="AH641" s="2" t="str">
        <f>"9780593317051"</f>
        <v>9780593317051</v>
      </c>
      <c r="AI641" s="1">
        <v>0.0</v>
      </c>
      <c r="AJ641" s="1">
        <v>3.71</v>
      </c>
      <c r="AK641" s="1" t="s">
        <v>2550</v>
      </c>
      <c r="AL641" s="1" t="s">
        <v>41</v>
      </c>
      <c r="AM641" s="1">
        <v>431.0</v>
      </c>
      <c r="AN641" s="1">
        <v>2023.0</v>
      </c>
      <c r="AO641" s="1">
        <v>2023.0</v>
      </c>
      <c r="AQ641" s="3">
        <v>45168.0</v>
      </c>
      <c r="AR641" s="1" t="s">
        <v>31</v>
      </c>
      <c r="AS641" s="1" t="s">
        <v>3029</v>
      </c>
      <c r="AT641" s="1" t="s">
        <v>31</v>
      </c>
      <c r="AX641" s="1">
        <v>0.0</v>
      </c>
      <c r="AY641" s="1">
        <v>0.0</v>
      </c>
    </row>
    <row r="642" spans="20:51" ht="15.75" hidden="1">
      <c r="T642" s="1">
        <v>153275.0</v>
      </c>
      <c r="U642" s="1"/>
      <c r="V642" s="1"/>
      <c r="W642" s="1"/>
      <c r="X642" s="1"/>
      <c r="Y642" s="1" t="s">
        <v>3030</v>
      </c>
      <c r="Z642" s="1" t="s">
        <v>3014</v>
      </c>
      <c r="AA642" s="1" t="s">
        <v>3015</v>
      </c>
      <c r="AB642" s="1"/>
      <c r="AC642" s="1"/>
      <c r="AD642" s="1"/>
      <c r="AE642" s="1"/>
      <c r="AG642" s="2" t="str">
        <f>"0195151658"</f>
        <v>0195151658</v>
      </c>
      <c r="AH642" s="2" t="str">
        <f>"9780195151657"</f>
        <v>9780195151657</v>
      </c>
      <c r="AI642" s="1">
        <v>0.0</v>
      </c>
      <c r="AJ642" s="1">
        <v>4.13</v>
      </c>
      <c r="AK642" s="1" t="s">
        <v>214</v>
      </c>
      <c r="AL642" s="1" t="s">
        <v>28</v>
      </c>
      <c r="AM642" s="1">
        <v>392.0</v>
      </c>
      <c r="AN642" s="1">
        <v>2002.0</v>
      </c>
      <c r="AO642" s="1">
        <v>2000.0</v>
      </c>
      <c r="AQ642" s="3">
        <v>45167.0</v>
      </c>
      <c r="AR642" s="1" t="s">
        <v>31</v>
      </c>
      <c r="AS642" s="1" t="s">
        <v>3031</v>
      </c>
      <c r="AT642" s="1" t="s">
        <v>31</v>
      </c>
      <c r="AX642" s="1">
        <v>0.0</v>
      </c>
      <c r="AY642" s="1">
        <v>0.0</v>
      </c>
    </row>
    <row r="643" spans="20:51" ht="15.75" hidden="1">
      <c r="T643" s="1">
        <v>1448484.0</v>
      </c>
      <c r="U643" s="1"/>
      <c r="V643" s="1"/>
      <c r="W643" s="1"/>
      <c r="X643" s="1"/>
      <c r="Y643" s="1" t="s">
        <v>3032</v>
      </c>
      <c r="Z643" s="1" t="s">
        <v>3033</v>
      </c>
      <c r="AA643" s="1" t="s">
        <v>3034</v>
      </c>
      <c r="AB643" s="1"/>
      <c r="AC643" s="1"/>
      <c r="AD643" s="1"/>
      <c r="AE643" s="1"/>
      <c r="AG643" s="2" t="str">
        <f>"0300046146"</f>
        <v>0300046146</v>
      </c>
      <c r="AH643" s="2" t="str">
        <f>"9780300046144"</f>
        <v>9780300046144</v>
      </c>
      <c r="AI643" s="1">
        <v>0.0</v>
      </c>
      <c r="AJ643" s="1">
        <v>3.57</v>
      </c>
      <c r="AK643" s="1" t="s">
        <v>545</v>
      </c>
      <c r="AL643" s="1" t="s">
        <v>28</v>
      </c>
      <c r="AN643" s="1">
        <v>1990.0</v>
      </c>
      <c r="AO643" s="1">
        <v>1986.0</v>
      </c>
      <c r="AQ643" s="3">
        <v>45167.0</v>
      </c>
      <c r="AR643" s="1" t="s">
        <v>31</v>
      </c>
      <c r="AS643" s="1" t="s">
        <v>3035</v>
      </c>
      <c r="AT643" s="1" t="s">
        <v>31</v>
      </c>
      <c r="AX643" s="1">
        <v>0.0</v>
      </c>
      <c r="AY643" s="1">
        <v>0.0</v>
      </c>
    </row>
    <row r="644" spans="20:51" ht="15.75" hidden="1">
      <c r="T644" s="1">
        <v>254497.0</v>
      </c>
      <c r="U644" s="1"/>
      <c r="V644" s="1"/>
      <c r="W644" s="1"/>
      <c r="X644" s="1"/>
      <c r="Y644" s="1" t="s">
        <v>3036</v>
      </c>
      <c r="Z644" s="1" t="s">
        <v>3037</v>
      </c>
      <c r="AA644" s="1" t="s">
        <v>3038</v>
      </c>
      <c r="AB644" s="1"/>
      <c r="AC644" s="1"/>
      <c r="AD644" s="1"/>
      <c r="AE644" s="1"/>
      <c r="AG644" s="2" t="str">
        <f>"0192805851"</f>
        <v>0192805851</v>
      </c>
      <c r="AH644" s="2" t="str">
        <f>"9780192805850"</f>
        <v>9780192805850</v>
      </c>
      <c r="AI644" s="1">
        <v>0.0</v>
      </c>
      <c r="AJ644" s="1">
        <v>3.82</v>
      </c>
      <c r="AK644" s="1" t="s">
        <v>214</v>
      </c>
      <c r="AL644" s="1" t="s">
        <v>28</v>
      </c>
      <c r="AM644" s="1">
        <v>146.0</v>
      </c>
      <c r="AN644" s="1">
        <v>2005.0</v>
      </c>
      <c r="AO644" s="1">
        <v>2003.0</v>
      </c>
      <c r="AQ644" s="3">
        <v>45167.0</v>
      </c>
      <c r="AR644" s="1" t="s">
        <v>31</v>
      </c>
      <c r="AS644" s="1" t="s">
        <v>3039</v>
      </c>
      <c r="AT644" s="1" t="s">
        <v>31</v>
      </c>
      <c r="AX644" s="1">
        <v>0.0</v>
      </c>
      <c r="AY644" s="1">
        <v>0.0</v>
      </c>
    </row>
    <row r="645" spans="20:51" ht="15.75" hidden="1">
      <c r="T645" s="1">
        <v>51905.0</v>
      </c>
      <c r="U645" s="1"/>
      <c r="V645" s="1"/>
      <c r="W645" s="1"/>
      <c r="X645" s="1"/>
      <c r="Y645" s="1" t="s">
        <v>3040</v>
      </c>
      <c r="Z645" s="1" t="s">
        <v>3041</v>
      </c>
      <c r="AA645" s="1" t="s">
        <v>3042</v>
      </c>
      <c r="AB645" s="1"/>
      <c r="AC645" s="1"/>
      <c r="AD645" s="1"/>
      <c r="AE645" s="1"/>
      <c r="AG645" s="2" t="str">
        <f>"0195157346"</f>
        <v>0195157346</v>
      </c>
      <c r="AH645" s="2" t="str">
        <f>"9780195157345"</f>
        <v>9780195157345</v>
      </c>
      <c r="AI645" s="1">
        <v>0.0</v>
      </c>
      <c r="AJ645" s="1">
        <v>3.87</v>
      </c>
      <c r="AK645" s="1" t="s">
        <v>214</v>
      </c>
      <c r="AL645" s="1" t="s">
        <v>28</v>
      </c>
      <c r="AM645" s="1">
        <v>224.0</v>
      </c>
      <c r="AN645" s="1">
        <v>2005.0</v>
      </c>
      <c r="AO645" s="1">
        <v>2004.0</v>
      </c>
      <c r="AQ645" s="3">
        <v>45167.0</v>
      </c>
      <c r="AR645" s="1" t="s">
        <v>31</v>
      </c>
      <c r="AS645" s="1" t="s">
        <v>3043</v>
      </c>
      <c r="AT645" s="1" t="s">
        <v>31</v>
      </c>
      <c r="AX645" s="1">
        <v>0.0</v>
      </c>
      <c r="AY645" s="1">
        <v>0.0</v>
      </c>
    </row>
    <row r="646" spans="20:51" ht="15.75" hidden="1">
      <c r="T646" s="1">
        <v>5.9808264E7</v>
      </c>
      <c r="U646" s="1"/>
      <c r="V646" s="1"/>
      <c r="W646" s="1"/>
      <c r="X646" s="1"/>
      <c r="Y646" s="1" t="s">
        <v>3044</v>
      </c>
      <c r="Z646" s="1" t="s">
        <v>3045</v>
      </c>
      <c r="AA646" s="1" t="s">
        <v>3046</v>
      </c>
      <c r="AB646" s="1"/>
      <c r="AC646" s="1"/>
      <c r="AD646" s="1"/>
      <c r="AE646" s="1"/>
      <c r="AG646" s="2" t="str">
        <f>"1250151171"</f>
        <v>1250151171</v>
      </c>
      <c r="AH646" s="2" t="str">
        <f>"9781250151179"</f>
        <v>9781250151179</v>
      </c>
      <c r="AI646" s="1">
        <v>0.0</v>
      </c>
      <c r="AJ646" s="1">
        <v>3.5</v>
      </c>
      <c r="AK646" s="1" t="s">
        <v>1998</v>
      </c>
      <c r="AL646" s="1" t="s">
        <v>41</v>
      </c>
      <c r="AM646" s="1">
        <v>272.0</v>
      </c>
      <c r="AN646" s="1">
        <v>2022.0</v>
      </c>
      <c r="AO646" s="1">
        <v>2022.0</v>
      </c>
      <c r="AQ646" s="3">
        <v>45167.0</v>
      </c>
      <c r="AR646" s="1" t="s">
        <v>31</v>
      </c>
      <c r="AS646" s="1" t="s">
        <v>3047</v>
      </c>
      <c r="AT646" s="1" t="s">
        <v>31</v>
      </c>
      <c r="AX646" s="1">
        <v>0.0</v>
      </c>
      <c r="AY646" s="1">
        <v>0.0</v>
      </c>
    </row>
    <row r="647" spans="20:51" ht="15.75" hidden="1">
      <c r="T647" s="1">
        <v>10503.0</v>
      </c>
      <c r="U647" s="1"/>
      <c r="V647" s="1"/>
      <c r="W647" s="1"/>
      <c r="X647" s="1"/>
      <c r="Y647" s="1" t="s">
        <v>3048</v>
      </c>
      <c r="Z647" s="1" t="s">
        <v>3049</v>
      </c>
      <c r="AA647" s="1" t="s">
        <v>3050</v>
      </c>
      <c r="AB647" s="1"/>
      <c r="AC647" s="1"/>
      <c r="AD647" s="1"/>
      <c r="AE647" s="1"/>
      <c r="AF647" s="1" t="s">
        <v>3051</v>
      </c>
      <c r="AG647" s="2" t="str">
        <f>"0156030438"</f>
        <v>0156030438</v>
      </c>
      <c r="AH647" s="2" t="str">
        <f>"9780156030434"</f>
        <v>9780156030434</v>
      </c>
      <c r="AI647" s="1">
        <v>0.0</v>
      </c>
      <c r="AJ647" s="1">
        <v>3.38</v>
      </c>
      <c r="AK647" s="1" t="s">
        <v>2685</v>
      </c>
      <c r="AL647" s="1" t="s">
        <v>28</v>
      </c>
      <c r="AM647" s="1">
        <v>469.0</v>
      </c>
      <c r="AN647" s="1">
        <v>2006.0</v>
      </c>
      <c r="AO647" s="1">
        <v>2004.0</v>
      </c>
      <c r="AQ647" s="3">
        <v>45167.0</v>
      </c>
      <c r="AR647" s="1" t="s">
        <v>31</v>
      </c>
      <c r="AS647" s="1" t="s">
        <v>3052</v>
      </c>
      <c r="AT647" s="1" t="s">
        <v>31</v>
      </c>
      <c r="AX647" s="1">
        <v>0.0</v>
      </c>
      <c r="AY647" s="1">
        <v>0.0</v>
      </c>
    </row>
    <row r="648" spans="20:51" ht="15.75" hidden="1">
      <c r="T648" s="1">
        <v>465114.0</v>
      </c>
      <c r="U648" s="1"/>
      <c r="V648" s="1"/>
      <c r="W648" s="1"/>
      <c r="X648" s="1"/>
      <c r="Y648" s="1" t="s">
        <v>3053</v>
      </c>
      <c r="Z648" s="1" t="s">
        <v>3054</v>
      </c>
      <c r="AA648" s="1" t="s">
        <v>3055</v>
      </c>
      <c r="AB648" s="1"/>
      <c r="AC648" s="1"/>
      <c r="AD648" s="1"/>
      <c r="AE648" s="1"/>
      <c r="AF648" s="1" t="s">
        <v>3056</v>
      </c>
      <c r="AG648" s="2" t="str">
        <f>"1564780708"</f>
        <v>1564780708</v>
      </c>
      <c r="AH648" s="2" t="str">
        <f>"9781564780706"</f>
        <v>9781564780706</v>
      </c>
      <c r="AI648" s="1">
        <v>0.0</v>
      </c>
      <c r="AJ648" s="1">
        <v>3.36</v>
      </c>
      <c r="AK648" s="1" t="s">
        <v>27</v>
      </c>
      <c r="AL648" s="1" t="s">
        <v>28</v>
      </c>
      <c r="AM648" s="1">
        <v>208.0</v>
      </c>
      <c r="AN648" s="1">
        <v>1993.0</v>
      </c>
      <c r="AO648" s="1">
        <v>1993.0</v>
      </c>
      <c r="AQ648" s="3">
        <v>45167.0</v>
      </c>
      <c r="AR648" s="1" t="s">
        <v>31</v>
      </c>
      <c r="AS648" s="1" t="s">
        <v>3057</v>
      </c>
      <c r="AT648" s="1" t="s">
        <v>31</v>
      </c>
      <c r="AX648" s="1">
        <v>0.0</v>
      </c>
      <c r="AY648" s="1">
        <v>0.0</v>
      </c>
    </row>
    <row r="649" spans="20:51" ht="15.75" hidden="1">
      <c r="T649" s="1">
        <v>23257.0</v>
      </c>
      <c r="U649" s="1"/>
      <c r="V649" s="1"/>
      <c r="W649" s="1"/>
      <c r="X649" s="1"/>
      <c r="Y649" s="1" t="s">
        <v>3058</v>
      </c>
      <c r="Z649" s="1" t="s">
        <v>3059</v>
      </c>
      <c r="AA649" s="1" t="s">
        <v>3060</v>
      </c>
      <c r="AB649" s="1"/>
      <c r="AC649" s="1"/>
      <c r="AD649" s="1"/>
      <c r="AE649" s="1"/>
      <c r="AG649" s="2" t="str">
        <f>"019289322X"</f>
        <v>019289322X</v>
      </c>
      <c r="AH649" s="2" t="str">
        <f>"9780192893222"</f>
        <v>9780192893222</v>
      </c>
      <c r="AI649" s="1">
        <v>0.0</v>
      </c>
      <c r="AJ649" s="1">
        <v>4.05</v>
      </c>
      <c r="AK649" s="1" t="s">
        <v>214</v>
      </c>
      <c r="AL649" s="1" t="s">
        <v>28</v>
      </c>
      <c r="AM649" s="1">
        <v>352.0</v>
      </c>
      <c r="AN649" s="1">
        <v>2001.0</v>
      </c>
      <c r="AO649" s="1">
        <v>1987.0</v>
      </c>
      <c r="AQ649" s="3">
        <v>45167.0</v>
      </c>
      <c r="AR649" s="1" t="s">
        <v>31</v>
      </c>
      <c r="AS649" s="1" t="s">
        <v>3061</v>
      </c>
      <c r="AT649" s="1" t="s">
        <v>31</v>
      </c>
      <c r="AX649" s="1">
        <v>0.0</v>
      </c>
      <c r="AY649" s="1">
        <v>0.0</v>
      </c>
    </row>
    <row r="650" spans="20:51" ht="15.75" hidden="1">
      <c r="T650" s="1">
        <v>9160457.0</v>
      </c>
      <c r="U650" s="1"/>
      <c r="V650" s="1"/>
      <c r="W650" s="1"/>
      <c r="X650" s="1"/>
      <c r="Y650" s="1" t="s">
        <v>3062</v>
      </c>
      <c r="Z650" s="1" t="s">
        <v>3037</v>
      </c>
      <c r="AA650" s="1" t="s">
        <v>3038</v>
      </c>
      <c r="AB650" s="1"/>
      <c r="AC650" s="1"/>
      <c r="AD650" s="1"/>
      <c r="AE650" s="1"/>
      <c r="AG650" s="2" t="str">
        <f>"144410487X"</f>
        <v>144410487X</v>
      </c>
      <c r="AH650" s="2" t="str">
        <f>"9781444104875"</f>
        <v>9781444104875</v>
      </c>
      <c r="AI650" s="1">
        <v>0.0</v>
      </c>
      <c r="AJ650" s="1">
        <v>4.16</v>
      </c>
      <c r="AK650" s="1" t="s">
        <v>3063</v>
      </c>
      <c r="AL650" s="1" t="s">
        <v>28</v>
      </c>
      <c r="AM650" s="1">
        <v>496.0</v>
      </c>
      <c r="AN650" s="1">
        <v>2007.0</v>
      </c>
      <c r="AO650" s="1">
        <v>2003.0</v>
      </c>
      <c r="AQ650" s="3">
        <v>45167.0</v>
      </c>
      <c r="AR650" s="1" t="s">
        <v>31</v>
      </c>
      <c r="AS650" s="1" t="s">
        <v>3064</v>
      </c>
      <c r="AT650" s="1" t="s">
        <v>31</v>
      </c>
      <c r="AX650" s="1">
        <v>0.0</v>
      </c>
      <c r="AY650" s="1">
        <v>0.0</v>
      </c>
    </row>
    <row r="651" spans="20:51" ht="15.75" hidden="1">
      <c r="T651" s="1">
        <v>83017.0</v>
      </c>
      <c r="U651" s="1"/>
      <c r="V651" s="1"/>
      <c r="W651" s="1"/>
      <c r="X651" s="1"/>
      <c r="Y651" s="1" t="s">
        <v>3065</v>
      </c>
      <c r="Z651" s="1" t="s">
        <v>1646</v>
      </c>
      <c r="AA651" s="1" t="s">
        <v>1647</v>
      </c>
      <c r="AB651" s="1"/>
      <c r="AC651" s="1"/>
      <c r="AD651" s="1"/>
      <c r="AE651" s="1"/>
      <c r="AF651" s="1" t="s">
        <v>3066</v>
      </c>
      <c r="AG651" s="2" t="str">
        <f>"1567923046"</f>
        <v>1567923046</v>
      </c>
      <c r="AH651" s="2" t="str">
        <f>"9781567923049"</f>
        <v>9781567923049</v>
      </c>
      <c r="AI651" s="1">
        <v>0.0</v>
      </c>
      <c r="AJ651" s="1">
        <v>4.2</v>
      </c>
      <c r="AK651" s="1" t="s">
        <v>3067</v>
      </c>
      <c r="AL651" s="1" t="s">
        <v>28</v>
      </c>
      <c r="AM651" s="1">
        <v>198.0</v>
      </c>
      <c r="AN651" s="1">
        <v>2005.0</v>
      </c>
      <c r="AO651" s="1">
        <v>1940.0</v>
      </c>
      <c r="AQ651" s="3">
        <v>45167.0</v>
      </c>
      <c r="AR651" s="1" t="s">
        <v>31</v>
      </c>
      <c r="AS651" s="1" t="s">
        <v>3068</v>
      </c>
      <c r="AT651" s="1" t="s">
        <v>31</v>
      </c>
      <c r="AX651" s="1">
        <v>0.0</v>
      </c>
      <c r="AY651" s="1">
        <v>0.0</v>
      </c>
    </row>
    <row r="652" spans="20:51" ht="15.75" hidden="1">
      <c r="T652" s="1">
        <v>340577.0</v>
      </c>
      <c r="U652" s="1"/>
      <c r="V652" s="1"/>
      <c r="W652" s="1"/>
      <c r="X652" s="1"/>
      <c r="Y652" s="1" t="s">
        <v>3069</v>
      </c>
      <c r="Z652" s="1" t="s">
        <v>3070</v>
      </c>
      <c r="AA652" s="1" t="s">
        <v>3071</v>
      </c>
      <c r="AB652" s="1"/>
      <c r="AC652" s="1"/>
      <c r="AD652" s="1"/>
      <c r="AE652" s="1"/>
      <c r="AG652" s="2" t="str">
        <f>"0393319806"</f>
        <v>0393319806</v>
      </c>
      <c r="AH652" s="2" t="str">
        <f>"9780393319804"</f>
        <v>9780393319804</v>
      </c>
      <c r="AI652" s="1">
        <v>0.0</v>
      </c>
      <c r="AJ652" s="1">
        <v>4.04</v>
      </c>
      <c r="AK652" s="1" t="s">
        <v>113</v>
      </c>
      <c r="AL652" s="1" t="s">
        <v>28</v>
      </c>
      <c r="AM652" s="1">
        <v>872.0</v>
      </c>
      <c r="AN652" s="1">
        <v>1999.0</v>
      </c>
      <c r="AO652" s="1">
        <v>1997.0</v>
      </c>
      <c r="AQ652" s="3">
        <v>45166.0</v>
      </c>
      <c r="AR652" s="1" t="s">
        <v>31</v>
      </c>
      <c r="AS652" s="1" t="s">
        <v>3072</v>
      </c>
      <c r="AT652" s="1" t="s">
        <v>31</v>
      </c>
      <c r="AX652" s="1">
        <v>0.0</v>
      </c>
      <c r="AY652" s="1">
        <v>0.0</v>
      </c>
    </row>
    <row r="653" spans="20:51" ht="15.75" hidden="1">
      <c r="T653" s="1">
        <v>60656.0</v>
      </c>
      <c r="U653" s="1"/>
      <c r="V653" s="1"/>
      <c r="W653" s="1"/>
      <c r="X653" s="1"/>
      <c r="Y653" s="1" t="s">
        <v>3073</v>
      </c>
      <c r="Z653" s="1" t="s">
        <v>3074</v>
      </c>
      <c r="AA653" s="1" t="s">
        <v>3075</v>
      </c>
      <c r="AB653" s="1"/>
      <c r="AC653" s="1"/>
      <c r="AD653" s="1"/>
      <c r="AE653" s="1"/>
      <c r="AG653" s="2" t="str">
        <f>"067972849X"</f>
        <v>067972849X</v>
      </c>
      <c r="AH653" s="2" t="str">
        <f>"9780679728498"</f>
        <v>9780679728498</v>
      </c>
      <c r="AI653" s="1">
        <v>0.0</v>
      </c>
      <c r="AJ653" s="1">
        <v>4.08</v>
      </c>
      <c r="AK653" s="1" t="s">
        <v>83</v>
      </c>
      <c r="AL653" s="1" t="s">
        <v>28</v>
      </c>
      <c r="AM653" s="1">
        <v>368.0</v>
      </c>
      <c r="AN653" s="1">
        <v>1991.0</v>
      </c>
      <c r="AO653" s="1">
        <v>1977.0</v>
      </c>
      <c r="AQ653" s="3">
        <v>45166.0</v>
      </c>
      <c r="AR653" s="1" t="s">
        <v>31</v>
      </c>
      <c r="AS653" s="1" t="s">
        <v>3076</v>
      </c>
      <c r="AT653" s="1" t="s">
        <v>31</v>
      </c>
      <c r="AX653" s="1">
        <v>0.0</v>
      </c>
      <c r="AY653" s="1">
        <v>0.0</v>
      </c>
    </row>
    <row r="654" spans="20:51" ht="15.75" hidden="1">
      <c r="T654" s="1">
        <v>846264.0</v>
      </c>
      <c r="U654" s="1"/>
      <c r="V654" s="1"/>
      <c r="W654" s="1"/>
      <c r="X654" s="1"/>
      <c r="Y654" s="1" t="s">
        <v>3077</v>
      </c>
      <c r="Z654" s="1" t="s">
        <v>3078</v>
      </c>
      <c r="AA654" s="1" t="s">
        <v>3079</v>
      </c>
      <c r="AB654" s="1"/>
      <c r="AC654" s="1"/>
      <c r="AD654" s="1"/>
      <c r="AE654" s="1"/>
      <c r="AG654" s="2" t="str">
        <f>"0140120815"</f>
        <v>0140120815</v>
      </c>
      <c r="AH654" s="2" t="str">
        <f>"9780140120813"</f>
        <v>9780140120813</v>
      </c>
      <c r="AI654" s="1">
        <v>0.0</v>
      </c>
      <c r="AJ654" s="1">
        <v>4.08</v>
      </c>
      <c r="AK654" s="1" t="s">
        <v>3080</v>
      </c>
      <c r="AL654" s="1" t="s">
        <v>28</v>
      </c>
      <c r="AM654" s="1">
        <v>368.0</v>
      </c>
      <c r="AN654" s="1">
        <v>1990.0</v>
      </c>
      <c r="AO654" s="1">
        <v>1960.0</v>
      </c>
      <c r="AQ654" s="3">
        <v>45166.0</v>
      </c>
      <c r="AR654" s="1" t="s">
        <v>31</v>
      </c>
      <c r="AS654" s="1" t="s">
        <v>3081</v>
      </c>
      <c r="AT654" s="1" t="s">
        <v>31</v>
      </c>
      <c r="AX654" s="1">
        <v>0.0</v>
      </c>
      <c r="AY654" s="1">
        <v>0.0</v>
      </c>
    </row>
    <row r="655" spans="20:51" ht="15.75" hidden="1">
      <c r="T655" s="1">
        <v>6657509.0</v>
      </c>
      <c r="U655" s="1"/>
      <c r="V655" s="1"/>
      <c r="W655" s="1"/>
      <c r="X655" s="1"/>
      <c r="Y655" s="1" t="s">
        <v>3082</v>
      </c>
      <c r="Z655" s="1" t="s">
        <v>3083</v>
      </c>
      <c r="AA655" s="1" t="s">
        <v>3084</v>
      </c>
      <c r="AB655" s="1"/>
      <c r="AC655" s="1"/>
      <c r="AD655" s="1"/>
      <c r="AE655" s="1"/>
      <c r="AG655" s="2" t="str">
        <f>"1846682657"</f>
        <v>1846682657</v>
      </c>
      <c r="AH655" s="2" t="str">
        <f>"9781846682650"</f>
        <v>9781846682650</v>
      </c>
      <c r="AI655" s="1">
        <v>0.0</v>
      </c>
      <c r="AJ655" s="1">
        <v>3.66</v>
      </c>
      <c r="AK655" s="1" t="s">
        <v>3085</v>
      </c>
      <c r="AL655" s="1" t="s">
        <v>41</v>
      </c>
      <c r="AM655" s="1">
        <v>236.0</v>
      </c>
      <c r="AN655" s="1">
        <v>2009.0</v>
      </c>
      <c r="AO655" s="1">
        <v>2009.0</v>
      </c>
      <c r="AQ655" s="3">
        <v>45166.0</v>
      </c>
      <c r="AR655" s="1" t="s">
        <v>31</v>
      </c>
      <c r="AS655" s="1" t="s">
        <v>3086</v>
      </c>
      <c r="AT655" s="1" t="s">
        <v>31</v>
      </c>
      <c r="AX655" s="1">
        <v>0.0</v>
      </c>
      <c r="AY655" s="1">
        <v>0.0</v>
      </c>
    </row>
    <row r="656" spans="20:51" ht="15.75" hidden="1">
      <c r="T656" s="1">
        <v>52375.0</v>
      </c>
      <c r="U656" s="1"/>
      <c r="V656" s="1"/>
      <c r="W656" s="1"/>
      <c r="X656" s="1"/>
      <c r="Y656" s="1" t="s">
        <v>3087</v>
      </c>
      <c r="Z656" s="1" t="s">
        <v>1005</v>
      </c>
      <c r="AA656" s="1" t="s">
        <v>1006</v>
      </c>
      <c r="AB656" s="1"/>
      <c r="AC656" s="1"/>
      <c r="AD656" s="1"/>
      <c r="AE656" s="1"/>
      <c r="AG656" s="2" t="str">
        <f>"0312420137"</f>
        <v>0312420137</v>
      </c>
      <c r="AH656" s="2" t="str">
        <f>"9780312420130"</f>
        <v>9780312420130</v>
      </c>
      <c r="AI656" s="1">
        <v>0.0</v>
      </c>
      <c r="AJ656" s="1">
        <v>3.99</v>
      </c>
      <c r="AK656" s="1" t="s">
        <v>945</v>
      </c>
      <c r="AL656" s="1" t="s">
        <v>28</v>
      </c>
      <c r="AM656" s="1">
        <v>183.0</v>
      </c>
      <c r="AN656" s="1">
        <v>2001.0</v>
      </c>
      <c r="AO656" s="1">
        <v>1989.0</v>
      </c>
      <c r="AQ656" s="3">
        <v>45166.0</v>
      </c>
      <c r="AR656" s="1" t="s">
        <v>31</v>
      </c>
      <c r="AS656" s="1" t="s">
        <v>3088</v>
      </c>
      <c r="AT656" s="1" t="s">
        <v>31</v>
      </c>
      <c r="AX656" s="1">
        <v>0.0</v>
      </c>
      <c r="AY656" s="1">
        <v>0.0</v>
      </c>
    </row>
    <row r="657" spans="20:51" ht="15.75" hidden="1">
      <c r="T657" s="1">
        <v>59925.0</v>
      </c>
      <c r="U657" s="1"/>
      <c r="V657" s="1"/>
      <c r="W657" s="1"/>
      <c r="X657" s="1"/>
      <c r="Y657" s="1" t="s">
        <v>3089</v>
      </c>
      <c r="Z657" s="1" t="s">
        <v>3049</v>
      </c>
      <c r="AA657" s="1" t="s">
        <v>3050</v>
      </c>
      <c r="AB657" s="1"/>
      <c r="AC657" s="1"/>
      <c r="AD657" s="1"/>
      <c r="AE657" s="1"/>
      <c r="AF657" s="1" t="s">
        <v>3090</v>
      </c>
      <c r="AG657" s="2" t="str">
        <f>"015601159X"</f>
        <v>015601159X</v>
      </c>
      <c r="AH657" s="2" t="str">
        <f>"9780156011594"</f>
        <v>9780156011594</v>
      </c>
      <c r="AI657" s="1">
        <v>0.0</v>
      </c>
      <c r="AJ657" s="1">
        <v>3.82</v>
      </c>
      <c r="AK657" s="1" t="s">
        <v>3091</v>
      </c>
      <c r="AL657" s="1" t="s">
        <v>28</v>
      </c>
      <c r="AM657" s="1">
        <v>480.0</v>
      </c>
      <c r="AN657" s="1">
        <v>2000.0</v>
      </c>
      <c r="AO657" s="1">
        <v>1997.0</v>
      </c>
      <c r="AQ657" s="3">
        <v>45166.0</v>
      </c>
      <c r="AR657" s="1" t="s">
        <v>31</v>
      </c>
      <c r="AS657" s="1" t="s">
        <v>3092</v>
      </c>
      <c r="AT657" s="1" t="s">
        <v>31</v>
      </c>
      <c r="AX657" s="1">
        <v>0.0</v>
      </c>
      <c r="AY657" s="1">
        <v>0.0</v>
      </c>
    </row>
    <row r="658" spans="20:51" ht="15.75" hidden="1">
      <c r="T658" s="1">
        <v>9778945.0</v>
      </c>
      <c r="U658" s="1"/>
      <c r="V658" s="1"/>
      <c r="W658" s="1"/>
      <c r="X658" s="1"/>
      <c r="Y658" s="1" t="s">
        <v>3093</v>
      </c>
      <c r="Z658" s="1" t="s">
        <v>3094</v>
      </c>
      <c r="AA658" s="1" t="s">
        <v>3095</v>
      </c>
      <c r="AB658" s="1"/>
      <c r="AC658" s="1"/>
      <c r="AD658" s="1"/>
      <c r="AE658" s="1"/>
      <c r="AG658" s="2" t="str">
        <f>"0393339750"</f>
        <v>0393339750</v>
      </c>
      <c r="AH658" s="2" t="str">
        <f>"9780393339758"</f>
        <v>9780393339758</v>
      </c>
      <c r="AI658" s="1">
        <v>0.0</v>
      </c>
      <c r="AJ658" s="1">
        <v>3.89</v>
      </c>
      <c r="AK658" s="1" t="s">
        <v>113</v>
      </c>
      <c r="AL658" s="1" t="s">
        <v>28</v>
      </c>
      <c r="AM658" s="1">
        <v>280.0</v>
      </c>
      <c r="AN658" s="1">
        <v>2011.0</v>
      </c>
      <c r="AO658" s="1">
        <v>2010.0</v>
      </c>
      <c r="AQ658" s="3">
        <v>45165.0</v>
      </c>
      <c r="AR658" s="1" t="s">
        <v>31</v>
      </c>
      <c r="AS658" s="1" t="s">
        <v>3096</v>
      </c>
      <c r="AT658" s="1" t="s">
        <v>31</v>
      </c>
      <c r="AX658" s="1">
        <v>0.0</v>
      </c>
      <c r="AY658" s="1">
        <v>0.0</v>
      </c>
    </row>
    <row r="659" spans="20:51" ht="15.75" hidden="1">
      <c r="T659" s="1">
        <v>32276.0</v>
      </c>
      <c r="U659" s="1"/>
      <c r="V659" s="1"/>
      <c r="W659" s="1"/>
      <c r="X659" s="1"/>
      <c r="Y659" s="1" t="s">
        <v>3097</v>
      </c>
      <c r="Z659" s="1" t="s">
        <v>3098</v>
      </c>
      <c r="AA659" s="1" t="s">
        <v>3099</v>
      </c>
      <c r="AB659" s="1"/>
      <c r="AC659" s="1"/>
      <c r="AD659" s="1"/>
      <c r="AE659" s="1"/>
      <c r="AG659" s="2" t="str">
        <f>"0345346297"</f>
        <v>0345346297</v>
      </c>
      <c r="AH659" s="2" t="str">
        <f>"9780345346292"</f>
        <v>9780345346292</v>
      </c>
      <c r="AI659" s="1">
        <v>0.0</v>
      </c>
      <c r="AJ659" s="1">
        <v>4.19</v>
      </c>
      <c r="AK659" s="1" t="s">
        <v>3100</v>
      </c>
      <c r="AL659" s="1" t="s">
        <v>28</v>
      </c>
      <c r="AM659" s="1">
        <v>271.0</v>
      </c>
      <c r="AN659" s="1">
        <v>1986.0</v>
      </c>
      <c r="AO659" s="1">
        <v>1977.0</v>
      </c>
      <c r="AQ659" s="3">
        <v>45165.0</v>
      </c>
      <c r="AR659" s="1" t="s">
        <v>31</v>
      </c>
      <c r="AS659" s="1" t="s">
        <v>3101</v>
      </c>
      <c r="AT659" s="1" t="s">
        <v>31</v>
      </c>
      <c r="AX659" s="1">
        <v>0.0</v>
      </c>
      <c r="AY659" s="1">
        <v>0.0</v>
      </c>
    </row>
    <row r="660" spans="20:51" ht="15.75" hidden="1">
      <c r="T660" s="1">
        <v>3.6710811E7</v>
      </c>
      <c r="U660" s="1"/>
      <c r="V660" s="1"/>
      <c r="W660" s="1"/>
      <c r="X660" s="1"/>
      <c r="Y660" s="1" t="s">
        <v>3102</v>
      </c>
      <c r="Z660" s="1" t="s">
        <v>3103</v>
      </c>
      <c r="AA660" s="1" t="s">
        <v>3104</v>
      </c>
      <c r="AB660" s="1"/>
      <c r="AC660" s="1"/>
      <c r="AD660" s="1"/>
      <c r="AE660" s="1"/>
      <c r="AG660" s="2" t="str">
        <f>"1594204225"</f>
        <v>1594204225</v>
      </c>
      <c r="AH660" s="2" t="str">
        <f>"9781594204227"</f>
        <v>9781594204227</v>
      </c>
      <c r="AI660" s="1">
        <v>0.0</v>
      </c>
      <c r="AJ660" s="1">
        <v>4.27</v>
      </c>
      <c r="AK660" s="1" t="s">
        <v>1236</v>
      </c>
      <c r="AL660" s="1" t="s">
        <v>41</v>
      </c>
      <c r="AM660" s="1">
        <v>465.0</v>
      </c>
      <c r="AN660" s="1">
        <v>2018.0</v>
      </c>
      <c r="AO660" s="1">
        <v>2018.0</v>
      </c>
      <c r="AQ660" s="3">
        <v>45165.0</v>
      </c>
      <c r="AR660" s="1" t="s">
        <v>31</v>
      </c>
      <c r="AS660" s="1" t="s">
        <v>3105</v>
      </c>
      <c r="AT660" s="1" t="s">
        <v>31</v>
      </c>
      <c r="AX660" s="1">
        <v>0.0</v>
      </c>
      <c r="AY660" s="1">
        <v>0.0</v>
      </c>
    </row>
    <row r="661" spans="20:51" ht="15.75" hidden="1">
      <c r="T661" s="1">
        <v>607541.0</v>
      </c>
      <c r="U661" s="1"/>
      <c r="V661" s="1"/>
      <c r="W661" s="1"/>
      <c r="X661" s="1"/>
      <c r="Y661" s="1" t="s">
        <v>3106</v>
      </c>
      <c r="Z661" s="1" t="s">
        <v>3107</v>
      </c>
      <c r="AA661" s="1" t="s">
        <v>3108</v>
      </c>
      <c r="AB661" s="1"/>
      <c r="AC661" s="1"/>
      <c r="AD661" s="1"/>
      <c r="AE661" s="1"/>
      <c r="AG661" s="2" t="str">
        <f>"0385314264"</f>
        <v>0385314264</v>
      </c>
      <c r="AH661" s="2" t="str">
        <f>"9780385314268"</f>
        <v>9780385314268</v>
      </c>
      <c r="AI661" s="1">
        <v>0.0</v>
      </c>
      <c r="AJ661" s="1">
        <v>3.87</v>
      </c>
      <c r="AK661" s="1" t="s">
        <v>3109</v>
      </c>
      <c r="AL661" s="1" t="s">
        <v>28</v>
      </c>
      <c r="AM661" s="1">
        <v>352.0</v>
      </c>
      <c r="AN661" s="1">
        <v>1995.0</v>
      </c>
      <c r="AO661" s="1">
        <v>1994.0</v>
      </c>
      <c r="AQ661" s="3">
        <v>45165.0</v>
      </c>
      <c r="AR661" s="1" t="s">
        <v>31</v>
      </c>
      <c r="AS661" s="1" t="s">
        <v>3110</v>
      </c>
      <c r="AT661" s="1" t="s">
        <v>31</v>
      </c>
      <c r="AX661" s="1">
        <v>0.0</v>
      </c>
      <c r="AY661" s="1">
        <v>0.0</v>
      </c>
    </row>
    <row r="662" spans="20:51" ht="15.75" hidden="1">
      <c r="T662" s="1">
        <v>5.3275789E7</v>
      </c>
      <c r="U662" s="1"/>
      <c r="V662" s="1"/>
      <c r="W662" s="1"/>
      <c r="X662" s="1"/>
      <c r="Y662" s="1" t="s">
        <v>3111</v>
      </c>
      <c r="Z662" s="1" t="s">
        <v>3112</v>
      </c>
      <c r="AA662" s="1" t="s">
        <v>3113</v>
      </c>
      <c r="AB662" s="1"/>
      <c r="AC662" s="1"/>
      <c r="AD662" s="1"/>
      <c r="AE662" s="1"/>
      <c r="AG662" s="2" t="str">
        <f>"1509531645"</f>
        <v>1509531645</v>
      </c>
      <c r="AH662" s="2" t="str">
        <f>"9781509531646"</f>
        <v>9781509531646</v>
      </c>
      <c r="AI662" s="1">
        <v>0.0</v>
      </c>
      <c r="AJ662" s="1">
        <v>4.12</v>
      </c>
      <c r="AK662" s="1" t="s">
        <v>2694</v>
      </c>
      <c r="AL662" s="1" t="s">
        <v>41</v>
      </c>
      <c r="AM662" s="1">
        <v>224.0</v>
      </c>
      <c r="AN662" s="1">
        <v>2020.0</v>
      </c>
      <c r="AQ662" s="3">
        <v>45165.0</v>
      </c>
      <c r="AR662" s="1" t="s">
        <v>31</v>
      </c>
      <c r="AS662" s="1" t="s">
        <v>3114</v>
      </c>
      <c r="AT662" s="1" t="s">
        <v>31</v>
      </c>
      <c r="AX662" s="1">
        <v>0.0</v>
      </c>
      <c r="AY662" s="1">
        <v>0.0</v>
      </c>
    </row>
    <row r="663" spans="20:51" ht="15.75" hidden="1">
      <c r="T663" s="1">
        <v>743262.0</v>
      </c>
      <c r="U663" s="1"/>
      <c r="V663" s="1"/>
      <c r="W663" s="1"/>
      <c r="X663" s="1"/>
      <c r="Y663" s="1" t="s">
        <v>3115</v>
      </c>
      <c r="Z663" s="1" t="s">
        <v>3116</v>
      </c>
      <c r="AA663" s="1" t="s">
        <v>3117</v>
      </c>
      <c r="AB663" s="1"/>
      <c r="AC663" s="1"/>
      <c r="AD663" s="1"/>
      <c r="AE663" s="1"/>
      <c r="AG663" s="2" t="str">
        <f>"019512913X"</f>
        <v>019512913X</v>
      </c>
      <c r="AH663" s="2" t="str">
        <f>"9780195129137"</f>
        <v>9780195129137</v>
      </c>
      <c r="AI663" s="1">
        <v>0.0</v>
      </c>
      <c r="AJ663" s="1">
        <v>3.44</v>
      </c>
      <c r="AK663" s="1" t="s">
        <v>214</v>
      </c>
      <c r="AL663" s="1" t="s">
        <v>28</v>
      </c>
      <c r="AM663" s="1">
        <v>336.0</v>
      </c>
      <c r="AN663" s="1">
        <v>1998.0</v>
      </c>
      <c r="AO663" s="1">
        <v>1992.0</v>
      </c>
      <c r="AQ663" s="3">
        <v>45165.0</v>
      </c>
      <c r="AR663" s="1" t="s">
        <v>31</v>
      </c>
      <c r="AS663" s="1" t="s">
        <v>3118</v>
      </c>
      <c r="AT663" s="1" t="s">
        <v>31</v>
      </c>
      <c r="AX663" s="1">
        <v>0.0</v>
      </c>
      <c r="AY663" s="1">
        <v>0.0</v>
      </c>
    </row>
    <row r="664" spans="20:51" ht="15.75" hidden="1">
      <c r="T664" s="1">
        <v>1.2397415E7</v>
      </c>
      <c r="U664" s="1"/>
      <c r="V664" s="1"/>
      <c r="W664" s="1"/>
      <c r="X664" s="1"/>
      <c r="Y664" s="1" t="s">
        <v>3119</v>
      </c>
      <c r="Z664" s="1" t="s">
        <v>3120</v>
      </c>
      <c r="AA664" s="1" t="s">
        <v>3121</v>
      </c>
      <c r="AB664" s="1"/>
      <c r="AC664" s="1"/>
      <c r="AD664" s="1"/>
      <c r="AE664" s="1"/>
      <c r="AG664" s="2" t="str">
        <f>"1616491213"</f>
        <v>1616491213</v>
      </c>
      <c r="AH664" s="2" t="str">
        <f>"9781616491215"</f>
        <v>9781616491215</v>
      </c>
      <c r="AI664" s="1">
        <v>0.0</v>
      </c>
      <c r="AJ664" s="1">
        <v>3.57</v>
      </c>
      <c r="AK664" s="1" t="s">
        <v>3122</v>
      </c>
      <c r="AL664" s="1" t="s">
        <v>28</v>
      </c>
      <c r="AM664" s="1">
        <v>273.0</v>
      </c>
      <c r="AN664" s="1">
        <v>2011.0</v>
      </c>
      <c r="AO664" s="1">
        <v>2011.0</v>
      </c>
      <c r="AQ664" s="3">
        <v>45164.0</v>
      </c>
      <c r="AR664" s="1" t="s">
        <v>31</v>
      </c>
      <c r="AS664" s="1" t="s">
        <v>3123</v>
      </c>
      <c r="AT664" s="1" t="s">
        <v>31</v>
      </c>
      <c r="AX664" s="1">
        <v>0.0</v>
      </c>
      <c r="AY664" s="1">
        <v>0.0</v>
      </c>
    </row>
    <row r="665" spans="20:51" ht="15.75" hidden="1">
      <c r="T665" s="1">
        <v>668802.0</v>
      </c>
      <c r="U665" s="1"/>
      <c r="V665" s="1"/>
      <c r="W665" s="1"/>
      <c r="X665" s="1"/>
      <c r="Y665" s="1" t="s">
        <v>3124</v>
      </c>
      <c r="Z665" s="1" t="s">
        <v>3125</v>
      </c>
      <c r="AA665" s="1" t="s">
        <v>3126</v>
      </c>
      <c r="AB665" s="1"/>
      <c r="AC665" s="1"/>
      <c r="AD665" s="1"/>
      <c r="AE665" s="1"/>
      <c r="AG665" s="2" t="str">
        <f>"0486442187"</f>
        <v>0486442187</v>
      </c>
      <c r="AH665" s="2" t="str">
        <f>"9780486442181"</f>
        <v>9780486442181</v>
      </c>
      <c r="AI665" s="1">
        <v>0.0</v>
      </c>
      <c r="AJ665" s="1">
        <v>3.6</v>
      </c>
      <c r="AK665" s="1" t="s">
        <v>540</v>
      </c>
      <c r="AL665" s="1" t="s">
        <v>28</v>
      </c>
      <c r="AM665" s="1">
        <v>144.0</v>
      </c>
      <c r="AN665" s="1">
        <v>2005.0</v>
      </c>
      <c r="AO665" s="1">
        <v>1937.0</v>
      </c>
      <c r="AQ665" s="3">
        <v>45163.0</v>
      </c>
      <c r="AR665" s="1" t="s">
        <v>3127</v>
      </c>
      <c r="AS665" s="1" t="s">
        <v>3128</v>
      </c>
      <c r="AT665" s="1" t="s">
        <v>31</v>
      </c>
      <c r="AX665" s="1">
        <v>0.0</v>
      </c>
      <c r="AY665" s="1">
        <v>1.0</v>
      </c>
    </row>
    <row r="666" spans="20:51" ht="15.75" hidden="1">
      <c r="T666" s="1">
        <v>1.31613754E8</v>
      </c>
      <c r="U666" s="1"/>
      <c r="V666" s="1"/>
      <c r="W666" s="1"/>
      <c r="X666" s="1"/>
      <c r="Y666" s="1" t="s">
        <v>3129</v>
      </c>
      <c r="Z666" s="1" t="s">
        <v>3130</v>
      </c>
      <c r="AA666" s="1" t="s">
        <v>3131</v>
      </c>
      <c r="AB666" s="1"/>
      <c r="AC666" s="1"/>
      <c r="AD666" s="1"/>
      <c r="AE666" s="1"/>
      <c r="AG666" s="2" t="str">
        <f t="shared" si="38" ref="AG666:AH666">""</f>
        <v/>
      </c>
      <c r="AH666" s="2" t="str">
        <f t="shared" si="38"/>
        <v/>
      </c>
      <c r="AI666" s="1">
        <v>0.0</v>
      </c>
      <c r="AJ666" s="1">
        <v>0.0</v>
      </c>
      <c r="AK666" s="1" t="s">
        <v>3132</v>
      </c>
      <c r="AL666" s="1" t="s">
        <v>28</v>
      </c>
      <c r="AN666" s="1">
        <v>1962.0</v>
      </c>
      <c r="AQ666" s="3">
        <v>45161.0</v>
      </c>
      <c r="AR666" s="1" t="s">
        <v>1988</v>
      </c>
      <c r="AS666" s="1" t="s">
        <v>3133</v>
      </c>
      <c r="AT666" s="1" t="s">
        <v>31</v>
      </c>
      <c r="AW666" s="1" t="s">
        <v>2435</v>
      </c>
      <c r="AX666" s="1">
        <v>0.0</v>
      </c>
      <c r="AY666" s="1">
        <v>1.0</v>
      </c>
    </row>
    <row r="667" spans="20:51" ht="15.75" hidden="1">
      <c r="T667" s="1">
        <v>3.5841005E7</v>
      </c>
      <c r="U667" s="1"/>
      <c r="V667" s="1"/>
      <c r="W667" s="1"/>
      <c r="X667" s="1"/>
      <c r="Y667" s="1" t="s">
        <v>3134</v>
      </c>
      <c r="Z667" s="1" t="s">
        <v>3135</v>
      </c>
      <c r="AA667" s="1" t="s">
        <v>3136</v>
      </c>
      <c r="AB667" s="1"/>
      <c r="AC667" s="1"/>
      <c r="AD667" s="1"/>
      <c r="AE667" s="1"/>
      <c r="AG667" s="2" t="str">
        <f t="shared" si="39" ref="AG667:AH667">""</f>
        <v/>
      </c>
      <c r="AH667" s="2" t="str">
        <f t="shared" si="39"/>
        <v/>
      </c>
      <c r="AI667" s="1">
        <v>0.0</v>
      </c>
      <c r="AJ667" s="1">
        <v>4.27</v>
      </c>
      <c r="AL667" s="1" t="s">
        <v>41</v>
      </c>
      <c r="AM667" s="1">
        <v>308.0</v>
      </c>
      <c r="AN667" s="1">
        <v>2017.0</v>
      </c>
      <c r="AO667" s="1">
        <v>2017.0</v>
      </c>
      <c r="AQ667" s="3">
        <v>45159.0</v>
      </c>
      <c r="AR667" s="1" t="s">
        <v>3137</v>
      </c>
      <c r="AS667" s="1" t="s">
        <v>3138</v>
      </c>
      <c r="AT667" s="1" t="s">
        <v>31</v>
      </c>
      <c r="AX667" s="1">
        <v>0.0</v>
      </c>
      <c r="AY667" s="1">
        <v>1.0</v>
      </c>
    </row>
    <row r="668" spans="20:51" ht="15.75" hidden="1">
      <c r="T668" s="1">
        <v>3.4916749E7</v>
      </c>
      <c r="U668" s="1"/>
      <c r="V668" s="1"/>
      <c r="W668" s="1"/>
      <c r="X668" s="1"/>
      <c r="Y668" s="1" t="s">
        <v>3139</v>
      </c>
      <c r="Z668" s="1" t="s">
        <v>3140</v>
      </c>
      <c r="AA668" s="1" t="s">
        <v>3141</v>
      </c>
      <c r="AB668" s="1"/>
      <c r="AC668" s="1"/>
      <c r="AD668" s="1"/>
      <c r="AE668" s="1"/>
      <c r="AF668" s="1" t="s">
        <v>3142</v>
      </c>
      <c r="AG668" s="2" t="str">
        <f>"0997391642"</f>
        <v>0997391642</v>
      </c>
      <c r="AH668" s="2" t="str">
        <f>"9780997391640"</f>
        <v>9780997391640</v>
      </c>
      <c r="AI668" s="1">
        <v>0.0</v>
      </c>
      <c r="AJ668" s="1">
        <v>5.0</v>
      </c>
      <c r="AK668" s="1" t="s">
        <v>3143</v>
      </c>
      <c r="AL668" s="1" t="s">
        <v>41</v>
      </c>
      <c r="AM668" s="1">
        <v>160.0</v>
      </c>
      <c r="AN668" s="1">
        <v>2017.0</v>
      </c>
      <c r="AQ668" s="3">
        <v>45161.0</v>
      </c>
      <c r="AR668" s="1" t="s">
        <v>3144</v>
      </c>
      <c r="AS668" s="1" t="s">
        <v>3145</v>
      </c>
      <c r="AT668" s="1" t="s">
        <v>31</v>
      </c>
      <c r="AX668" s="1">
        <v>0.0</v>
      </c>
      <c r="AY668" s="1">
        <v>1.0</v>
      </c>
    </row>
    <row r="669" spans="20:51" ht="15.75" hidden="1">
      <c r="T669" s="1">
        <v>5.976704E7</v>
      </c>
      <c r="U669" s="1"/>
      <c r="V669" s="1"/>
      <c r="W669" s="1"/>
      <c r="X669" s="1"/>
      <c r="Y669" s="1" t="s">
        <v>3146</v>
      </c>
      <c r="Z669" s="1" t="s">
        <v>675</v>
      </c>
      <c r="AA669" s="1" t="s">
        <v>676</v>
      </c>
      <c r="AB669" s="1"/>
      <c r="AC669" s="1"/>
      <c r="AD669" s="1"/>
      <c r="AE669" s="1"/>
      <c r="AG669" s="2" t="str">
        <f t="shared" si="40" ref="AG669:AH669">""</f>
        <v/>
      </c>
      <c r="AH669" s="2" t="str">
        <f t="shared" si="40"/>
        <v/>
      </c>
      <c r="AI669" s="1">
        <v>0.0</v>
      </c>
      <c r="AJ669" s="1">
        <v>4.23</v>
      </c>
      <c r="AK669" s="1" t="s">
        <v>3147</v>
      </c>
      <c r="AL669" s="1" t="s">
        <v>41</v>
      </c>
      <c r="AM669" s="1">
        <v>312.0</v>
      </c>
      <c r="AN669" s="1">
        <v>1983.0</v>
      </c>
      <c r="AO669" s="1">
        <v>2007.0</v>
      </c>
      <c r="AQ669" s="3">
        <v>45159.0</v>
      </c>
      <c r="AR669" s="1" t="s">
        <v>3137</v>
      </c>
      <c r="AS669" s="1" t="s">
        <v>3148</v>
      </c>
      <c r="AT669" s="1" t="s">
        <v>31</v>
      </c>
      <c r="AW669" s="1" t="s">
        <v>2435</v>
      </c>
      <c r="AX669" s="1">
        <v>0.0</v>
      </c>
      <c r="AY669" s="1">
        <v>1.0</v>
      </c>
    </row>
    <row r="670" spans="20:51" ht="15.75" hidden="1">
      <c r="T670" s="1">
        <v>7.7449694E7</v>
      </c>
      <c r="U670" s="1"/>
      <c r="V670" s="1"/>
      <c r="W670" s="1"/>
      <c r="X670" s="1"/>
      <c r="Y670" s="1" t="s">
        <v>3149</v>
      </c>
      <c r="Z670" s="1" t="s">
        <v>3150</v>
      </c>
      <c r="AA670" s="1" t="s">
        <v>3151</v>
      </c>
      <c r="AB670" s="1"/>
      <c r="AC670" s="1"/>
      <c r="AD670" s="1"/>
      <c r="AE670" s="1"/>
      <c r="AG670" s="2" t="str">
        <f>"4062617641"</f>
        <v>4062617641</v>
      </c>
      <c r="AH670" s="2" t="str">
        <f>"9784062617642"</f>
        <v>9784062617642</v>
      </c>
      <c r="AI670" s="1">
        <v>0.0</v>
      </c>
      <c r="AJ670" s="1">
        <v>0.0</v>
      </c>
      <c r="AK670" s="1" t="s">
        <v>3152</v>
      </c>
      <c r="AL670" s="1" t="s">
        <v>3153</v>
      </c>
      <c r="AQ670" s="3">
        <v>45137.0</v>
      </c>
      <c r="AR670" s="1" t="s">
        <v>3137</v>
      </c>
      <c r="AS670" s="1" t="s">
        <v>3154</v>
      </c>
      <c r="AT670" s="1" t="s">
        <v>31</v>
      </c>
      <c r="AX670" s="1">
        <v>0.0</v>
      </c>
      <c r="AY670" s="1">
        <v>1.0</v>
      </c>
    </row>
    <row r="671" spans="20:51" ht="15.75" hidden="1">
      <c r="T671" s="1">
        <v>3.1305897E7</v>
      </c>
      <c r="U671" s="1"/>
      <c r="V671" s="1"/>
      <c r="W671" s="1"/>
      <c r="X671" s="1"/>
      <c r="Y671" s="1" t="s">
        <v>3155</v>
      </c>
      <c r="Z671" s="1" t="s">
        <v>3156</v>
      </c>
      <c r="AA671" s="1" t="s">
        <v>3157</v>
      </c>
      <c r="AB671" s="1"/>
      <c r="AC671" s="1"/>
      <c r="AD671" s="1"/>
      <c r="AE671" s="1"/>
      <c r="AG671" s="2" t="str">
        <f>"1571314903"</f>
        <v>1571314903</v>
      </c>
      <c r="AH671" s="2" t="str">
        <f>"9781571314901"</f>
        <v>9781571314901</v>
      </c>
      <c r="AI671" s="1">
        <v>0.0</v>
      </c>
      <c r="AJ671" s="1">
        <v>4.22</v>
      </c>
      <c r="AK671" s="1" t="s">
        <v>3158</v>
      </c>
      <c r="AL671" s="1" t="s">
        <v>41</v>
      </c>
      <c r="AM671" s="1">
        <v>79.0</v>
      </c>
      <c r="AN671" s="1">
        <v>2016.0</v>
      </c>
      <c r="AO671" s="1">
        <v>2016.0</v>
      </c>
      <c r="AQ671" s="3">
        <v>45143.0</v>
      </c>
      <c r="AR671" s="1" t="s">
        <v>3159</v>
      </c>
      <c r="AS671" s="1" t="s">
        <v>3160</v>
      </c>
      <c r="AT671" s="1" t="s">
        <v>31</v>
      </c>
      <c r="AX671" s="1">
        <v>0.0</v>
      </c>
      <c r="AY671" s="1">
        <v>1.0</v>
      </c>
    </row>
    <row r="672" spans="20:51" ht="15.75" hidden="1">
      <c r="T672" s="1">
        <v>2.9362495E7</v>
      </c>
      <c r="U672" s="1"/>
      <c r="V672" s="1"/>
      <c r="W672" s="1"/>
      <c r="X672" s="1"/>
      <c r="Y672" s="1" t="s">
        <v>3161</v>
      </c>
      <c r="Z672" s="1" t="s">
        <v>1256</v>
      </c>
      <c r="AA672" s="1" t="s">
        <v>1257</v>
      </c>
      <c r="AB672" s="1"/>
      <c r="AC672" s="1"/>
      <c r="AD672" s="1"/>
      <c r="AE672" s="1"/>
      <c r="AF672" s="1" t="s">
        <v>3162</v>
      </c>
      <c r="AG672" s="2" t="str">
        <f>"0857423983"</f>
        <v>0857423983</v>
      </c>
      <c r="AH672" s="2" t="str">
        <f>"9780857423986"</f>
        <v>9780857423986</v>
      </c>
      <c r="AI672" s="1">
        <v>0.0</v>
      </c>
      <c r="AJ672" s="1">
        <v>4.18</v>
      </c>
      <c r="AK672" s="1" t="s">
        <v>3163</v>
      </c>
      <c r="AL672" s="1" t="s">
        <v>28</v>
      </c>
      <c r="AM672" s="1">
        <v>352.0</v>
      </c>
      <c r="AN672" s="1">
        <v>2016.0</v>
      </c>
      <c r="AO672" s="1">
        <v>1985.0</v>
      </c>
      <c r="AQ672" s="3">
        <v>45160.0</v>
      </c>
      <c r="AR672" s="1" t="s">
        <v>3164</v>
      </c>
      <c r="AS672" s="1" t="s">
        <v>3165</v>
      </c>
      <c r="AT672" s="1" t="s">
        <v>31</v>
      </c>
      <c r="AX672" s="1">
        <v>0.0</v>
      </c>
      <c r="AY672" s="1">
        <v>1.0</v>
      </c>
    </row>
    <row r="673" spans="20:51" ht="15.75" hidden="1">
      <c r="T673" s="1">
        <v>4.6114267E7</v>
      </c>
      <c r="U673" s="1"/>
      <c r="V673" s="1"/>
      <c r="W673" s="1"/>
      <c r="X673" s="1"/>
      <c r="Y673" s="1" t="s">
        <v>3166</v>
      </c>
      <c r="Z673" s="1" t="s">
        <v>3167</v>
      </c>
      <c r="AA673" s="1" t="s">
        <v>3168</v>
      </c>
      <c r="AB673" s="1"/>
      <c r="AC673" s="1"/>
      <c r="AD673" s="1"/>
      <c r="AE673" s="1"/>
      <c r="AG673" s="2" t="str">
        <f>"1524760838"</f>
        <v>1524760838</v>
      </c>
      <c r="AH673" s="2" t="str">
        <f>"9781524760830"</f>
        <v>9781524760830</v>
      </c>
      <c r="AI673" s="1">
        <v>0.0</v>
      </c>
      <c r="AJ673" s="1">
        <v>4.29</v>
      </c>
      <c r="AK673" s="1" t="s">
        <v>3169</v>
      </c>
      <c r="AL673" s="1" t="s">
        <v>28</v>
      </c>
      <c r="AM673" s="1">
        <v>464.0</v>
      </c>
      <c r="AN673" s="1">
        <v>2019.0</v>
      </c>
      <c r="AO673" s="1">
        <v>2018.0</v>
      </c>
      <c r="AQ673" s="3">
        <v>45132.0</v>
      </c>
      <c r="AR673" s="1" t="s">
        <v>3137</v>
      </c>
      <c r="AS673" s="1" t="s">
        <v>3170</v>
      </c>
      <c r="AT673" s="1" t="s">
        <v>31</v>
      </c>
      <c r="AX673" s="1">
        <v>0.0</v>
      </c>
      <c r="AY673" s="1">
        <v>1.0</v>
      </c>
    </row>
    <row r="674" spans="20:51" ht="15.75" hidden="1">
      <c r="T674" s="1">
        <v>3.8241087E7</v>
      </c>
      <c r="U674" s="1"/>
      <c r="V674" s="1"/>
      <c r="W674" s="1"/>
      <c r="X674" s="1"/>
      <c r="Y674" s="1" t="s">
        <v>3171</v>
      </c>
      <c r="Z674" s="1" t="s">
        <v>2572</v>
      </c>
      <c r="AA674" s="1" t="s">
        <v>2573</v>
      </c>
      <c r="AB674" s="1"/>
      <c r="AC674" s="1"/>
      <c r="AD674" s="1"/>
      <c r="AE674" s="1"/>
      <c r="AF674" s="1" t="s">
        <v>3172</v>
      </c>
      <c r="AG674" s="2" t="str">
        <f>"0892075430"</f>
        <v>0892075430</v>
      </c>
      <c r="AH674" s="2" t="str">
        <f>"9780892075430"</f>
        <v>9780892075430</v>
      </c>
      <c r="AI674" s="1">
        <v>0.0</v>
      </c>
      <c r="AJ674" s="1">
        <v>4.53</v>
      </c>
      <c r="AK674" s="1" t="s">
        <v>3173</v>
      </c>
      <c r="AL674" s="1" t="s">
        <v>41</v>
      </c>
      <c r="AM674" s="1">
        <v>239.0</v>
      </c>
      <c r="AN674" s="1">
        <v>2018.0</v>
      </c>
      <c r="AQ674" s="3">
        <v>45137.0</v>
      </c>
      <c r="AR674" s="1" t="s">
        <v>3144</v>
      </c>
      <c r="AS674" s="1" t="s">
        <v>3174</v>
      </c>
      <c r="AT674" s="1" t="s">
        <v>31</v>
      </c>
      <c r="AX674" s="1">
        <v>0.0</v>
      </c>
      <c r="AY674" s="1">
        <v>1.0</v>
      </c>
    </row>
    <row r="675" spans="20:51" ht="15.75" hidden="1">
      <c r="T675" s="1">
        <v>7.7461454E7</v>
      </c>
      <c r="U675" s="1"/>
      <c r="V675" s="1"/>
      <c r="W675" s="1"/>
      <c r="X675" s="1"/>
      <c r="Y675" s="1" t="s">
        <v>3175</v>
      </c>
      <c r="Z675" s="1" t="s">
        <v>3176</v>
      </c>
      <c r="AA675" s="1" t="s">
        <v>3177</v>
      </c>
      <c r="AB675" s="1"/>
      <c r="AC675" s="1"/>
      <c r="AD675" s="1"/>
      <c r="AE675" s="1"/>
      <c r="AG675" s="2" t="str">
        <f>"4062617625"</f>
        <v>4062617625</v>
      </c>
      <c r="AH675" s="2" t="str">
        <f>"9784062617628"</f>
        <v>9784062617628</v>
      </c>
      <c r="AI675" s="1">
        <v>0.0</v>
      </c>
      <c r="AJ675" s="1">
        <v>0.0</v>
      </c>
      <c r="AK675" s="1" t="s">
        <v>3152</v>
      </c>
      <c r="AL675" s="1" t="s">
        <v>3153</v>
      </c>
      <c r="AQ675" s="3">
        <v>45137.0</v>
      </c>
      <c r="AR675" s="1" t="s">
        <v>3137</v>
      </c>
      <c r="AS675" s="1" t="s">
        <v>3178</v>
      </c>
      <c r="AT675" s="1" t="s">
        <v>31</v>
      </c>
      <c r="AX675" s="1">
        <v>0.0</v>
      </c>
      <c r="AY675" s="1">
        <v>1.0</v>
      </c>
    </row>
    <row r="676" spans="20:51" ht="15.75" hidden="1">
      <c r="T676" s="1">
        <v>5.3483643E7</v>
      </c>
      <c r="U676" s="1"/>
      <c r="V676" s="1"/>
      <c r="W676" s="1"/>
      <c r="X676" s="1"/>
      <c r="Y676" s="1" t="s">
        <v>3179</v>
      </c>
      <c r="Z676" s="1" t="s">
        <v>3180</v>
      </c>
      <c r="AA676" s="1" t="s">
        <v>3181</v>
      </c>
      <c r="AB676" s="1"/>
      <c r="AC676" s="1"/>
      <c r="AD676" s="1"/>
      <c r="AE676" s="1"/>
      <c r="AG676" s="2" t="str">
        <f>"1484259971"</f>
        <v>1484259971</v>
      </c>
      <c r="AH676" s="2" t="str">
        <f>"9781484259979"</f>
        <v>9781484259979</v>
      </c>
      <c r="AI676" s="1">
        <v>0.0</v>
      </c>
      <c r="AJ676" s="1">
        <v>4.2</v>
      </c>
      <c r="AK676" s="1" t="s">
        <v>3182</v>
      </c>
      <c r="AL676" s="1" t="s">
        <v>28</v>
      </c>
      <c r="AM676" s="1">
        <v>809.0</v>
      </c>
      <c r="AN676" s="1">
        <v>2020.0</v>
      </c>
      <c r="AQ676" s="3">
        <v>45136.0</v>
      </c>
      <c r="AR676" s="1" t="s">
        <v>3137</v>
      </c>
      <c r="AS676" s="1" t="s">
        <v>3183</v>
      </c>
      <c r="AT676" s="1" t="s">
        <v>31</v>
      </c>
      <c r="AX676" s="1">
        <v>0.0</v>
      </c>
      <c r="AY676" s="1">
        <v>1.0</v>
      </c>
    </row>
    <row r="677" spans="20:51" ht="15.75" hidden="1">
      <c r="T677" s="1">
        <v>5.3210289E7</v>
      </c>
      <c r="U677" s="1"/>
      <c r="V677" s="1"/>
      <c r="W677" s="1"/>
      <c r="X677" s="1"/>
      <c r="Y677" s="1" t="s">
        <v>3184</v>
      </c>
      <c r="Z677" s="1" t="s">
        <v>3185</v>
      </c>
      <c r="AA677" s="1" t="s">
        <v>3186</v>
      </c>
      <c r="AB677" s="1"/>
      <c r="AC677" s="1"/>
      <c r="AD677" s="1"/>
      <c r="AE677" s="1"/>
      <c r="AF677" s="1" t="s">
        <v>3187</v>
      </c>
      <c r="AG677" s="2" t="str">
        <f>"1119696135"</f>
        <v>1119696135</v>
      </c>
      <c r="AH677" s="2" t="str">
        <f>"9781119696131"</f>
        <v>9781119696131</v>
      </c>
      <c r="AI677" s="1">
        <v>0.0</v>
      </c>
      <c r="AJ677" s="1">
        <v>4.71</v>
      </c>
      <c r="AK677" s="1" t="s">
        <v>3188</v>
      </c>
      <c r="AL677" s="1" t="s">
        <v>28</v>
      </c>
      <c r="AM677" s="1">
        <v>608.0</v>
      </c>
      <c r="AN677" s="1">
        <v>2021.0</v>
      </c>
      <c r="AQ677" s="3">
        <v>45132.0</v>
      </c>
      <c r="AR677" s="1" t="s">
        <v>3189</v>
      </c>
      <c r="AS677" s="1" t="s">
        <v>3190</v>
      </c>
      <c r="AT677" s="1" t="s">
        <v>31</v>
      </c>
      <c r="AX677" s="1">
        <v>0.0</v>
      </c>
      <c r="AY677" s="1">
        <v>1.0</v>
      </c>
    </row>
    <row r="678" spans="20:51" ht="15.75" hidden="1">
      <c r="T678" s="1">
        <v>3.2191717E7</v>
      </c>
      <c r="U678" s="1"/>
      <c r="V678" s="1"/>
      <c r="W678" s="1"/>
      <c r="X678" s="1"/>
      <c r="Y678" s="1" t="s">
        <v>3191</v>
      </c>
      <c r="Z678" s="1" t="s">
        <v>3192</v>
      </c>
      <c r="AA678" s="1" t="s">
        <v>3193</v>
      </c>
      <c r="AB678" s="1"/>
      <c r="AC678" s="1"/>
      <c r="AD678" s="1"/>
      <c r="AE678" s="1"/>
      <c r="AF678" s="1" t="s">
        <v>3194</v>
      </c>
      <c r="AG678" s="2" t="str">
        <f>"1631492985"</f>
        <v>1631492985</v>
      </c>
      <c r="AH678" s="2" t="str">
        <f>"9781631492983"</f>
        <v>9781631492983</v>
      </c>
      <c r="AI678" s="1">
        <v>0.0</v>
      </c>
      <c r="AJ678" s="1">
        <v>3.88</v>
      </c>
      <c r="AK678" s="1" t="s">
        <v>958</v>
      </c>
      <c r="AL678" s="1" t="s">
        <v>41</v>
      </c>
      <c r="AM678" s="1">
        <v>464.0</v>
      </c>
      <c r="AN678" s="1">
        <v>2017.0</v>
      </c>
      <c r="AQ678" s="3">
        <v>45113.0</v>
      </c>
      <c r="AR678" s="1" t="s">
        <v>3137</v>
      </c>
      <c r="AS678" s="1" t="s">
        <v>3195</v>
      </c>
      <c r="AT678" s="1" t="s">
        <v>31</v>
      </c>
      <c r="AX678" s="1">
        <v>0.0</v>
      </c>
      <c r="AY678" s="1">
        <v>1.0</v>
      </c>
    </row>
    <row r="679" spans="20:51" ht="15.75">
      <c r="T679" s="1">
        <v>5.9612919E7</v>
      </c>
      <c r="U679" s="1"/>
      <c r="V679" s="1"/>
      <c r="W679" s="1"/>
      <c r="X679" s="1"/>
      <c r="Y679" s="1" t="s">
        <v>3196</v>
      </c>
      <c r="Z679" s="1" t="s">
        <v>3197</v>
      </c>
      <c r="AA679" s="1" t="s">
        <v>3198</v>
      </c>
      <c r="AB679" s="1"/>
      <c r="AC679" s="1"/>
      <c r="AD679" s="1"/>
      <c r="AE679" s="1"/>
      <c r="AG679" s="2" t="str">
        <f>""</f>
        <v/>
      </c>
      <c r="AH679" s="2" t="str">
        <f>"9789874803528"</f>
        <v>9789874803528</v>
      </c>
      <c r="AI679" s="1">
        <v>0.0</v>
      </c>
      <c r="AJ679" s="1">
        <v>3.85</v>
      </c>
      <c r="AK679" s="1" t="s">
        <v>3199</v>
      </c>
      <c r="AL679" s="1" t="s">
        <v>28</v>
      </c>
      <c r="AM679" s="1">
        <v>182.0</v>
      </c>
      <c r="AN679" s="1">
        <v>2021.0</v>
      </c>
      <c r="AQ679" s="3">
        <v>45114.0</v>
      </c>
      <c r="AR679" s="1" t="s">
        <v>2433</v>
      </c>
      <c r="AS679" s="1" t="s">
        <v>3200</v>
      </c>
      <c r="AT679" s="1" t="s">
        <v>31</v>
      </c>
      <c r="AX679" s="1">
        <v>0.0</v>
      </c>
      <c r="AY679" s="1">
        <v>1.0</v>
      </c>
    </row>
    <row r="680" spans="20:51" ht="15.75">
      <c r="T680" s="1">
        <v>1.19029466E8</v>
      </c>
      <c r="U680" s="1"/>
      <c r="V680" s="1"/>
      <c r="W680" s="1"/>
      <c r="X680" s="1"/>
      <c r="Y680" s="1" t="s">
        <v>3201</v>
      </c>
      <c r="Z680" s="1" t="s">
        <v>3202</v>
      </c>
      <c r="AA680" s="1" t="s">
        <v>3203</v>
      </c>
      <c r="AB680" s="1"/>
      <c r="AC680" s="1"/>
      <c r="AD680" s="1"/>
      <c r="AE680" s="1"/>
      <c r="AF680" s="1" t="s">
        <v>3204</v>
      </c>
      <c r="AG680" s="2" t="str">
        <f>"1681376946"</f>
        <v>1681376946</v>
      </c>
      <c r="AH680" s="2" t="str">
        <f>"9781681376943"</f>
        <v>9781681376943</v>
      </c>
      <c r="AI680" s="1">
        <v>0.0</v>
      </c>
      <c r="AJ680" s="1">
        <v>3.95</v>
      </c>
      <c r="AK680" s="1" t="s">
        <v>77</v>
      </c>
      <c r="AL680" s="1" t="s">
        <v>28</v>
      </c>
      <c r="AM680" s="1">
        <v>240.0</v>
      </c>
      <c r="AN680" s="1">
        <v>2023.0</v>
      </c>
      <c r="AQ680" s="3">
        <v>45102.0</v>
      </c>
      <c r="AR680" s="1" t="s">
        <v>2433</v>
      </c>
      <c r="AS680" s="1" t="s">
        <v>3205</v>
      </c>
      <c r="AT680" s="1" t="s">
        <v>31</v>
      </c>
      <c r="AX680" s="1">
        <v>0.0</v>
      </c>
      <c r="AY680" s="1">
        <v>1.0</v>
      </c>
    </row>
    <row r="681" spans="20:51" ht="15.75" hidden="1">
      <c r="T681" s="1">
        <v>4.4669663E7</v>
      </c>
      <c r="U681" s="1"/>
      <c r="V681" s="1"/>
      <c r="W681" s="1"/>
      <c r="X681" s="1"/>
      <c r="Y681" s="1" t="s">
        <v>3206</v>
      </c>
      <c r="Z681" s="1" t="s">
        <v>638</v>
      </c>
      <c r="AA681" s="1" t="s">
        <v>639</v>
      </c>
      <c r="AB681" s="1"/>
      <c r="AC681" s="1"/>
      <c r="AD681" s="1"/>
      <c r="AE681" s="1"/>
      <c r="AG681" s="2" t="str">
        <f>"1786827611"</f>
        <v>1786827611</v>
      </c>
      <c r="AH681" s="2" t="str">
        <f>"9781786827616"</f>
        <v>9781786827616</v>
      </c>
      <c r="AI681" s="1">
        <v>0.0</v>
      </c>
      <c r="AJ681" s="1">
        <v>4.08</v>
      </c>
      <c r="AK681" s="1" t="s">
        <v>3207</v>
      </c>
      <c r="AL681" s="1" t="s">
        <v>28</v>
      </c>
      <c r="AM681" s="1">
        <v>64.0</v>
      </c>
      <c r="AN681" s="1">
        <v>2019.0</v>
      </c>
      <c r="AO681" s="1">
        <v>2019.0</v>
      </c>
      <c r="AQ681" s="3">
        <v>45095.0</v>
      </c>
      <c r="AR681" s="1" t="s">
        <v>648</v>
      </c>
      <c r="AS681" s="1" t="s">
        <v>3208</v>
      </c>
      <c r="AT681" s="1" t="s">
        <v>31</v>
      </c>
      <c r="AX681" s="1">
        <v>0.0</v>
      </c>
      <c r="AY681" s="1">
        <v>1.0</v>
      </c>
    </row>
    <row r="682" spans="20:51" ht="15.75">
      <c r="T682" s="1">
        <v>1.19023489E8</v>
      </c>
      <c r="U682" s="1"/>
      <c r="V682" s="1"/>
      <c r="W682" s="1"/>
      <c r="X682" s="1"/>
      <c r="Y682" s="1" t="s">
        <v>3209</v>
      </c>
      <c r="Z682" s="1" t="s">
        <v>3210</v>
      </c>
      <c r="AA682" s="1" t="s">
        <v>3211</v>
      </c>
      <c r="AB682" s="1"/>
      <c r="AC682" s="1"/>
      <c r="AD682" s="1"/>
      <c r="AE682" s="1"/>
      <c r="AG682" s="2" t="str">
        <f>"1681377284"</f>
        <v>1681377284</v>
      </c>
      <c r="AH682" s="2" t="str">
        <f>"9781681377285"</f>
        <v>9781681377285</v>
      </c>
      <c r="AI682" s="1">
        <v>0.0</v>
      </c>
      <c r="AJ682" s="1">
        <v>3.78</v>
      </c>
      <c r="AK682" s="1" t="s">
        <v>671</v>
      </c>
      <c r="AL682" s="1" t="s">
        <v>28</v>
      </c>
      <c r="AM682" s="1">
        <v>224.0</v>
      </c>
      <c r="AN682" s="1">
        <v>2023.0</v>
      </c>
      <c r="AO682" s="1">
        <v>2021.0</v>
      </c>
      <c r="AQ682" s="3">
        <v>45102.0</v>
      </c>
      <c r="AR682" s="1" t="s">
        <v>2433</v>
      </c>
      <c r="AS682" s="1" t="s">
        <v>3212</v>
      </c>
      <c r="AT682" s="1" t="s">
        <v>31</v>
      </c>
      <c r="AX682" s="1">
        <v>0.0</v>
      </c>
      <c r="AY682" s="1">
        <v>1.0</v>
      </c>
    </row>
    <row r="683" spans="20:51" ht="15.75">
      <c r="T683" s="1">
        <v>5.5504502E7</v>
      </c>
      <c r="U683" s="1"/>
      <c r="V683" s="1"/>
      <c r="W683" s="1"/>
      <c r="X683" s="1"/>
      <c r="Y683" s="1" t="s">
        <v>3213</v>
      </c>
      <c r="Z683" s="1" t="s">
        <v>714</v>
      </c>
      <c r="AA683" s="1" t="s">
        <v>715</v>
      </c>
      <c r="AB683" s="1"/>
      <c r="AC683" s="1"/>
      <c r="AD683" s="1"/>
      <c r="AE683" s="1"/>
      <c r="AG683" s="2" t="str">
        <f>"0802148506"</f>
        <v>0802148506</v>
      </c>
      <c r="AH683" s="2" t="str">
        <f>"9780802148506"</f>
        <v>9780802148506</v>
      </c>
      <c r="AI683" s="1">
        <v>4.0</v>
      </c>
      <c r="AJ683" s="1">
        <v>4.31</v>
      </c>
      <c r="AK683" s="1" t="s">
        <v>35</v>
      </c>
      <c r="AL683" s="1" t="s">
        <v>28</v>
      </c>
      <c r="AM683" s="1">
        <v>430.0</v>
      </c>
      <c r="AN683" s="1">
        <v>2020.0</v>
      </c>
      <c r="AO683" s="1">
        <v>2020.0</v>
      </c>
      <c r="AP683" s="4">
        <v>44925.0</v>
      </c>
      <c r="AQ683" s="4">
        <v>44914.0</v>
      </c>
      <c r="AR683" s="1" t="s">
        <v>3214</v>
      </c>
      <c r="AS683" s="1" t="s">
        <v>3215</v>
      </c>
      <c r="AT683" s="1" t="s">
        <v>31</v>
      </c>
      <c r="AX683" s="1">
        <v>1.0</v>
      </c>
      <c r="AY683" s="1">
        <v>1.0</v>
      </c>
    </row>
    <row r="684" spans="20:51" ht="15.75" hidden="1">
      <c r="T684" s="1">
        <v>3.3395084E7</v>
      </c>
      <c r="U684" s="1"/>
      <c r="V684" s="1"/>
      <c r="W684" s="1"/>
      <c r="X684" s="1"/>
      <c r="Y684" s="1" t="s">
        <v>3216</v>
      </c>
      <c r="Z684" s="1" t="s">
        <v>668</v>
      </c>
      <c r="AA684" s="1" t="s">
        <v>669</v>
      </c>
      <c r="AB684" s="1"/>
      <c r="AC684" s="1"/>
      <c r="AD684" s="1"/>
      <c r="AE684" s="1"/>
      <c r="AF684" s="1" t="s">
        <v>3217</v>
      </c>
      <c r="AG684" s="2" t="str">
        <f>"0997366648"</f>
        <v>0997366648</v>
      </c>
      <c r="AH684" s="2" t="str">
        <f>"9780997366648"</f>
        <v>9780997366648</v>
      </c>
      <c r="AI684" s="1">
        <v>0.0</v>
      </c>
      <c r="AJ684" s="1">
        <v>4.04</v>
      </c>
      <c r="AK684" s="1" t="s">
        <v>3218</v>
      </c>
      <c r="AL684" s="1" t="s">
        <v>28</v>
      </c>
      <c r="AM684" s="1">
        <v>232.0</v>
      </c>
      <c r="AN684" s="1">
        <v>2017.0</v>
      </c>
      <c r="AO684" s="1">
        <v>2017.0</v>
      </c>
      <c r="AQ684" s="3">
        <v>45081.0</v>
      </c>
      <c r="AR684" s="1" t="s">
        <v>3219</v>
      </c>
      <c r="AS684" s="1" t="s">
        <v>3220</v>
      </c>
      <c r="AT684" s="1" t="s">
        <v>31</v>
      </c>
      <c r="AX684" s="1">
        <v>0.0</v>
      </c>
      <c r="AY684" s="1">
        <v>1.0</v>
      </c>
    </row>
    <row r="685" spans="20:51" ht="15.75" hidden="1">
      <c r="T685" s="1">
        <v>2871390.0</v>
      </c>
      <c r="U685" s="1"/>
      <c r="V685" s="1"/>
      <c r="W685" s="1"/>
      <c r="X685" s="1"/>
      <c r="Y685" s="1" t="s">
        <v>3221</v>
      </c>
      <c r="Z685" s="1" t="s">
        <v>3222</v>
      </c>
      <c r="AA685" s="1" t="s">
        <v>3223</v>
      </c>
      <c r="AB685" s="1"/>
      <c r="AC685" s="1"/>
      <c r="AD685" s="1"/>
      <c r="AE685" s="1"/>
      <c r="AF685" s="1" t="s">
        <v>3224</v>
      </c>
      <c r="AG685" s="2" t="str">
        <f>"1590172884"</f>
        <v>1590172884</v>
      </c>
      <c r="AH685" s="2" t="str">
        <f>"9781590172889"</f>
        <v>9781590172889</v>
      </c>
      <c r="AI685" s="1">
        <v>0.0</v>
      </c>
      <c r="AJ685" s="1">
        <v>4.07</v>
      </c>
      <c r="AK685" s="1" t="s">
        <v>671</v>
      </c>
      <c r="AL685" s="1" t="s">
        <v>28</v>
      </c>
      <c r="AM685" s="1">
        <v>346.0</v>
      </c>
      <c r="AN685" s="1">
        <v>2008.0</v>
      </c>
      <c r="AO685" s="1">
        <v>2008.0</v>
      </c>
      <c r="AQ685" s="3">
        <v>45078.0</v>
      </c>
      <c r="AR685" s="1" t="s">
        <v>3225</v>
      </c>
      <c r="AS685" s="1" t="s">
        <v>3226</v>
      </c>
      <c r="AT685" s="1" t="s">
        <v>1983</v>
      </c>
      <c r="AX685" s="1">
        <v>1.0</v>
      </c>
      <c r="AY685" s="1">
        <v>1.0</v>
      </c>
    </row>
    <row r="686" spans="20:51" ht="15.75" hidden="1">
      <c r="T686" s="1">
        <v>4.5573014E7</v>
      </c>
      <c r="U686" s="1"/>
      <c r="V686" s="1"/>
      <c r="W686" s="1"/>
      <c r="X686" s="1"/>
      <c r="Y686" s="1" t="s">
        <v>3227</v>
      </c>
      <c r="Z686" s="1" t="s">
        <v>3228</v>
      </c>
      <c r="AA686" s="1" t="s">
        <v>3229</v>
      </c>
      <c r="AB686" s="1"/>
      <c r="AC686" s="1"/>
      <c r="AD686" s="1"/>
      <c r="AE686" s="1"/>
      <c r="AG686" s="2" t="str">
        <f>""</f>
        <v/>
      </c>
      <c r="AH686" s="2" t="str">
        <f>"9789874696236"</f>
        <v>9789874696236</v>
      </c>
      <c r="AI686" s="1">
        <v>0.0</v>
      </c>
      <c r="AJ686" s="1">
        <v>4.06</v>
      </c>
      <c r="AK686" s="1" t="s">
        <v>3230</v>
      </c>
      <c r="AL686" s="1" t="s">
        <v>28</v>
      </c>
      <c r="AM686" s="1">
        <v>153.0</v>
      </c>
      <c r="AN686" s="1">
        <v>2019.0</v>
      </c>
      <c r="AO686" s="1">
        <v>2019.0</v>
      </c>
      <c r="AQ686" s="3">
        <v>44814.0</v>
      </c>
      <c r="AR686" s="1" t="s">
        <v>3231</v>
      </c>
      <c r="AS686" s="1" t="s">
        <v>3232</v>
      </c>
      <c r="AT686" s="1" t="s">
        <v>31</v>
      </c>
      <c r="AX686" s="1">
        <v>0.0</v>
      </c>
      <c r="AY686" s="1">
        <v>1.0</v>
      </c>
    </row>
    <row r="687" spans="20:51" ht="15.75" hidden="1">
      <c r="T687" s="1">
        <v>5.6921681E7</v>
      </c>
      <c r="U687" s="1"/>
      <c r="V687" s="1"/>
      <c r="W687" s="1"/>
      <c r="X687" s="1"/>
      <c r="Y687" s="1" t="s">
        <v>3233</v>
      </c>
      <c r="Z687" s="1" t="s">
        <v>3234</v>
      </c>
      <c r="AA687" s="1" t="s">
        <v>3235</v>
      </c>
      <c r="AB687" s="1"/>
      <c r="AC687" s="1"/>
      <c r="AD687" s="1"/>
      <c r="AE687" s="1"/>
      <c r="AF687" s="1" t="s">
        <v>3236</v>
      </c>
      <c r="AG687" s="2" t="str">
        <f>"9502813901"</f>
        <v>9502813901</v>
      </c>
      <c r="AH687" s="2" t="str">
        <f>"9789502813905"</f>
        <v>9789502813905</v>
      </c>
      <c r="AI687" s="1">
        <v>0.0</v>
      </c>
      <c r="AJ687" s="1">
        <v>4.24</v>
      </c>
      <c r="AK687" s="1" t="s">
        <v>3237</v>
      </c>
      <c r="AL687" s="1" t="s">
        <v>28</v>
      </c>
      <c r="AM687" s="1">
        <v>480.0</v>
      </c>
      <c r="AN687" s="1">
        <v>2021.0</v>
      </c>
      <c r="AO687" s="1">
        <v>2020.0</v>
      </c>
      <c r="AQ687" s="3">
        <v>44814.0</v>
      </c>
      <c r="AR687" s="1" t="s">
        <v>3238</v>
      </c>
      <c r="AS687" s="1" t="s">
        <v>3239</v>
      </c>
      <c r="AT687" s="1" t="s">
        <v>31</v>
      </c>
      <c r="AX687" s="1">
        <v>0.0</v>
      </c>
      <c r="AY687" s="1">
        <v>1.0</v>
      </c>
    </row>
    <row r="688" spans="20:51" ht="15.75" hidden="1">
      <c r="T688" s="1">
        <v>5.6591449E7</v>
      </c>
      <c r="U688" s="1"/>
      <c r="V688" s="1"/>
      <c r="W688" s="1"/>
      <c r="X688" s="1"/>
      <c r="Y688" s="1" t="s">
        <v>3240</v>
      </c>
      <c r="Z688" s="1" t="s">
        <v>3241</v>
      </c>
      <c r="AA688" s="1" t="s">
        <v>3242</v>
      </c>
      <c r="AB688" s="1"/>
      <c r="AC688" s="1"/>
      <c r="AD688" s="1"/>
      <c r="AE688" s="1"/>
      <c r="AG688" s="2" t="str">
        <f>"8433999168"</f>
        <v>8433999168</v>
      </c>
      <c r="AH688" s="2" t="str">
        <f>"9788433999160"</f>
        <v>9788433999160</v>
      </c>
      <c r="AI688" s="1">
        <v>0.0</v>
      </c>
      <c r="AJ688" s="1">
        <v>4.39</v>
      </c>
      <c r="AK688" s="1" t="s">
        <v>1681</v>
      </c>
      <c r="AL688" s="1" t="s">
        <v>28</v>
      </c>
      <c r="AM688" s="1">
        <v>832.0</v>
      </c>
      <c r="AN688" s="1">
        <v>2021.0</v>
      </c>
      <c r="AO688" s="1">
        <v>2021.0</v>
      </c>
      <c r="AQ688" s="3">
        <v>44814.0</v>
      </c>
      <c r="AR688" s="1" t="s">
        <v>3231</v>
      </c>
      <c r="AS688" s="1" t="s">
        <v>3243</v>
      </c>
      <c r="AT688" s="1" t="s">
        <v>31</v>
      </c>
      <c r="AX688" s="1">
        <v>0.0</v>
      </c>
      <c r="AY688" s="1">
        <v>1.0</v>
      </c>
    </row>
    <row r="689" spans="20:51" ht="15.75" hidden="1">
      <c r="T689" s="1">
        <v>37420.0</v>
      </c>
      <c r="U689" s="1"/>
      <c r="V689" s="1"/>
      <c r="W689" s="1"/>
      <c r="X689" s="1"/>
      <c r="Y689" s="1" t="s">
        <v>3244</v>
      </c>
      <c r="Z689" s="1" t="s">
        <v>3245</v>
      </c>
      <c r="AA689" s="1" t="s">
        <v>3246</v>
      </c>
      <c r="AB689" s="1"/>
      <c r="AC689" s="1"/>
      <c r="AD689" s="1"/>
      <c r="AE689" s="1"/>
      <c r="AG689" s="2" t="str">
        <f>"0020518609"</f>
        <v>0020518609</v>
      </c>
      <c r="AH689" s="2" t="str">
        <f>"9780020518600"</f>
        <v>9780020518600</v>
      </c>
      <c r="AI689" s="1">
        <v>0.0</v>
      </c>
      <c r="AJ689" s="1">
        <v>4.17</v>
      </c>
      <c r="AK689" s="1" t="s">
        <v>3247</v>
      </c>
      <c r="AL689" s="1" t="s">
        <v>28</v>
      </c>
      <c r="AM689" s="1">
        <v>499.0</v>
      </c>
      <c r="AN689" s="1">
        <v>1987.0</v>
      </c>
      <c r="AO689" s="1">
        <v>1938.0</v>
      </c>
      <c r="AQ689" s="3">
        <v>44814.0</v>
      </c>
      <c r="AR689" s="1" t="s">
        <v>3231</v>
      </c>
      <c r="AS689" s="1" t="s">
        <v>3248</v>
      </c>
      <c r="AT689" s="1" t="s">
        <v>31</v>
      </c>
      <c r="AX689" s="1">
        <v>0.0</v>
      </c>
      <c r="AY689" s="1">
        <v>1.0</v>
      </c>
    </row>
    <row r="690" spans="20:51" ht="15.75" hidden="1">
      <c r="T690" s="1">
        <v>3.4122265E7</v>
      </c>
      <c r="U690" s="1"/>
      <c r="V690" s="1"/>
      <c r="W690" s="1"/>
      <c r="X690" s="1"/>
      <c r="Y690" s="1" t="s">
        <v>3249</v>
      </c>
      <c r="Z690" s="1" t="s">
        <v>3250</v>
      </c>
      <c r="AA690" s="1" t="s">
        <v>3251</v>
      </c>
      <c r="AB690" s="1"/>
      <c r="AC690" s="1"/>
      <c r="AD690" s="1"/>
      <c r="AE690" s="1"/>
      <c r="AG690" s="2" t="str">
        <f>"0195390180"</f>
        <v>0195390180</v>
      </c>
      <c r="AH690" s="2" t="str">
        <f>"9780195390186"</f>
        <v>9780195390186</v>
      </c>
      <c r="AI690" s="1">
        <v>0.0</v>
      </c>
      <c r="AJ690" s="1">
        <v>4.41</v>
      </c>
      <c r="AK690" s="1" t="s">
        <v>214</v>
      </c>
      <c r="AL690" s="1" t="s">
        <v>28</v>
      </c>
      <c r="AM690" s="1">
        <v>272.0</v>
      </c>
      <c r="AN690" s="1">
        <v>2017.0</v>
      </c>
      <c r="AO690" s="1">
        <v>2017.0</v>
      </c>
      <c r="AQ690" s="3">
        <v>44814.0</v>
      </c>
      <c r="AR690" s="1" t="s">
        <v>3137</v>
      </c>
      <c r="AS690" s="1" t="s">
        <v>3252</v>
      </c>
      <c r="AT690" s="1" t="s">
        <v>31</v>
      </c>
      <c r="AX690" s="1">
        <v>0.0</v>
      </c>
      <c r="AY690" s="1">
        <v>1.0</v>
      </c>
    </row>
    <row r="691" spans="20:51" ht="15.75" hidden="1">
      <c r="T691" s="1">
        <v>5.1009761E7</v>
      </c>
      <c r="U691" s="1"/>
      <c r="V691" s="1"/>
      <c r="W691" s="1"/>
      <c r="X691" s="1"/>
      <c r="Y691" s="1" t="s">
        <v>3253</v>
      </c>
      <c r="Z691" s="1" t="s">
        <v>3254</v>
      </c>
      <c r="AA691" s="1" t="s">
        <v>3255</v>
      </c>
      <c r="AB691" s="1"/>
      <c r="AC691" s="1"/>
      <c r="AD691" s="1"/>
      <c r="AE691" s="1"/>
      <c r="AG691" s="2" t="str">
        <f>"1556595999"</f>
        <v>1556595999</v>
      </c>
      <c r="AH691" s="2" t="str">
        <f>"9781556595998"</f>
        <v>9781556595998</v>
      </c>
      <c r="AI691" s="1">
        <v>0.0</v>
      </c>
      <c r="AJ691" s="1">
        <v>4.14</v>
      </c>
      <c r="AK691" s="1" t="s">
        <v>645</v>
      </c>
      <c r="AL691" s="1" t="s">
        <v>28</v>
      </c>
      <c r="AM691" s="1">
        <v>116.0</v>
      </c>
      <c r="AN691" s="1">
        <v>2020.0</v>
      </c>
      <c r="AO691" s="1">
        <v>2021.0</v>
      </c>
      <c r="AQ691" s="3">
        <v>44220.0</v>
      </c>
      <c r="AR691" s="1" t="s">
        <v>3159</v>
      </c>
      <c r="AS691" s="1" t="s">
        <v>3256</v>
      </c>
      <c r="AT691" s="1" t="s">
        <v>31</v>
      </c>
      <c r="AX691" s="1">
        <v>0.0</v>
      </c>
      <c r="AY691" s="1">
        <v>1.0</v>
      </c>
    </row>
    <row r="692" spans="20:51" ht="15.75" hidden="1">
      <c r="T692" s="1">
        <v>5.3492676E7</v>
      </c>
      <c r="U692" s="1"/>
      <c r="V692" s="1"/>
      <c r="W692" s="1"/>
      <c r="X692" s="1"/>
      <c r="Y692" s="1" t="s">
        <v>3257</v>
      </c>
      <c r="Z692" s="1" t="s">
        <v>3258</v>
      </c>
      <c r="AA692" s="1" t="s">
        <v>3259</v>
      </c>
      <c r="AB692" s="1"/>
      <c r="AC692" s="1"/>
      <c r="AD692" s="1"/>
      <c r="AE692" s="1"/>
      <c r="AG692" s="2" t="str">
        <f>"1951142292"</f>
        <v>1951142292</v>
      </c>
      <c r="AH692" s="2" t="str">
        <f>"9781951142292"</f>
        <v>9781951142292</v>
      </c>
      <c r="AI692" s="1">
        <v>4.0</v>
      </c>
      <c r="AJ692" s="1">
        <v>4.1</v>
      </c>
      <c r="AK692" s="1" t="s">
        <v>976</v>
      </c>
      <c r="AL692" s="1" t="s">
        <v>28</v>
      </c>
      <c r="AM692" s="1">
        <v>296.0</v>
      </c>
      <c r="AN692" s="1">
        <v>2021.0</v>
      </c>
      <c r="AO692" s="1">
        <v>2020.0</v>
      </c>
      <c r="AP692" s="3">
        <v>44228.0</v>
      </c>
      <c r="AQ692" s="3">
        <v>44219.0</v>
      </c>
      <c r="AR692" s="1">
        <v>0.0</v>
      </c>
      <c r="AS692" s="1" t="s">
        <v>3260</v>
      </c>
      <c r="AT692" s="1" t="s">
        <v>127</v>
      </c>
      <c r="AX692" s="1">
        <v>1.0</v>
      </c>
      <c r="AY692" s="1">
        <v>1.0</v>
      </c>
    </row>
    <row r="693" spans="20:51" ht="15.75" hidden="1">
      <c r="T693" s="1">
        <v>3.8526823E7</v>
      </c>
      <c r="U693" s="1"/>
      <c r="V693" s="1"/>
      <c r="W693" s="1"/>
      <c r="X693" s="1"/>
      <c r="Y693" s="1" t="s">
        <v>3261</v>
      </c>
      <c r="Z693" s="1" t="s">
        <v>3262</v>
      </c>
      <c r="AA693" s="1" t="s">
        <v>3263</v>
      </c>
      <c r="AB693" s="1"/>
      <c r="AC693" s="1"/>
      <c r="AD693" s="1"/>
      <c r="AE693" s="1"/>
      <c r="AG693" s="2" t="str">
        <f>"0802128556"</f>
        <v>0802128556</v>
      </c>
      <c r="AH693" s="2" t="str">
        <f>"9780802128553"</f>
        <v>9780802128553</v>
      </c>
      <c r="AI693" s="1">
        <v>2.0</v>
      </c>
      <c r="AJ693" s="1">
        <v>3.48</v>
      </c>
      <c r="AK693" s="1" t="s">
        <v>35</v>
      </c>
      <c r="AL693" s="1" t="s">
        <v>28</v>
      </c>
      <c r="AM693" s="1">
        <v>224.0</v>
      </c>
      <c r="AN693" s="1">
        <v>2018.0</v>
      </c>
      <c r="AO693" s="1">
        <v>2017.0</v>
      </c>
      <c r="AP693" s="3">
        <v>43919.0</v>
      </c>
      <c r="AQ693" s="3">
        <v>43864.0</v>
      </c>
      <c r="AR693" s="1">
        <v>0.0</v>
      </c>
      <c r="AS693" s="1" t="s">
        <v>3264</v>
      </c>
      <c r="AT693" s="1" t="s">
        <v>127</v>
      </c>
      <c r="AX693" s="1">
        <v>1.0</v>
      </c>
      <c r="AY693" s="1">
        <v>1.0</v>
      </c>
    </row>
    <row r="694" spans="20:51" ht="15.75" hidden="1">
      <c r="T694" s="1">
        <v>3.4419228E7</v>
      </c>
      <c r="U694" s="1"/>
      <c r="V694" s="1"/>
      <c r="W694" s="1"/>
      <c r="X694" s="1"/>
      <c r="Y694" s="1" t="s">
        <v>3265</v>
      </c>
      <c r="Z694" s="1" t="s">
        <v>3266</v>
      </c>
      <c r="AA694" s="1" t="s">
        <v>3267</v>
      </c>
      <c r="AB694" s="1"/>
      <c r="AC694" s="1"/>
      <c r="AD694" s="1"/>
      <c r="AE694" s="1"/>
      <c r="AG694" s="2" t="str">
        <f>"0143131702"</f>
        <v>0143131702</v>
      </c>
      <c r="AH694" s="2" t="str">
        <f>"9780143131700"</f>
        <v>9780143131700</v>
      </c>
      <c r="AI694" s="1">
        <v>5.0</v>
      </c>
      <c r="AJ694" s="1">
        <v>4.27</v>
      </c>
      <c r="AK694" s="1" t="s">
        <v>460</v>
      </c>
      <c r="AL694" s="1" t="s">
        <v>28</v>
      </c>
      <c r="AM694" s="1">
        <v>96.0</v>
      </c>
      <c r="AN694" s="1">
        <v>2017.0</v>
      </c>
      <c r="AO694" s="1">
        <v>2017.0</v>
      </c>
      <c r="AQ694" s="3">
        <v>42874.0</v>
      </c>
      <c r="AR694" s="1" t="s">
        <v>3268</v>
      </c>
      <c r="AS694" s="1" t="s">
        <v>3269</v>
      </c>
      <c r="AT694" s="1" t="s">
        <v>127</v>
      </c>
      <c r="AX694" s="1">
        <v>1.0</v>
      </c>
      <c r="AY694" s="1">
        <v>1.0</v>
      </c>
    </row>
    <row r="695" spans="20:51" ht="15.75" hidden="1">
      <c r="T695" s="1">
        <v>4.5889905E7</v>
      </c>
      <c r="U695" s="1"/>
      <c r="V695" s="1"/>
      <c r="W695" s="1"/>
      <c r="X695" s="1"/>
      <c r="Y695" s="1" t="s">
        <v>3270</v>
      </c>
      <c r="Z695" s="1" t="s">
        <v>3271</v>
      </c>
      <c r="AA695" s="1" t="s">
        <v>3272</v>
      </c>
      <c r="AB695" s="1"/>
      <c r="AC695" s="1"/>
      <c r="AD695" s="1"/>
      <c r="AE695" s="1"/>
      <c r="AG695" s="2" t="str">
        <f>"0143134280"</f>
        <v>0143134280</v>
      </c>
      <c r="AH695" s="2" t="str">
        <f>"9780143134282"</f>
        <v>9780143134282</v>
      </c>
      <c r="AI695" s="1">
        <v>0.0</v>
      </c>
      <c r="AJ695" s="1">
        <v>3.33</v>
      </c>
      <c r="AK695" s="1" t="s">
        <v>460</v>
      </c>
      <c r="AL695" s="1" t="s">
        <v>28</v>
      </c>
      <c r="AM695" s="1">
        <v>240.0</v>
      </c>
      <c r="AN695" s="1">
        <v>2020.0</v>
      </c>
      <c r="AO695" s="1">
        <v>2020.0</v>
      </c>
      <c r="AQ695" s="3">
        <v>43921.0</v>
      </c>
      <c r="AR695" s="1" t="s">
        <v>3231</v>
      </c>
      <c r="AS695" s="1" t="s">
        <v>3273</v>
      </c>
      <c r="AT695" s="1" t="s">
        <v>31</v>
      </c>
      <c r="AX695" s="1">
        <v>0.0</v>
      </c>
      <c r="AY695" s="1">
        <v>1.0</v>
      </c>
    </row>
    <row r="696" spans="20:51" ht="15.75">
      <c r="T696" s="1">
        <v>4.4438256E7</v>
      </c>
      <c r="U696" s="1"/>
      <c r="V696" s="1"/>
      <c r="W696" s="1"/>
      <c r="X696" s="1"/>
      <c r="Y696" s="1" t="s">
        <v>3274</v>
      </c>
      <c r="Z696" s="1" t="s">
        <v>3275</v>
      </c>
      <c r="AA696" s="1" t="s">
        <v>3276</v>
      </c>
      <c r="AB696" s="1"/>
      <c r="AC696" s="1"/>
      <c r="AD696" s="1"/>
      <c r="AE696" s="1"/>
      <c r="AG696" s="2" t="str">
        <f>"9876704818"</f>
        <v>9876704818</v>
      </c>
      <c r="AH696" s="2" t="str">
        <f>"9789876704816"</f>
        <v>9789876704816</v>
      </c>
      <c r="AI696" s="1">
        <v>0.0</v>
      </c>
      <c r="AJ696" s="1">
        <v>4.44</v>
      </c>
      <c r="AK696" s="1" t="s">
        <v>3277</v>
      </c>
      <c r="AL696" s="1" t="s">
        <v>28</v>
      </c>
      <c r="AM696" s="1">
        <v>224.0</v>
      </c>
      <c r="AN696" s="1">
        <v>2019.0</v>
      </c>
      <c r="AO696" s="1">
        <v>2019.0</v>
      </c>
      <c r="AQ696" s="3">
        <v>43976.0</v>
      </c>
      <c r="AR696" s="1" t="s">
        <v>2433</v>
      </c>
      <c r="AS696" s="1" t="s">
        <v>3278</v>
      </c>
      <c r="AT696" s="1" t="s">
        <v>31</v>
      </c>
      <c r="AX696" s="1">
        <v>0.0</v>
      </c>
      <c r="AY696" s="1">
        <v>1.0</v>
      </c>
    </row>
    <row r="697" spans="20:51" ht="15.75" hidden="1">
      <c r="T697" s="1">
        <v>6.0776294E7</v>
      </c>
      <c r="U697" s="1"/>
      <c r="V697" s="1"/>
      <c r="W697" s="1"/>
      <c r="X697" s="1"/>
      <c r="Y697" s="1" t="s">
        <v>3279</v>
      </c>
      <c r="Z697" s="1" t="s">
        <v>1144</v>
      </c>
      <c r="AA697" s="1" t="s">
        <v>1145</v>
      </c>
      <c r="AB697" s="1"/>
      <c r="AC697" s="1"/>
      <c r="AD697" s="1"/>
      <c r="AE697" s="1"/>
      <c r="AG697" s="2" t="str">
        <f>"9566045263"</f>
        <v>9566045263</v>
      </c>
      <c r="AH697" s="2" t="str">
        <f>"9789566045267"</f>
        <v>9789566045267</v>
      </c>
      <c r="AI697" s="1">
        <v>4.0</v>
      </c>
      <c r="AJ697" s="1">
        <v>4.34</v>
      </c>
      <c r="AK697" s="1" t="s">
        <v>1681</v>
      </c>
      <c r="AL697" s="1" t="s">
        <v>28</v>
      </c>
      <c r="AM697" s="1">
        <v>680.0</v>
      </c>
      <c r="AN697" s="1">
        <v>2019.0</v>
      </c>
      <c r="AO697" s="1">
        <v>2019.0</v>
      </c>
      <c r="AP697" s="3">
        <v>44019.0</v>
      </c>
      <c r="AQ697" s="3">
        <v>43950.0</v>
      </c>
      <c r="AR697" s="1" t="s">
        <v>687</v>
      </c>
      <c r="AS697" s="1" t="s">
        <v>3280</v>
      </c>
      <c r="AT697" s="1" t="s">
        <v>127</v>
      </c>
      <c r="AU697" s="1" t="s">
        <v>3281</v>
      </c>
      <c r="AX697" s="1">
        <v>1.0</v>
      </c>
      <c r="AY697" s="1">
        <v>1.0</v>
      </c>
    </row>
    <row r="698" spans="20:51" ht="15.75" hidden="1">
      <c r="T698" s="1">
        <v>3.0104969E7</v>
      </c>
      <c r="U698" s="1"/>
      <c r="V698" s="1"/>
      <c r="W698" s="1"/>
      <c r="X698" s="1"/>
      <c r="Y698" s="1" t="s">
        <v>3282</v>
      </c>
      <c r="Z698" s="1" t="s">
        <v>3266</v>
      </c>
      <c r="AA698" s="1" t="s">
        <v>3267</v>
      </c>
      <c r="AB698" s="1"/>
      <c r="AC698" s="1"/>
      <c r="AD698" s="1"/>
      <c r="AE698" s="1"/>
      <c r="AG698" s="2" t="str">
        <f t="shared" si="41" ref="AG698:AG699">""</f>
        <v/>
      </c>
      <c r="AH698" s="2" t="str">
        <f>"9781943977178"</f>
        <v>9781943977178</v>
      </c>
      <c r="AI698" s="1">
        <v>0.0</v>
      </c>
      <c r="AJ698" s="1">
        <v>4.17</v>
      </c>
      <c r="AK698" s="1" t="s">
        <v>3283</v>
      </c>
      <c r="AL698" s="1" t="s">
        <v>28</v>
      </c>
      <c r="AM698" s="1">
        <v>42.0</v>
      </c>
      <c r="AN698" s="1">
        <v>2016.0</v>
      </c>
      <c r="AO698" s="1">
        <v>2016.0</v>
      </c>
      <c r="AQ698" s="3">
        <v>42874.0</v>
      </c>
      <c r="AR698" s="1" t="s">
        <v>3268</v>
      </c>
      <c r="AS698" s="1" t="s">
        <v>3284</v>
      </c>
      <c r="AT698" s="1" t="s">
        <v>127</v>
      </c>
      <c r="AX698" s="1">
        <v>2.0</v>
      </c>
      <c r="AY698" s="1">
        <v>1.0</v>
      </c>
    </row>
    <row r="699" spans="20:51" ht="15.75" hidden="1">
      <c r="T699" s="1">
        <v>1.2840331E8</v>
      </c>
      <c r="U699" s="1"/>
      <c r="V699" s="1"/>
      <c r="W699" s="1"/>
      <c r="X699" s="1"/>
      <c r="Y699" s="1" t="s">
        <v>3285</v>
      </c>
      <c r="Z699" s="1" t="s">
        <v>3286</v>
      </c>
      <c r="AA699" s="1" t="s">
        <v>3287</v>
      </c>
      <c r="AB699" s="1"/>
      <c r="AC699" s="1"/>
      <c r="AD699" s="1"/>
      <c r="AE699" s="1"/>
      <c r="AG699" s="2" t="str">
        <f t="shared" si="41"/>
        <v/>
      </c>
      <c r="AH699" s="2" t="str">
        <f>""</f>
        <v/>
      </c>
      <c r="AI699" s="1">
        <v>0.0</v>
      </c>
      <c r="AJ699" s="1">
        <v>5.0</v>
      </c>
      <c r="AK699" s="1" t="s">
        <v>3288</v>
      </c>
      <c r="AL699" s="1" t="s">
        <v>41</v>
      </c>
      <c r="AM699" s="1">
        <v>130.0</v>
      </c>
      <c r="AN699" s="1">
        <v>1963.0</v>
      </c>
      <c r="AO699" s="1">
        <v>1963.0</v>
      </c>
      <c r="AQ699" s="3">
        <v>45160.0</v>
      </c>
      <c r="AR699" s="1" t="s">
        <v>3137</v>
      </c>
      <c r="AS699" s="1" t="s">
        <v>3289</v>
      </c>
      <c r="AT699" s="1" t="s">
        <v>31</v>
      </c>
      <c r="AX699" s="1">
        <v>0.0</v>
      </c>
      <c r="AY699" s="1">
        <v>1.0</v>
      </c>
    </row>
    <row r="700" spans="20:51" ht="15.75" hidden="1">
      <c r="T700" s="1">
        <v>93642.0</v>
      </c>
      <c r="U700" s="1"/>
      <c r="V700" s="1"/>
      <c r="W700" s="1"/>
      <c r="X700" s="1"/>
      <c r="Y700" s="1" t="s">
        <v>3290</v>
      </c>
      <c r="Z700" s="1" t="s">
        <v>1256</v>
      </c>
      <c r="AA700" s="1" t="s">
        <v>1257</v>
      </c>
      <c r="AB700" s="1"/>
      <c r="AC700" s="1"/>
      <c r="AD700" s="1"/>
      <c r="AE700" s="1"/>
      <c r="AG700" s="2" t="str">
        <f>"9500425785"</f>
        <v>9500425785</v>
      </c>
      <c r="AH700" s="2" t="str">
        <f>"9789500425780"</f>
        <v>9789500425780</v>
      </c>
      <c r="AI700" s="1">
        <v>0.0</v>
      </c>
      <c r="AJ700" s="1">
        <v>4.13</v>
      </c>
      <c r="AK700" s="1" t="s">
        <v>3291</v>
      </c>
      <c r="AM700" s="1">
        <v>59.0</v>
      </c>
      <c r="AN700" s="1">
        <v>2008.0</v>
      </c>
      <c r="AO700" s="1">
        <v>1983.0</v>
      </c>
      <c r="AQ700" s="3">
        <v>45159.0</v>
      </c>
      <c r="AR700" s="1" t="s">
        <v>659</v>
      </c>
      <c r="AS700" s="1" t="s">
        <v>3292</v>
      </c>
      <c r="AT700" s="1" t="s">
        <v>31</v>
      </c>
      <c r="AW700" s="1" t="s">
        <v>2435</v>
      </c>
      <c r="AX700" s="1">
        <v>0.0</v>
      </c>
      <c r="AY700" s="1">
        <v>1.0</v>
      </c>
    </row>
    <row r="701" spans="20:51" ht="15.75" hidden="1">
      <c r="T701" s="1">
        <v>4286863.0</v>
      </c>
      <c r="U701" s="1"/>
      <c r="V701" s="1"/>
      <c r="W701" s="1"/>
      <c r="X701" s="1"/>
      <c r="Y701" s="1" t="s">
        <v>3293</v>
      </c>
      <c r="Z701" s="1" t="s">
        <v>3294</v>
      </c>
      <c r="AA701" s="1" t="s">
        <v>3295</v>
      </c>
      <c r="AB701" s="1"/>
      <c r="AC701" s="1"/>
      <c r="AD701" s="1"/>
      <c r="AE701" s="1"/>
      <c r="AF701" s="1" t="s">
        <v>3294</v>
      </c>
      <c r="AG701" s="2" t="str">
        <f>"0810983206"</f>
        <v>0810983206</v>
      </c>
      <c r="AH701" s="2" t="str">
        <f>"9780810983205"</f>
        <v>9780810983205</v>
      </c>
      <c r="AI701" s="1">
        <v>0.0</v>
      </c>
      <c r="AJ701" s="1">
        <v>4.13</v>
      </c>
      <c r="AK701" s="1" t="s">
        <v>3296</v>
      </c>
      <c r="AL701" s="1" t="s">
        <v>41</v>
      </c>
      <c r="AM701" s="1">
        <v>160.0</v>
      </c>
      <c r="AN701" s="1">
        <v>2008.0</v>
      </c>
      <c r="AO701" s="1">
        <v>2006.0</v>
      </c>
      <c r="AQ701" s="3">
        <v>45161.0</v>
      </c>
      <c r="AR701" s="1" t="s">
        <v>3144</v>
      </c>
      <c r="AS701" s="1" t="s">
        <v>3297</v>
      </c>
      <c r="AT701" s="1" t="s">
        <v>31</v>
      </c>
      <c r="AX701" s="1">
        <v>0.0</v>
      </c>
      <c r="AY701" s="1">
        <v>1.0</v>
      </c>
    </row>
    <row r="702" spans="20:51" ht="15.75">
      <c r="T702" s="1">
        <v>5.885714E7</v>
      </c>
      <c r="U702" s="1"/>
      <c r="V702" s="1"/>
      <c r="W702" s="1"/>
      <c r="X702" s="1"/>
      <c r="Y702" s="1" t="s">
        <v>3298</v>
      </c>
      <c r="Z702" s="1" t="s">
        <v>3299</v>
      </c>
      <c r="AA702" s="1" t="s">
        <v>3300</v>
      </c>
      <c r="AB702" s="1"/>
      <c r="AC702" s="1"/>
      <c r="AD702" s="1"/>
      <c r="AE702" s="1"/>
      <c r="AF702" s="1" t="s">
        <v>3301</v>
      </c>
      <c r="AG702" s="2" t="str">
        <f>"0062511408"</f>
        <v>0062511408</v>
      </c>
      <c r="AH702" s="2" t="str">
        <f>"9780062511409"</f>
        <v>9780062511409</v>
      </c>
      <c r="AI702" s="1">
        <v>0.0</v>
      </c>
      <c r="AJ702" s="1">
        <v>3.9</v>
      </c>
      <c r="AK702" s="1" t="s">
        <v>3302</v>
      </c>
      <c r="AL702" s="1" t="s">
        <v>28</v>
      </c>
      <c r="AM702" s="1">
        <v>190.0</v>
      </c>
      <c r="AN702" s="1">
        <v>2018.0</v>
      </c>
      <c r="AO702" s="1">
        <v>1988.0</v>
      </c>
      <c r="AQ702" s="3">
        <v>45160.0</v>
      </c>
      <c r="AR702" s="1" t="s">
        <v>2433</v>
      </c>
      <c r="AS702" s="1" t="s">
        <v>3303</v>
      </c>
      <c r="AT702" s="1" t="s">
        <v>31</v>
      </c>
      <c r="AX702" s="1">
        <v>0.0</v>
      </c>
      <c r="AY702" s="1">
        <v>1.0</v>
      </c>
    </row>
    <row r="703" spans="20:51" ht="15.75" hidden="1">
      <c r="T703" s="1">
        <v>9429356.0</v>
      </c>
      <c r="U703" s="1"/>
      <c r="V703" s="1"/>
      <c r="W703" s="1"/>
      <c r="X703" s="1"/>
      <c r="Y703" s="1" t="s">
        <v>3304</v>
      </c>
      <c r="Z703" s="1" t="s">
        <v>3305</v>
      </c>
      <c r="AA703" s="1" t="s">
        <v>3306</v>
      </c>
      <c r="AB703" s="1"/>
      <c r="AC703" s="1"/>
      <c r="AD703" s="1"/>
      <c r="AE703" s="1"/>
      <c r="AG703" s="2" t="str">
        <f>"1935536036"</f>
        <v>1935536036</v>
      </c>
      <c r="AH703" s="2" t="str">
        <f>"9781935536031"</f>
        <v>9781935536031</v>
      </c>
      <c r="AI703" s="1">
        <v>0.0</v>
      </c>
      <c r="AJ703" s="1">
        <v>4.56</v>
      </c>
      <c r="AK703" s="1" t="s">
        <v>3307</v>
      </c>
      <c r="AL703" s="1" t="s">
        <v>28</v>
      </c>
      <c r="AM703" s="1">
        <v>92.0</v>
      </c>
      <c r="AN703" s="1">
        <v>2010.0</v>
      </c>
      <c r="AO703" s="1">
        <v>2010.0</v>
      </c>
      <c r="AQ703" s="3">
        <v>45143.0</v>
      </c>
      <c r="AR703" s="1" t="s">
        <v>3159</v>
      </c>
      <c r="AS703" s="1" t="s">
        <v>3308</v>
      </c>
      <c r="AT703" s="1" t="s">
        <v>31</v>
      </c>
      <c r="AX703" s="1">
        <v>0.0</v>
      </c>
      <c r="AY703" s="1">
        <v>1.0</v>
      </c>
    </row>
    <row r="704" spans="20:51" ht="15.75" hidden="1">
      <c r="T704" s="1">
        <v>1.1778691E7</v>
      </c>
      <c r="U704" s="1"/>
      <c r="V704" s="1"/>
      <c r="W704" s="1"/>
      <c r="X704" s="1"/>
      <c r="Y704" s="1" t="s">
        <v>3309</v>
      </c>
      <c r="Z704" s="1" t="s">
        <v>3310</v>
      </c>
      <c r="AA704" s="1" t="s">
        <v>3311</v>
      </c>
      <c r="AB704" s="1"/>
      <c r="AC704" s="1"/>
      <c r="AD704" s="1"/>
      <c r="AE704" s="1"/>
      <c r="AG704" s="2" t="str">
        <f>"193441462X"</f>
        <v>193441462X</v>
      </c>
      <c r="AH704" s="2" t="str">
        <f>"9781934414620"</f>
        <v>9781934414620</v>
      </c>
      <c r="AI704" s="1">
        <v>0.0</v>
      </c>
      <c r="AJ704" s="1">
        <v>4.3</v>
      </c>
      <c r="AK704" s="1" t="s">
        <v>3312</v>
      </c>
      <c r="AL704" s="1" t="s">
        <v>28</v>
      </c>
      <c r="AM704" s="1">
        <v>120.0</v>
      </c>
      <c r="AN704" s="1">
        <v>2011.0</v>
      </c>
      <c r="AO704" s="1">
        <v>2011.0</v>
      </c>
      <c r="AQ704" s="3">
        <v>45143.0</v>
      </c>
      <c r="AR704" s="1" t="s">
        <v>3159</v>
      </c>
      <c r="AS704" s="1" t="s">
        <v>3313</v>
      </c>
      <c r="AT704" s="1" t="s">
        <v>31</v>
      </c>
      <c r="AX704" s="1">
        <v>0.0</v>
      </c>
      <c r="AY704" s="1">
        <v>1.0</v>
      </c>
    </row>
    <row r="705" spans="20:51" ht="15.75" hidden="1">
      <c r="T705" s="1">
        <v>4828010.0</v>
      </c>
      <c r="U705" s="1"/>
      <c r="V705" s="1"/>
      <c r="W705" s="1"/>
      <c r="X705" s="1"/>
      <c r="Y705" s="1" t="s">
        <v>3314</v>
      </c>
      <c r="Z705" s="1" t="s">
        <v>3315</v>
      </c>
      <c r="AA705" s="1" t="s">
        <v>3316</v>
      </c>
      <c r="AB705" s="1"/>
      <c r="AC705" s="1"/>
      <c r="AD705" s="1"/>
      <c r="AE705" s="1"/>
      <c r="AG705" s="2" t="str">
        <f>"0979458218"</f>
        <v>0979458218</v>
      </c>
      <c r="AH705" s="2" t="str">
        <f>"9780979458217"</f>
        <v>9780979458217</v>
      </c>
      <c r="AI705" s="1">
        <v>0.0</v>
      </c>
      <c r="AJ705" s="1">
        <v>4.23</v>
      </c>
      <c r="AK705" s="1" t="s">
        <v>3317</v>
      </c>
      <c r="AL705" s="1" t="s">
        <v>28</v>
      </c>
      <c r="AM705" s="1">
        <v>78.0</v>
      </c>
      <c r="AN705" s="1">
        <v>2008.0</v>
      </c>
      <c r="AO705" s="1">
        <v>2008.0</v>
      </c>
      <c r="AQ705" s="3">
        <v>45143.0</v>
      </c>
      <c r="AR705" s="1" t="s">
        <v>3159</v>
      </c>
      <c r="AS705" s="1" t="s">
        <v>3318</v>
      </c>
      <c r="AT705" s="1" t="s">
        <v>31</v>
      </c>
      <c r="AX705" s="1">
        <v>0.0</v>
      </c>
      <c r="AY705" s="1">
        <v>1.0</v>
      </c>
    </row>
    <row r="706" spans="20:51" ht="15.75" hidden="1">
      <c r="T706" s="1">
        <v>1.3356852E7</v>
      </c>
      <c r="U706" s="1"/>
      <c r="V706" s="1"/>
      <c r="W706" s="1"/>
      <c r="X706" s="1"/>
      <c r="Y706" s="1" t="s">
        <v>3319</v>
      </c>
      <c r="Z706" s="1" t="s">
        <v>3320</v>
      </c>
      <c r="AA706" s="1" t="s">
        <v>3321</v>
      </c>
      <c r="AB706" s="1"/>
      <c r="AC706" s="1"/>
      <c r="AD706" s="1"/>
      <c r="AE706" s="1"/>
      <c r="AG706" s="2" t="str">
        <f>"1934103241"</f>
        <v>1934103241</v>
      </c>
      <c r="AH706" s="2" t="str">
        <f>"9781934103241"</f>
        <v>9781934103241</v>
      </c>
      <c r="AI706" s="1">
        <v>0.0</v>
      </c>
      <c r="AJ706" s="1">
        <v>4.28</v>
      </c>
      <c r="AK706" s="1" t="s">
        <v>3322</v>
      </c>
      <c r="AL706" s="1" t="s">
        <v>28</v>
      </c>
      <c r="AM706" s="1">
        <v>96.0</v>
      </c>
      <c r="AN706" s="1">
        <v>2012.0</v>
      </c>
      <c r="AO706" s="1">
        <v>2012.0</v>
      </c>
      <c r="AQ706" s="3">
        <v>45143.0</v>
      </c>
      <c r="AR706" s="1" t="s">
        <v>3159</v>
      </c>
      <c r="AS706" s="1" t="s">
        <v>3323</v>
      </c>
      <c r="AT706" s="1" t="s">
        <v>31</v>
      </c>
      <c r="AX706" s="1">
        <v>0.0</v>
      </c>
      <c r="AY706" s="1">
        <v>1.0</v>
      </c>
    </row>
    <row r="707" spans="20:51" ht="15.75" hidden="1">
      <c r="T707" s="1">
        <v>9481372.0</v>
      </c>
      <c r="U707" s="1"/>
      <c r="V707" s="1"/>
      <c r="W707" s="1"/>
      <c r="X707" s="1"/>
      <c r="Y707" s="1" t="s">
        <v>3324</v>
      </c>
      <c r="Z707" s="1" t="s">
        <v>3325</v>
      </c>
      <c r="AA707" s="1" t="s">
        <v>3326</v>
      </c>
      <c r="AB707" s="1"/>
      <c r="AC707" s="1"/>
      <c r="AD707" s="1"/>
      <c r="AE707" s="1"/>
      <c r="AG707" s="2" t="str">
        <f>"1934828092"</f>
        <v>1934828092</v>
      </c>
      <c r="AH707" s="2" t="str">
        <f>"9781934828090"</f>
        <v>9781934828090</v>
      </c>
      <c r="AI707" s="1">
        <v>0.0</v>
      </c>
      <c r="AJ707" s="1">
        <v>4.44</v>
      </c>
      <c r="AK707" s="1" t="s">
        <v>3327</v>
      </c>
      <c r="AL707" s="1" t="s">
        <v>28</v>
      </c>
      <c r="AM707" s="1">
        <v>67.0</v>
      </c>
      <c r="AN707" s="1">
        <v>2010.0</v>
      </c>
      <c r="AO707" s="1">
        <v>2010.0</v>
      </c>
      <c r="AQ707" s="3">
        <v>45143.0</v>
      </c>
      <c r="AR707" s="1" t="s">
        <v>3159</v>
      </c>
      <c r="AS707" s="1" t="s">
        <v>3328</v>
      </c>
      <c r="AT707" s="1" t="s">
        <v>31</v>
      </c>
      <c r="AX707" s="1">
        <v>0.0</v>
      </c>
      <c r="AY707" s="1">
        <v>1.0</v>
      </c>
    </row>
    <row r="708" spans="20:51" ht="15.75" hidden="1">
      <c r="T708" s="1">
        <v>2.3048744E7</v>
      </c>
      <c r="U708" s="1"/>
      <c r="V708" s="1"/>
      <c r="W708" s="1"/>
      <c r="X708" s="1"/>
      <c r="Y708" s="1" t="s">
        <v>3329</v>
      </c>
      <c r="Z708" s="1" t="s">
        <v>3330</v>
      </c>
      <c r="AA708" s="1" t="s">
        <v>3331</v>
      </c>
      <c r="AB708" s="1"/>
      <c r="AC708" s="1"/>
      <c r="AD708" s="1"/>
      <c r="AE708" s="1"/>
      <c r="AG708" s="2" t="str">
        <f>"0745685447"</f>
        <v>0745685447</v>
      </c>
      <c r="AH708" s="2" t="str">
        <f>"9780745685441"</f>
        <v>9780745685441</v>
      </c>
      <c r="AI708" s="1">
        <v>0.0</v>
      </c>
      <c r="AJ708" s="1">
        <v>3.99</v>
      </c>
      <c r="AK708" s="1" t="s">
        <v>2694</v>
      </c>
      <c r="AL708" s="1" t="s">
        <v>41</v>
      </c>
      <c r="AM708" s="1">
        <v>200.0</v>
      </c>
      <c r="AN708" s="1">
        <v>2015.0</v>
      </c>
      <c r="AO708" s="1">
        <v>2014.0</v>
      </c>
      <c r="AQ708" s="3">
        <v>45143.0</v>
      </c>
      <c r="AR708" s="1" t="s">
        <v>3332</v>
      </c>
      <c r="AS708" s="1" t="s">
        <v>3333</v>
      </c>
      <c r="AT708" s="1" t="s">
        <v>31</v>
      </c>
      <c r="AX708" s="1">
        <v>1.0</v>
      </c>
      <c r="AY708" s="1">
        <v>1.0</v>
      </c>
    </row>
    <row r="709" spans="20:51" ht="15.75" hidden="1">
      <c r="T709" s="1">
        <v>1.1146839E7</v>
      </c>
      <c r="U709" s="1"/>
      <c r="V709" s="1"/>
      <c r="W709" s="1"/>
      <c r="X709" s="1"/>
      <c r="Y709" s="1" t="s">
        <v>3334</v>
      </c>
      <c r="Z709" s="1" t="s">
        <v>3335</v>
      </c>
      <c r="AA709" s="1" t="s">
        <v>3336</v>
      </c>
      <c r="AB709" s="1"/>
      <c r="AC709" s="1"/>
      <c r="AD709" s="1"/>
      <c r="AE709" s="1"/>
      <c r="AG709" s="2" t="str">
        <f>"0983121931"</f>
        <v>0983121931</v>
      </c>
      <c r="AH709" s="2" t="str">
        <f>"9780983121930"</f>
        <v>9780983121930</v>
      </c>
      <c r="AI709" s="1">
        <v>0.0</v>
      </c>
      <c r="AJ709" s="1">
        <v>5.0</v>
      </c>
      <c r="AK709" s="1" t="s">
        <v>3337</v>
      </c>
      <c r="AL709" s="1" t="s">
        <v>28</v>
      </c>
      <c r="AM709" s="1">
        <v>104.0</v>
      </c>
      <c r="AN709" s="1">
        <v>2011.0</v>
      </c>
      <c r="AO709" s="1">
        <v>2011.0</v>
      </c>
      <c r="AQ709" s="3">
        <v>45143.0</v>
      </c>
      <c r="AR709" s="1" t="s">
        <v>3159</v>
      </c>
      <c r="AS709" s="1" t="s">
        <v>3338</v>
      </c>
      <c r="AT709" s="1" t="s">
        <v>31</v>
      </c>
      <c r="AX709" s="1">
        <v>0.0</v>
      </c>
      <c r="AY709" s="1">
        <v>1.0</v>
      </c>
    </row>
    <row r="710" spans="20:51" ht="15.75" hidden="1">
      <c r="T710" s="1">
        <v>7231024.0</v>
      </c>
      <c r="U710" s="1"/>
      <c r="V710" s="1"/>
      <c r="W710" s="1"/>
      <c r="X710" s="1"/>
      <c r="Y710" s="1" t="s">
        <v>3339</v>
      </c>
      <c r="Z710" s="1" t="s">
        <v>3340</v>
      </c>
      <c r="AA710" s="1" t="s">
        <v>3341</v>
      </c>
      <c r="AB710" s="1"/>
      <c r="AC710" s="1"/>
      <c r="AD710" s="1"/>
      <c r="AE710" s="1"/>
      <c r="AG710" s="2" t="str">
        <f>"0195305310"</f>
        <v>0195305310</v>
      </c>
      <c r="AH710" s="2" t="str">
        <f>"9780195305319"</f>
        <v>9780195305319</v>
      </c>
      <c r="AI710" s="1">
        <v>0.0</v>
      </c>
      <c r="AJ710" s="1">
        <v>4.01</v>
      </c>
      <c r="AK710" s="1" t="s">
        <v>214</v>
      </c>
      <c r="AL710" s="1" t="s">
        <v>41</v>
      </c>
      <c r="AM710" s="1">
        <v>209.0</v>
      </c>
      <c r="AN710" s="1">
        <v>2010.0</v>
      </c>
      <c r="AO710" s="1">
        <v>2010.0</v>
      </c>
      <c r="AQ710" s="3">
        <v>45143.0</v>
      </c>
      <c r="AR710" s="1" t="s">
        <v>3342</v>
      </c>
      <c r="AS710" s="1" t="s">
        <v>3343</v>
      </c>
      <c r="AT710" s="1" t="s">
        <v>31</v>
      </c>
      <c r="AX710" s="1">
        <v>0.0</v>
      </c>
      <c r="AY710" s="1">
        <v>1.0</v>
      </c>
    </row>
    <row r="711" spans="20:51" ht="15.75" hidden="1">
      <c r="T711" s="1">
        <v>1.5020163E7</v>
      </c>
      <c r="U711" s="1"/>
      <c r="V711" s="1"/>
      <c r="W711" s="1"/>
      <c r="X711" s="1"/>
      <c r="Y711" s="1" t="s">
        <v>3344</v>
      </c>
      <c r="Z711" s="1" t="s">
        <v>3345</v>
      </c>
      <c r="AA711" s="1" t="s">
        <v>3346</v>
      </c>
      <c r="AB711" s="1"/>
      <c r="AC711" s="1"/>
      <c r="AD711" s="1"/>
      <c r="AE711" s="1"/>
      <c r="AG711" s="2" t="str">
        <f>"0984151397"</f>
        <v>0984151397</v>
      </c>
      <c r="AH711" s="2" t="str">
        <f>"9780984151394"</f>
        <v>9780984151394</v>
      </c>
      <c r="AI711" s="1">
        <v>0.0</v>
      </c>
      <c r="AJ711" s="1">
        <v>4.4</v>
      </c>
      <c r="AK711" s="1" t="s">
        <v>3337</v>
      </c>
      <c r="AL711" s="1" t="s">
        <v>28</v>
      </c>
      <c r="AM711" s="1">
        <v>66.0</v>
      </c>
      <c r="AN711" s="1">
        <v>2010.0</v>
      </c>
      <c r="AO711" s="1">
        <v>2010.0</v>
      </c>
      <c r="AQ711" s="3">
        <v>45143.0</v>
      </c>
      <c r="AR711" s="1" t="s">
        <v>3159</v>
      </c>
      <c r="AS711" s="1" t="s">
        <v>3347</v>
      </c>
      <c r="AT711" s="1" t="s">
        <v>31</v>
      </c>
      <c r="AX711" s="1">
        <v>0.0</v>
      </c>
      <c r="AY711" s="1">
        <v>1.0</v>
      </c>
    </row>
    <row r="712" spans="20:51" ht="15.75" hidden="1">
      <c r="T712" s="1">
        <v>6.4467729E7</v>
      </c>
      <c r="U712" s="1"/>
      <c r="V712" s="1"/>
      <c r="W712" s="1"/>
      <c r="X712" s="1"/>
      <c r="Y712" s="1" t="s">
        <v>3348</v>
      </c>
      <c r="Z712" s="1" t="s">
        <v>3349</v>
      </c>
      <c r="AA712" s="1" t="s">
        <v>3350</v>
      </c>
      <c r="AB712" s="1"/>
      <c r="AC712" s="1"/>
      <c r="AD712" s="1"/>
      <c r="AE712" s="1"/>
      <c r="AG712" s="2" t="str">
        <f>"9879395905"</f>
        <v>9879395905</v>
      </c>
      <c r="AH712" s="2" t="str">
        <f>"9789879395905"</f>
        <v>9789879395905</v>
      </c>
      <c r="AI712" s="1">
        <v>0.0</v>
      </c>
      <c r="AJ712" s="1">
        <v>0.0</v>
      </c>
      <c r="AK712" s="1" t="s">
        <v>3351</v>
      </c>
      <c r="AL712" s="1" t="s">
        <v>28</v>
      </c>
      <c r="AN712" s="1">
        <v>2013.0</v>
      </c>
      <c r="AQ712" s="3">
        <v>45143.0</v>
      </c>
      <c r="AR712" s="1" t="s">
        <v>3137</v>
      </c>
      <c r="AS712" s="1" t="s">
        <v>3352</v>
      </c>
      <c r="AT712" s="1" t="s">
        <v>31</v>
      </c>
      <c r="AX712" s="1">
        <v>0.0</v>
      </c>
      <c r="AY712" s="1">
        <v>1.0</v>
      </c>
    </row>
    <row r="713" spans="20:51" ht="15.75" hidden="1">
      <c r="T713" s="1">
        <v>1.3509974E7</v>
      </c>
      <c r="U713" s="1"/>
      <c r="V713" s="1"/>
      <c r="W713" s="1"/>
      <c r="X713" s="1"/>
      <c r="Y713" s="1" t="s">
        <v>3353</v>
      </c>
      <c r="Z713" s="1" t="s">
        <v>3354</v>
      </c>
      <c r="AA713" s="1" t="s">
        <v>3355</v>
      </c>
      <c r="AB713" s="1"/>
      <c r="AC713" s="1"/>
      <c r="AD713" s="1"/>
      <c r="AE713" s="1"/>
      <c r="AG713" s="2" t="str">
        <f>"1934103276"</f>
        <v>1934103276</v>
      </c>
      <c r="AH713" s="2" t="str">
        <f>"9781934103272"</f>
        <v>9781934103272</v>
      </c>
      <c r="AI713" s="1">
        <v>0.0</v>
      </c>
      <c r="AJ713" s="1">
        <v>4.14</v>
      </c>
      <c r="AK713" s="1" t="s">
        <v>3322</v>
      </c>
      <c r="AL713" s="1" t="s">
        <v>28</v>
      </c>
      <c r="AM713" s="1">
        <v>114.0</v>
      </c>
      <c r="AN713" s="1">
        <v>2012.0</v>
      </c>
      <c r="AO713" s="1">
        <v>2012.0</v>
      </c>
      <c r="AQ713" s="3">
        <v>45143.0</v>
      </c>
      <c r="AR713" s="1" t="s">
        <v>3159</v>
      </c>
      <c r="AS713" s="1" t="s">
        <v>3356</v>
      </c>
      <c r="AT713" s="1" t="s">
        <v>31</v>
      </c>
      <c r="AX713" s="1">
        <v>1.0</v>
      </c>
      <c r="AY713" s="1">
        <v>1.0</v>
      </c>
    </row>
    <row r="714" spans="20:51" ht="15.75" hidden="1">
      <c r="T714" s="1">
        <v>1.036133E7</v>
      </c>
      <c r="U714" s="1"/>
      <c r="V714" s="1"/>
      <c r="W714" s="1"/>
      <c r="X714" s="1"/>
      <c r="Y714" s="1" t="s">
        <v>3357</v>
      </c>
      <c r="Z714" s="1" t="s">
        <v>3358</v>
      </c>
      <c r="AA714" s="1" t="s">
        <v>3359</v>
      </c>
      <c r="AB714" s="1"/>
      <c r="AC714" s="1"/>
      <c r="AD714" s="1"/>
      <c r="AE714" s="1"/>
      <c r="AG714" s="2" t="str">
        <f>"1118008189"</f>
        <v>1118008189</v>
      </c>
      <c r="AH714" s="2" t="str">
        <f>"9781118008188"</f>
        <v>9781118008188</v>
      </c>
      <c r="AI714" s="1">
        <v>0.0</v>
      </c>
      <c r="AJ714" s="1">
        <v>4.32</v>
      </c>
      <c r="AK714" s="1" t="s">
        <v>2617</v>
      </c>
      <c r="AL714" s="1" t="s">
        <v>28</v>
      </c>
      <c r="AM714" s="1">
        <v>514.0</v>
      </c>
      <c r="AN714" s="1">
        <v>2011.0</v>
      </c>
      <c r="AO714" s="1">
        <v>2011.0</v>
      </c>
      <c r="AQ714" s="3">
        <v>45132.0</v>
      </c>
      <c r="AR714" s="1" t="s">
        <v>3137</v>
      </c>
      <c r="AS714" s="1" t="s">
        <v>3360</v>
      </c>
      <c r="AT714" s="1" t="s">
        <v>31</v>
      </c>
      <c r="AX714" s="1">
        <v>0.0</v>
      </c>
      <c r="AY714" s="1">
        <v>1.0</v>
      </c>
    </row>
    <row r="715" spans="20:51" ht="15.75" hidden="1">
      <c r="T715" s="1">
        <v>4.6213396E7</v>
      </c>
      <c r="U715" s="1"/>
      <c r="V715" s="1"/>
      <c r="W715" s="1"/>
      <c r="X715" s="1"/>
      <c r="Y715" s="1" t="s">
        <v>3361</v>
      </c>
      <c r="Z715" s="1" t="s">
        <v>3362</v>
      </c>
      <c r="AA715" s="1" t="s">
        <v>3363</v>
      </c>
      <c r="AB715" s="1"/>
      <c r="AC715" s="1"/>
      <c r="AD715" s="1"/>
      <c r="AE715" s="1"/>
      <c r="AF715" s="1" t="s">
        <v>3364</v>
      </c>
      <c r="AG715" s="2" t="str">
        <f>"1617293563"</f>
        <v>1617293563</v>
      </c>
      <c r="AH715" s="2" t="str">
        <f>"9781617293566"</f>
        <v>9781617293566</v>
      </c>
      <c r="AI715" s="1">
        <v>0.0</v>
      </c>
      <c r="AJ715" s="1">
        <v>4.36</v>
      </c>
      <c r="AK715" s="1" t="s">
        <v>3365</v>
      </c>
      <c r="AL715" s="1" t="s">
        <v>28</v>
      </c>
      <c r="AM715" s="1">
        <v>592.0</v>
      </c>
      <c r="AN715" s="1">
        <v>2018.0</v>
      </c>
      <c r="AO715" s="1">
        <v>2014.0</v>
      </c>
      <c r="AQ715" s="3">
        <v>45136.0</v>
      </c>
      <c r="AR715" s="1" t="s">
        <v>3189</v>
      </c>
      <c r="AS715" s="1" t="s">
        <v>3366</v>
      </c>
      <c r="AT715" s="1" t="s">
        <v>31</v>
      </c>
      <c r="AX715" s="1">
        <v>1.0</v>
      </c>
      <c r="AY715" s="1">
        <v>1.0</v>
      </c>
    </row>
    <row r="716" spans="20:51" ht="15.75" hidden="1">
      <c r="T716" s="1">
        <v>2.5707092E7</v>
      </c>
      <c r="U716" s="1"/>
      <c r="V716" s="1"/>
      <c r="W716" s="1"/>
      <c r="X716" s="1"/>
      <c r="Y716" s="1" t="s">
        <v>3367</v>
      </c>
      <c r="Z716" s="1" t="s">
        <v>3368</v>
      </c>
      <c r="AA716" s="1" t="s">
        <v>3369</v>
      </c>
      <c r="AB716" s="1"/>
      <c r="AC716" s="1"/>
      <c r="AD716" s="1"/>
      <c r="AE716" s="1"/>
      <c r="AG716" s="2" t="str">
        <f>"0984782850"</f>
        <v>0984782850</v>
      </c>
      <c r="AH716" s="2" t="str">
        <f>"9780984782857"</f>
        <v>9780984782857</v>
      </c>
      <c r="AI716" s="1">
        <v>0.0</v>
      </c>
      <c r="AJ716" s="1">
        <v>4.34</v>
      </c>
      <c r="AK716" s="1" t="s">
        <v>3370</v>
      </c>
      <c r="AL716" s="1" t="s">
        <v>28</v>
      </c>
      <c r="AM716" s="1">
        <v>687.0</v>
      </c>
      <c r="AN716" s="1">
        <v>2015.0</v>
      </c>
      <c r="AO716" s="1">
        <v>2008.0</v>
      </c>
      <c r="AQ716" s="3">
        <v>45132.0</v>
      </c>
      <c r="AR716" s="1" t="s">
        <v>3189</v>
      </c>
      <c r="AS716" s="1" t="s">
        <v>3371</v>
      </c>
      <c r="AT716" s="1" t="s">
        <v>31</v>
      </c>
      <c r="AX716" s="1">
        <v>0.0</v>
      </c>
      <c r="AY716" s="1">
        <v>1.0</v>
      </c>
    </row>
    <row r="717" spans="20:51" ht="15.75" hidden="1">
      <c r="T717" s="1">
        <v>7976610.0</v>
      </c>
      <c r="U717" s="1"/>
      <c r="V717" s="1"/>
      <c r="W717" s="1"/>
      <c r="X717" s="1"/>
      <c r="Y717" s="1" t="s">
        <v>3372</v>
      </c>
      <c r="Z717" s="1" t="s">
        <v>3373</v>
      </c>
      <c r="AA717" s="1" t="s">
        <v>3374</v>
      </c>
      <c r="AB717" s="1"/>
      <c r="AC717" s="1"/>
      <c r="AD717" s="1"/>
      <c r="AE717" s="1"/>
      <c r="AF717" s="1" t="s">
        <v>3375</v>
      </c>
      <c r="AG717" s="2" t="str">
        <f>"098416670X"</f>
        <v>098416670X</v>
      </c>
      <c r="AH717" s="2" t="str">
        <f>"9780984166701"</f>
        <v>9780984166701</v>
      </c>
      <c r="AI717" s="1">
        <v>0.0</v>
      </c>
      <c r="AJ717" s="1">
        <v>0.0</v>
      </c>
      <c r="AK717" s="1" t="s">
        <v>3376</v>
      </c>
      <c r="AL717" s="1" t="s">
        <v>41</v>
      </c>
      <c r="AM717" s="1">
        <v>240.0</v>
      </c>
      <c r="AN717" s="1">
        <v>2010.0</v>
      </c>
      <c r="AQ717" s="3">
        <v>45136.0</v>
      </c>
      <c r="AR717" s="1" t="s">
        <v>3137</v>
      </c>
      <c r="AS717" s="1" t="s">
        <v>3377</v>
      </c>
      <c r="AT717" s="1" t="s">
        <v>31</v>
      </c>
      <c r="AX717" s="1">
        <v>0.0</v>
      </c>
      <c r="AY717" s="1">
        <v>1.0</v>
      </c>
    </row>
    <row r="718" spans="20:51" ht="15.75" hidden="1">
      <c r="T718" s="1">
        <v>9654606.0</v>
      </c>
      <c r="U718" s="1"/>
      <c r="V718" s="1"/>
      <c r="W718" s="1"/>
      <c r="X718" s="1"/>
      <c r="Y718" s="1" t="s">
        <v>3378</v>
      </c>
      <c r="Z718" s="1" t="s">
        <v>3379</v>
      </c>
      <c r="AA718" s="1" t="s">
        <v>3380</v>
      </c>
      <c r="AB718" s="1"/>
      <c r="AC718" s="1"/>
      <c r="AD718" s="1"/>
      <c r="AE718" s="1"/>
      <c r="AG718" s="2" t="str">
        <f>"0517526441"</f>
        <v>0517526441</v>
      </c>
      <c r="AH718" s="2" t="str">
        <f>"9780517526446"</f>
        <v>9780517526446</v>
      </c>
      <c r="AI718" s="1">
        <v>0.0</v>
      </c>
      <c r="AJ718" s="1">
        <v>4.25</v>
      </c>
      <c r="AK718" s="1" t="s">
        <v>3381</v>
      </c>
      <c r="AL718" s="1" t="s">
        <v>28</v>
      </c>
      <c r="AM718" s="1">
        <v>72.0</v>
      </c>
      <c r="AN718" s="1">
        <v>1976.0</v>
      </c>
      <c r="AO718" s="1">
        <v>1976.0</v>
      </c>
      <c r="AQ718" s="3">
        <v>45137.0</v>
      </c>
      <c r="AR718" s="1" t="s">
        <v>3144</v>
      </c>
      <c r="AS718" s="1" t="s">
        <v>3382</v>
      </c>
      <c r="AT718" s="1" t="s">
        <v>31</v>
      </c>
      <c r="AX718" s="1">
        <v>0.0</v>
      </c>
      <c r="AY718" s="1">
        <v>1.0</v>
      </c>
    </row>
    <row r="719" spans="20:51" ht="15.75" hidden="1">
      <c r="T719" s="1">
        <v>2.8598594E7</v>
      </c>
      <c r="U719" s="1"/>
      <c r="V719" s="1"/>
      <c r="W719" s="1"/>
      <c r="X719" s="1"/>
      <c r="Y719" s="1" t="s">
        <v>3383</v>
      </c>
      <c r="Z719" s="1" t="s">
        <v>3384</v>
      </c>
      <c r="AA719" s="1" t="s">
        <v>3385</v>
      </c>
      <c r="AB719" s="1"/>
      <c r="AC719" s="1"/>
      <c r="AD719" s="1"/>
      <c r="AE719" s="1"/>
      <c r="AF719" s="1" t="s">
        <v>3386</v>
      </c>
      <c r="AG719" s="2" t="str">
        <f>"9509217697"</f>
        <v>9509217697</v>
      </c>
      <c r="AH719" s="2" t="str">
        <f>"9789509217690"</f>
        <v>9789509217690</v>
      </c>
      <c r="AI719" s="1">
        <v>0.0</v>
      </c>
      <c r="AJ719" s="1">
        <v>4.0</v>
      </c>
      <c r="AK719" s="1" t="s">
        <v>3387</v>
      </c>
      <c r="AL719" s="1" t="s">
        <v>28</v>
      </c>
      <c r="AM719" s="1">
        <v>376.0</v>
      </c>
      <c r="AN719" s="1">
        <v>2004.0</v>
      </c>
      <c r="AO719" s="1">
        <v>2004.0</v>
      </c>
      <c r="AQ719" s="3">
        <v>45132.0</v>
      </c>
      <c r="AR719" s="1" t="s">
        <v>3137</v>
      </c>
      <c r="AS719" s="1" t="s">
        <v>3388</v>
      </c>
      <c r="AT719" s="1" t="s">
        <v>31</v>
      </c>
      <c r="AX719" s="1">
        <v>0.0</v>
      </c>
      <c r="AY719" s="1">
        <v>1.0</v>
      </c>
    </row>
    <row r="720" spans="20:51" ht="15.75">
      <c r="T720" s="1">
        <v>1359361.0</v>
      </c>
      <c r="U720" s="1"/>
      <c r="V720" s="1"/>
      <c r="W720" s="1"/>
      <c r="X720" s="1"/>
      <c r="Y720" s="1" t="s">
        <v>3389</v>
      </c>
      <c r="Z720" s="1" t="s">
        <v>3390</v>
      </c>
      <c r="AA720" s="1" t="s">
        <v>3391</v>
      </c>
      <c r="AB720" s="1"/>
      <c r="AC720" s="1"/>
      <c r="AD720" s="1"/>
      <c r="AE720" s="1"/>
      <c r="AF720" s="1" t="s">
        <v>3392</v>
      </c>
      <c r="AG720" s="2" t="str">
        <f>"8478884459"</f>
        <v>8478884459</v>
      </c>
      <c r="AH720" s="2" t="str">
        <f>"9788478884452"</f>
        <v>9788478884452</v>
      </c>
      <c r="AI720" s="1">
        <v>0.0</v>
      </c>
      <c r="AJ720" s="1">
        <v>4.47</v>
      </c>
      <c r="AK720" s="1" t="s">
        <v>3393</v>
      </c>
      <c r="AL720" s="1" t="s">
        <v>41</v>
      </c>
      <c r="AM720" s="1">
        <v>254.0</v>
      </c>
      <c r="AN720" s="1">
        <v>1999.0</v>
      </c>
      <c r="AO720" s="1">
        <v>1997.0</v>
      </c>
      <c r="AQ720" s="3">
        <v>45116.0</v>
      </c>
      <c r="AR720" s="1" t="s">
        <v>2433</v>
      </c>
      <c r="AS720" s="1" t="s">
        <v>3394</v>
      </c>
      <c r="AT720" s="1" t="s">
        <v>31</v>
      </c>
      <c r="AX720" s="1">
        <v>0.0</v>
      </c>
      <c r="AY720" s="1">
        <v>1.0</v>
      </c>
    </row>
    <row r="721" spans="20:51" ht="15.75" hidden="1">
      <c r="T721" s="1">
        <v>2.3722003E7</v>
      </c>
      <c r="U721" s="1"/>
      <c r="V721" s="1"/>
      <c r="W721" s="1"/>
      <c r="X721" s="1"/>
      <c r="Y721" s="1" t="s">
        <v>3395</v>
      </c>
      <c r="Z721" s="1" t="s">
        <v>3396</v>
      </c>
      <c r="AA721" s="1" t="s">
        <v>3397</v>
      </c>
      <c r="AB721" s="1"/>
      <c r="AC721" s="1"/>
      <c r="AD721" s="1"/>
      <c r="AE721" s="1"/>
      <c r="AF721" s="1" t="s">
        <v>3398</v>
      </c>
      <c r="AG721" s="2" t="str">
        <f>"1472595688"</f>
        <v>1472595688</v>
      </c>
      <c r="AH721" s="2" t="str">
        <f>"9781472595683"</f>
        <v>9781472595683</v>
      </c>
      <c r="AI721" s="1">
        <v>0.0</v>
      </c>
      <c r="AJ721" s="1">
        <v>3.56</v>
      </c>
      <c r="AK721" s="1" t="s">
        <v>1470</v>
      </c>
      <c r="AL721" s="1" t="s">
        <v>28</v>
      </c>
      <c r="AM721" s="1">
        <v>456.0</v>
      </c>
      <c r="AN721" s="1">
        <v>2015.0</v>
      </c>
      <c r="AO721" s="1">
        <v>2011.0</v>
      </c>
      <c r="AQ721" s="3">
        <v>45132.0</v>
      </c>
      <c r="AR721" s="1" t="s">
        <v>3137</v>
      </c>
      <c r="AS721" s="1" t="s">
        <v>3399</v>
      </c>
      <c r="AT721" s="1" t="s">
        <v>31</v>
      </c>
      <c r="AX721" s="1">
        <v>0.0</v>
      </c>
      <c r="AY721" s="1">
        <v>1.0</v>
      </c>
    </row>
    <row r="722" spans="20:51" ht="15.75" hidden="1">
      <c r="T722" s="1">
        <v>5.6234572E7</v>
      </c>
      <c r="U722" s="1"/>
      <c r="V722" s="1"/>
      <c r="W722" s="1"/>
      <c r="X722" s="1"/>
      <c r="Y722" s="1" t="s">
        <v>3400</v>
      </c>
      <c r="Z722" s="1" t="s">
        <v>3401</v>
      </c>
      <c r="AA722" s="1" t="s">
        <v>3402</v>
      </c>
      <c r="AB722" s="1"/>
      <c r="AC722" s="1"/>
      <c r="AD722" s="1"/>
      <c r="AE722" s="1"/>
      <c r="AF722" s="1" t="s">
        <v>3403</v>
      </c>
      <c r="AG722" s="2" t="str">
        <f>"0440322278"</f>
        <v>0440322278</v>
      </c>
      <c r="AH722" s="2" t="str">
        <f>"9780440322276"</f>
        <v>9780440322276</v>
      </c>
      <c r="AI722" s="1">
        <v>0.0</v>
      </c>
      <c r="AJ722" s="1">
        <v>4.0</v>
      </c>
      <c r="AK722" s="1" t="s">
        <v>3404</v>
      </c>
      <c r="AL722" s="1" t="s">
        <v>315</v>
      </c>
      <c r="AM722" s="1">
        <v>287.0</v>
      </c>
      <c r="AN722" s="1">
        <v>1980.0</v>
      </c>
      <c r="AO722" s="1">
        <v>1965.0</v>
      </c>
      <c r="AQ722" s="3">
        <v>45129.0</v>
      </c>
      <c r="AR722" s="1" t="s">
        <v>3231</v>
      </c>
      <c r="AS722" s="1" t="s">
        <v>3405</v>
      </c>
      <c r="AT722" s="1" t="s">
        <v>31</v>
      </c>
      <c r="AX722" s="1">
        <v>0.0</v>
      </c>
      <c r="AY722" s="1">
        <v>1.0</v>
      </c>
    </row>
    <row r="723" spans="20:51" ht="15.75" hidden="1">
      <c r="T723" s="1">
        <v>1.5793627E7</v>
      </c>
      <c r="U723" s="1"/>
      <c r="V723" s="1"/>
      <c r="W723" s="1"/>
      <c r="X723" s="1"/>
      <c r="Y723" s="1" t="s">
        <v>3406</v>
      </c>
      <c r="Z723" s="1" t="s">
        <v>3407</v>
      </c>
      <c r="AA723" s="1" t="s">
        <v>3408</v>
      </c>
      <c r="AB723" s="1"/>
      <c r="AC723" s="1"/>
      <c r="AD723" s="1"/>
      <c r="AE723" s="1"/>
      <c r="AG723" s="2" t="str">
        <f>"0374533652"</f>
        <v>0374533652</v>
      </c>
      <c r="AH723" s="2" t="str">
        <f>"9780374533656"</f>
        <v>9780374533656</v>
      </c>
      <c r="AI723" s="1">
        <v>0.0</v>
      </c>
      <c r="AJ723" s="1">
        <v>3.93</v>
      </c>
      <c r="AK723" s="1" t="s">
        <v>89</v>
      </c>
      <c r="AL723" s="1" t="s">
        <v>28</v>
      </c>
      <c r="AM723" s="1">
        <v>256.0</v>
      </c>
      <c r="AN723" s="1">
        <v>2013.0</v>
      </c>
      <c r="AO723" s="1">
        <v>2012.0</v>
      </c>
      <c r="AQ723" s="3">
        <v>45116.0</v>
      </c>
      <c r="AR723" s="1" t="s">
        <v>3409</v>
      </c>
      <c r="AS723" s="1" t="s">
        <v>3410</v>
      </c>
      <c r="AT723" s="1" t="s">
        <v>31</v>
      </c>
      <c r="AX723" s="1">
        <v>1.0</v>
      </c>
      <c r="AY723" s="1">
        <v>1.0</v>
      </c>
    </row>
    <row r="724" spans="20:51" ht="15.75" hidden="1">
      <c r="T724" s="1">
        <v>2.4612E7</v>
      </c>
      <c r="U724" s="1"/>
      <c r="V724" s="1"/>
      <c r="W724" s="1"/>
      <c r="X724" s="1"/>
      <c r="Y724" s="1" t="s">
        <v>3411</v>
      </c>
      <c r="Z724" s="1" t="s">
        <v>3412</v>
      </c>
      <c r="AA724" s="1" t="s">
        <v>3413</v>
      </c>
      <c r="AB724" s="1"/>
      <c r="AC724" s="1"/>
      <c r="AD724" s="1"/>
      <c r="AE724" s="1"/>
      <c r="AF724" s="1" t="s">
        <v>3414</v>
      </c>
      <c r="AG724" s="2" t="str">
        <f>"0143107771"</f>
        <v>0143107771</v>
      </c>
      <c r="AH724" s="2" t="str">
        <f>"9780143107774"</f>
        <v>9780143107774</v>
      </c>
      <c r="AI724" s="1">
        <v>0.0</v>
      </c>
      <c r="AJ724" s="1">
        <v>4.41</v>
      </c>
      <c r="AK724" s="1" t="s">
        <v>232</v>
      </c>
      <c r="AL724" s="1" t="s">
        <v>28</v>
      </c>
      <c r="AM724" s="1">
        <v>1312.0</v>
      </c>
      <c r="AN724" s="1">
        <v>2015.0</v>
      </c>
      <c r="AO724" s="1">
        <v>2015.0</v>
      </c>
      <c r="AQ724" s="3">
        <v>45129.0</v>
      </c>
      <c r="AR724" s="1" t="s">
        <v>3127</v>
      </c>
      <c r="AS724" s="1" t="s">
        <v>3415</v>
      </c>
      <c r="AT724" s="1" t="s">
        <v>31</v>
      </c>
      <c r="AX724" s="1">
        <v>0.0</v>
      </c>
      <c r="AY724" s="1">
        <v>1.0</v>
      </c>
    </row>
    <row r="725" spans="20:51" ht="15.75" hidden="1">
      <c r="T725" s="1">
        <v>2.148748E7</v>
      </c>
      <c r="U725" s="1"/>
      <c r="V725" s="1"/>
      <c r="W725" s="1"/>
      <c r="X725" s="1"/>
      <c r="Y725" s="1" t="s">
        <v>3416</v>
      </c>
      <c r="Z725" s="1" t="s">
        <v>3417</v>
      </c>
      <c r="AA725" s="1" t="s">
        <v>3418</v>
      </c>
      <c r="AB725" s="1"/>
      <c r="AC725" s="1"/>
      <c r="AD725" s="1"/>
      <c r="AE725" s="1"/>
      <c r="AG725" s="2" t="str">
        <f>"1593275854"</f>
        <v>1593275854</v>
      </c>
      <c r="AH725" s="2" t="str">
        <f>"9781593275853"</f>
        <v>9781593275853</v>
      </c>
      <c r="AI725" s="1">
        <v>0.0</v>
      </c>
      <c r="AJ725" s="1">
        <v>4.09</v>
      </c>
      <c r="AK725" s="1" t="s">
        <v>3419</v>
      </c>
      <c r="AL725" s="1" t="s">
        <v>28</v>
      </c>
      <c r="AM725" s="1">
        <v>192.0</v>
      </c>
      <c r="AN725" s="1">
        <v>2014.0</v>
      </c>
      <c r="AO725" s="1">
        <v>2014.0</v>
      </c>
      <c r="AQ725" s="3">
        <v>45114.0</v>
      </c>
      <c r="AR725" s="1" t="s">
        <v>3137</v>
      </c>
      <c r="AS725" s="1" t="s">
        <v>3420</v>
      </c>
      <c r="AT725" s="1" t="s">
        <v>31</v>
      </c>
      <c r="AX725" s="1">
        <v>0.0</v>
      </c>
      <c r="AY725" s="1">
        <v>1.0</v>
      </c>
    </row>
    <row r="726" spans="20:51" ht="15.75" hidden="1">
      <c r="T726" s="1">
        <v>6464937.0</v>
      </c>
      <c r="U726" s="1"/>
      <c r="V726" s="1"/>
      <c r="W726" s="1"/>
      <c r="X726" s="1"/>
      <c r="Y726" s="1" t="s">
        <v>3421</v>
      </c>
      <c r="Z726" s="1" t="s">
        <v>3422</v>
      </c>
      <c r="AA726" s="1" t="s">
        <v>3423</v>
      </c>
      <c r="AB726" s="1"/>
      <c r="AC726" s="1"/>
      <c r="AD726" s="1"/>
      <c r="AE726" s="1"/>
      <c r="AG726" s="2" t="str">
        <f>"0307269760"</f>
        <v>0307269760</v>
      </c>
      <c r="AH726" s="2" t="str">
        <f>"9780307269768"</f>
        <v>9780307269768</v>
      </c>
      <c r="AI726" s="1">
        <v>0.0</v>
      </c>
      <c r="AJ726" s="1">
        <v>3.83</v>
      </c>
      <c r="AK726" s="1" t="s">
        <v>1736</v>
      </c>
      <c r="AL726" s="1" t="s">
        <v>41</v>
      </c>
      <c r="AM726" s="1">
        <v>304.0</v>
      </c>
      <c r="AN726" s="1">
        <v>2009.0</v>
      </c>
      <c r="AO726" s="1">
        <v>2009.0</v>
      </c>
      <c r="AQ726" s="3">
        <v>45114.0</v>
      </c>
      <c r="AR726" s="1" t="s">
        <v>3231</v>
      </c>
      <c r="AS726" s="1" t="s">
        <v>3424</v>
      </c>
      <c r="AT726" s="1" t="s">
        <v>31</v>
      </c>
      <c r="AX726" s="1">
        <v>0.0</v>
      </c>
      <c r="AY726" s="1">
        <v>1.0</v>
      </c>
    </row>
    <row r="727" spans="20:51" ht="15.75" hidden="1">
      <c r="T727" s="1">
        <v>7723.0</v>
      </c>
      <c r="U727" s="1"/>
      <c r="V727" s="1"/>
      <c r="W727" s="1"/>
      <c r="X727" s="1"/>
      <c r="Y727" s="1" t="s">
        <v>3425</v>
      </c>
      <c r="Z727" s="1" t="s">
        <v>164</v>
      </c>
      <c r="AA727" s="1" t="s">
        <v>165</v>
      </c>
      <c r="AB727" s="1"/>
      <c r="AC727" s="1"/>
      <c r="AD727" s="1"/>
      <c r="AE727" s="1"/>
      <c r="AF727" s="1" t="s">
        <v>3426</v>
      </c>
      <c r="AG727" s="2" t="str">
        <f>"1593080298"</f>
        <v>1593080298</v>
      </c>
      <c r="AH727" s="2" t="str">
        <f>"9781593080297"</f>
        <v>9781593080297</v>
      </c>
      <c r="AI727" s="1">
        <v>0.0</v>
      </c>
      <c r="AJ727" s="1">
        <v>4.04</v>
      </c>
      <c r="AK727" s="1" t="s">
        <v>3427</v>
      </c>
      <c r="AL727" s="1" t="s">
        <v>28</v>
      </c>
      <c r="AM727" s="1">
        <v>224.0</v>
      </c>
      <c r="AN727" s="1">
        <v>2003.0</v>
      </c>
      <c r="AO727" s="1">
        <v>1915.0</v>
      </c>
      <c r="AQ727" s="3">
        <v>45114.0</v>
      </c>
      <c r="AR727" s="1" t="s">
        <v>3231</v>
      </c>
      <c r="AS727" s="1" t="s">
        <v>3428</v>
      </c>
      <c r="AT727" s="1" t="s">
        <v>31</v>
      </c>
      <c r="AX727" s="1">
        <v>0.0</v>
      </c>
      <c r="AY727" s="1">
        <v>1.0</v>
      </c>
    </row>
    <row r="728" spans="20:51" ht="15.75" hidden="1">
      <c r="T728" s="1">
        <v>1696944.0</v>
      </c>
      <c r="U728" s="1"/>
      <c r="V728" s="1"/>
      <c r="W728" s="1"/>
      <c r="X728" s="1"/>
      <c r="Y728" s="1" t="s">
        <v>3429</v>
      </c>
      <c r="Z728" s="1" t="s">
        <v>3430</v>
      </c>
      <c r="AA728" s="1" t="s">
        <v>3431</v>
      </c>
      <c r="AB728" s="1"/>
      <c r="AC728" s="1"/>
      <c r="AD728" s="1"/>
      <c r="AE728" s="1"/>
      <c r="AF728" s="1" t="s">
        <v>3432</v>
      </c>
      <c r="AG728" s="2" t="str">
        <f>"8437615518"</f>
        <v>8437615518</v>
      </c>
      <c r="AH728" s="2" t="str">
        <f>"9788437615516"</f>
        <v>9788437615516</v>
      </c>
      <c r="AI728" s="1">
        <v>0.0</v>
      </c>
      <c r="AJ728" s="1">
        <v>3.78</v>
      </c>
      <c r="AK728" s="1" t="s">
        <v>3433</v>
      </c>
      <c r="AL728" s="1" t="s">
        <v>28</v>
      </c>
      <c r="AM728" s="1">
        <v>336.0</v>
      </c>
      <c r="AN728" s="1">
        <v>1997.0</v>
      </c>
      <c r="AO728" s="1">
        <v>1970.0</v>
      </c>
      <c r="AQ728" s="3">
        <v>45114.0</v>
      </c>
      <c r="AR728" s="1" t="s">
        <v>3231</v>
      </c>
      <c r="AS728" s="1" t="s">
        <v>3434</v>
      </c>
      <c r="AT728" s="1" t="s">
        <v>31</v>
      </c>
      <c r="AX728" s="1">
        <v>0.0</v>
      </c>
      <c r="AY728" s="1">
        <v>1.0</v>
      </c>
    </row>
    <row r="729" spans="20:51" ht="15.75" hidden="1">
      <c r="T729" s="1">
        <v>7573234.0</v>
      </c>
      <c r="U729" s="1"/>
      <c r="V729" s="1"/>
      <c r="W729" s="1"/>
      <c r="X729" s="1"/>
      <c r="Y729" s="1" t="s">
        <v>3435</v>
      </c>
      <c r="Z729" s="1" t="s">
        <v>3436</v>
      </c>
      <c r="AA729" s="1" t="s">
        <v>3437</v>
      </c>
      <c r="AB729" s="1"/>
      <c r="AC729" s="1"/>
      <c r="AD729" s="1"/>
      <c r="AE729" s="1"/>
      <c r="AG729" s="2" t="str">
        <f>"1555975607"</f>
        <v>1555975607</v>
      </c>
      <c r="AH729" s="2" t="str">
        <f>"9781555975609"</f>
        <v>9781555975609</v>
      </c>
      <c r="AI729" s="1">
        <v>0.0</v>
      </c>
      <c r="AJ729" s="1">
        <v>3.85</v>
      </c>
      <c r="AK729" s="1" t="s">
        <v>971</v>
      </c>
      <c r="AL729" s="1" t="s">
        <v>28</v>
      </c>
      <c r="AM729" s="1">
        <v>199.0</v>
      </c>
      <c r="AN729" s="1">
        <v>2010.0</v>
      </c>
      <c r="AO729" s="1">
        <v>2010.0</v>
      </c>
      <c r="AQ729" s="3">
        <v>45114.0</v>
      </c>
      <c r="AR729" s="1" t="s">
        <v>3137</v>
      </c>
      <c r="AS729" s="1" t="s">
        <v>3438</v>
      </c>
      <c r="AT729" s="1" t="s">
        <v>31</v>
      </c>
      <c r="AX729" s="1">
        <v>0.0</v>
      </c>
      <c r="AY729" s="1">
        <v>1.0</v>
      </c>
    </row>
    <row r="730" spans="20:51" ht="15.75" hidden="1">
      <c r="T730" s="1">
        <v>1115957.0</v>
      </c>
      <c r="U730" s="1"/>
      <c r="V730" s="1"/>
      <c r="W730" s="1"/>
      <c r="X730" s="1"/>
      <c r="Y730" s="1" t="s">
        <v>3439</v>
      </c>
      <c r="Z730" s="1" t="s">
        <v>3440</v>
      </c>
      <c r="AA730" s="1" t="s">
        <v>3441</v>
      </c>
      <c r="AB730" s="1"/>
      <c r="AC730" s="1"/>
      <c r="AD730" s="1"/>
      <c r="AE730" s="1"/>
      <c r="AG730" s="2" t="str">
        <f>"8432230138"</f>
        <v>8432230138</v>
      </c>
      <c r="AH730" s="2" t="str">
        <f>"9788432230134"</f>
        <v>9788432230134</v>
      </c>
      <c r="AI730" s="1">
        <v>0.0</v>
      </c>
      <c r="AJ730" s="1">
        <v>4.3</v>
      </c>
      <c r="AK730" s="1" t="s">
        <v>3442</v>
      </c>
      <c r="AL730" s="1" t="s">
        <v>28</v>
      </c>
      <c r="AM730" s="1">
        <v>295.0</v>
      </c>
      <c r="AN730" s="1">
        <v>1983.0</v>
      </c>
      <c r="AO730" s="1">
        <v>1966.0</v>
      </c>
      <c r="AQ730" s="3">
        <v>45114.0</v>
      </c>
      <c r="AR730" s="1" t="s">
        <v>3231</v>
      </c>
      <c r="AS730" s="1" t="s">
        <v>3443</v>
      </c>
      <c r="AT730" s="1" t="s">
        <v>31</v>
      </c>
      <c r="AX730" s="1">
        <v>0.0</v>
      </c>
      <c r="AY730" s="1">
        <v>1.0</v>
      </c>
    </row>
    <row r="731" spans="20:51" ht="15.75" hidden="1">
      <c r="T731" s="1">
        <v>2.4611714E7</v>
      </c>
      <c r="U731" s="1"/>
      <c r="V731" s="1"/>
      <c r="W731" s="1"/>
      <c r="X731" s="1"/>
      <c r="Y731" s="1" t="s">
        <v>3444</v>
      </c>
      <c r="Z731" s="1" t="s">
        <v>3445</v>
      </c>
      <c r="AA731" s="1" t="s">
        <v>3446</v>
      </c>
      <c r="AB731" s="1"/>
      <c r="AC731" s="1"/>
      <c r="AD731" s="1"/>
      <c r="AE731" s="1"/>
      <c r="AG731" s="2" t="str">
        <f>"159463405X"</f>
        <v>159463405X</v>
      </c>
      <c r="AH731" s="2" t="str">
        <f>"9781594634055"</f>
        <v>9781594634055</v>
      </c>
      <c r="AI731" s="1">
        <v>0.0</v>
      </c>
      <c r="AJ731" s="1">
        <v>3.72</v>
      </c>
      <c r="AK731" s="1" t="s">
        <v>387</v>
      </c>
      <c r="AL731" s="1" t="s">
        <v>28</v>
      </c>
      <c r="AM731" s="1">
        <v>304.0</v>
      </c>
      <c r="AN731" s="1">
        <v>2016.0</v>
      </c>
      <c r="AO731" s="1">
        <v>2015.0</v>
      </c>
      <c r="AQ731" s="3">
        <v>45114.0</v>
      </c>
      <c r="AR731" s="1" t="s">
        <v>3231</v>
      </c>
      <c r="AS731" s="1" t="s">
        <v>3447</v>
      </c>
      <c r="AT731" s="1" t="s">
        <v>31</v>
      </c>
      <c r="AX731" s="1">
        <v>0.0</v>
      </c>
      <c r="AY731" s="1">
        <v>1.0</v>
      </c>
    </row>
    <row r="732" spans="20:51" ht="15.75" hidden="1">
      <c r="T732" s="1">
        <v>1.789114E7</v>
      </c>
      <c r="U732" s="1"/>
      <c r="V732" s="1"/>
      <c r="W732" s="1"/>
      <c r="X732" s="1"/>
      <c r="Y732" s="1" t="s">
        <v>3448</v>
      </c>
      <c r="Z732" s="1" t="s">
        <v>3449</v>
      </c>
      <c r="AA732" s="1" t="s">
        <v>3450</v>
      </c>
      <c r="AB732" s="1"/>
      <c r="AC732" s="1"/>
      <c r="AD732" s="1"/>
      <c r="AE732" s="1"/>
      <c r="AG732" s="2" t="str">
        <f>"0988863200"</f>
        <v>0988863200</v>
      </c>
      <c r="AH732" s="2" t="str">
        <f>"9780988863200"</f>
        <v>9780988863200</v>
      </c>
      <c r="AI732" s="1">
        <v>0.0</v>
      </c>
      <c r="AJ732" s="1">
        <v>4.0</v>
      </c>
      <c r="AK732" s="1" t="s">
        <v>3451</v>
      </c>
      <c r="AL732" s="1" t="s">
        <v>28</v>
      </c>
      <c r="AM732" s="1">
        <v>184.0</v>
      </c>
      <c r="AN732" s="1">
        <v>2013.0</v>
      </c>
      <c r="AO732" s="1">
        <v>2013.0</v>
      </c>
      <c r="AQ732" s="3">
        <v>45114.0</v>
      </c>
      <c r="AR732" s="1" t="s">
        <v>3231</v>
      </c>
      <c r="AS732" s="1" t="s">
        <v>3452</v>
      </c>
      <c r="AT732" s="1" t="s">
        <v>31</v>
      </c>
      <c r="AX732" s="1">
        <v>0.0</v>
      </c>
      <c r="AY732" s="1">
        <v>1.0</v>
      </c>
    </row>
    <row r="733" spans="20:51" ht="15.75">
      <c r="T733" s="1">
        <v>6.9528158E7</v>
      </c>
      <c r="U733" s="1"/>
      <c r="V733" s="1"/>
      <c r="W733" s="1"/>
      <c r="X733" s="1"/>
      <c r="Y733" s="1" t="s">
        <v>3453</v>
      </c>
      <c r="Z733" s="1" t="s">
        <v>3454</v>
      </c>
      <c r="AA733" s="1" t="s">
        <v>3455</v>
      </c>
      <c r="AB733" s="1"/>
      <c r="AC733" s="1"/>
      <c r="AD733" s="1"/>
      <c r="AE733" s="1"/>
      <c r="AG733" s="2" t="str">
        <f>"8473293584"</f>
        <v>8473293584</v>
      </c>
      <c r="AH733" s="2" t="str">
        <f>"9788473293587"</f>
        <v>9788473293587</v>
      </c>
      <c r="AI733" s="1">
        <v>0.0</v>
      </c>
      <c r="AJ733" s="1">
        <v>3.79</v>
      </c>
      <c r="AK733" s="1" t="s">
        <v>3456</v>
      </c>
      <c r="AL733" s="1" t="s">
        <v>28</v>
      </c>
      <c r="AM733" s="1">
        <v>224.0</v>
      </c>
      <c r="AN733" s="1">
        <v>2022.0</v>
      </c>
      <c r="AO733" s="1">
        <v>1986.0</v>
      </c>
      <c r="AQ733" s="3">
        <v>45114.0</v>
      </c>
      <c r="AR733" s="1" t="s">
        <v>2433</v>
      </c>
      <c r="AS733" s="1" t="s">
        <v>3457</v>
      </c>
      <c r="AT733" s="1" t="s">
        <v>31</v>
      </c>
      <c r="AX733" s="1">
        <v>0.0</v>
      </c>
      <c r="AY733" s="1">
        <v>1.0</v>
      </c>
    </row>
    <row r="734" spans="20:51" ht="15.75">
      <c r="T734" s="1">
        <v>1.25351784E8</v>
      </c>
      <c r="U734" s="1"/>
      <c r="V734" s="1"/>
      <c r="W734" s="1"/>
      <c r="X734" s="1"/>
      <c r="Y734" s="1" t="s">
        <v>3458</v>
      </c>
      <c r="Z734" s="1" t="s">
        <v>3459</v>
      </c>
      <c r="AA734" s="1" t="s">
        <v>3460</v>
      </c>
      <c r="AB734" s="1"/>
      <c r="AC734" s="1"/>
      <c r="AD734" s="1"/>
      <c r="AE734" s="1"/>
      <c r="AG734" s="2" t="str">
        <f t="shared" si="42" ref="AG734:AH734">""</f>
        <v/>
      </c>
      <c r="AH734" s="2" t="str">
        <f t="shared" si="42"/>
        <v/>
      </c>
      <c r="AI734" s="1">
        <v>0.0</v>
      </c>
      <c r="AJ734" s="1">
        <v>4.26</v>
      </c>
      <c r="AK734" s="1" t="s">
        <v>27</v>
      </c>
      <c r="AL734" s="1" t="s">
        <v>28</v>
      </c>
      <c r="AN734" s="1">
        <v>1980.0</v>
      </c>
      <c r="AO734" s="1">
        <v>1965.0</v>
      </c>
      <c r="AQ734" s="3">
        <v>45114.0</v>
      </c>
      <c r="AR734" s="1" t="s">
        <v>3461</v>
      </c>
      <c r="AS734" s="1" t="s">
        <v>3462</v>
      </c>
      <c r="AT734" s="1" t="s">
        <v>31</v>
      </c>
      <c r="AX734" s="1">
        <v>1.0</v>
      </c>
      <c r="AY734" s="1">
        <v>1.0</v>
      </c>
    </row>
    <row r="735" spans="20:51" ht="15.75">
      <c r="T735" s="1">
        <v>596522.0</v>
      </c>
      <c r="U735" s="1"/>
      <c r="V735" s="1"/>
      <c r="W735" s="1"/>
      <c r="X735" s="1"/>
      <c r="Y735" s="1" t="s">
        <v>3463</v>
      </c>
      <c r="Z735" s="1" t="s">
        <v>3459</v>
      </c>
      <c r="AA735" s="1" t="s">
        <v>3460</v>
      </c>
      <c r="AB735" s="1"/>
      <c r="AC735" s="1"/>
      <c r="AD735" s="1"/>
      <c r="AE735" s="1"/>
      <c r="AG735" s="2" t="str">
        <f>"1564780147"</f>
        <v>1564780147</v>
      </c>
      <c r="AH735" s="2" t="str">
        <f>"9781564780140"</f>
        <v>9781564780140</v>
      </c>
      <c r="AI735" s="1">
        <v>0.0</v>
      </c>
      <c r="AJ735" s="1">
        <v>4.43</v>
      </c>
      <c r="AK735" s="1" t="s">
        <v>27</v>
      </c>
      <c r="AL735" s="1" t="s">
        <v>28</v>
      </c>
      <c r="AM735" s="1">
        <v>580.0</v>
      </c>
      <c r="AN735" s="1">
        <v>1993.0</v>
      </c>
      <c r="AO735" s="1">
        <v>1965.0</v>
      </c>
      <c r="AQ735" s="3">
        <v>45114.0</v>
      </c>
      <c r="AR735" s="1" t="s">
        <v>2433</v>
      </c>
      <c r="AS735" s="1" t="s">
        <v>3464</v>
      </c>
      <c r="AT735" s="1" t="s">
        <v>31</v>
      </c>
      <c r="AX735" s="1">
        <v>0.0</v>
      </c>
      <c r="AY735" s="1">
        <v>1.0</v>
      </c>
    </row>
    <row r="736" spans="20:51" ht="15.75" hidden="1">
      <c r="T736" s="1">
        <v>2.27575E7</v>
      </c>
      <c r="U736" s="1"/>
      <c r="V736" s="1"/>
      <c r="W736" s="1"/>
      <c r="X736" s="1"/>
      <c r="Y736" s="1" t="s">
        <v>3465</v>
      </c>
      <c r="Z736" s="1" t="s">
        <v>3466</v>
      </c>
      <c r="AA736" s="1" t="s">
        <v>3467</v>
      </c>
      <c r="AB736" s="1"/>
      <c r="AC736" s="1"/>
      <c r="AD736" s="1"/>
      <c r="AE736" s="1"/>
      <c r="AF736" s="1" t="s">
        <v>3468</v>
      </c>
      <c r="AG736" s="2" t="str">
        <f>"0983265992"</f>
        <v>0983265992</v>
      </c>
      <c r="AH736" s="2" t="str">
        <f>"9780983265993"</f>
        <v>9780983265993</v>
      </c>
      <c r="AI736" s="1">
        <v>0.0</v>
      </c>
      <c r="AJ736" s="1">
        <v>3.5</v>
      </c>
      <c r="AK736" s="1" t="s">
        <v>3469</v>
      </c>
      <c r="AL736" s="1" t="s">
        <v>3470</v>
      </c>
      <c r="AM736" s="1">
        <v>172.0</v>
      </c>
      <c r="AN736" s="1">
        <v>2011.0</v>
      </c>
      <c r="AO736" s="1">
        <v>2011.0</v>
      </c>
      <c r="AQ736" s="3">
        <v>45113.0</v>
      </c>
      <c r="AR736" s="1" t="s">
        <v>3137</v>
      </c>
      <c r="AS736" s="1" t="s">
        <v>3471</v>
      </c>
      <c r="AT736" s="1" t="s">
        <v>31</v>
      </c>
      <c r="AX736" s="1">
        <v>0.0</v>
      </c>
      <c r="AY736" s="1">
        <v>1.0</v>
      </c>
    </row>
    <row r="737" spans="20:51" ht="15.75" hidden="1">
      <c r="T737" s="1">
        <v>1536.0</v>
      </c>
      <c r="U737" s="1"/>
      <c r="V737" s="1"/>
      <c r="W737" s="1"/>
      <c r="X737" s="1"/>
      <c r="Y737" s="1" t="s">
        <v>3472</v>
      </c>
      <c r="Z737" s="1" t="s">
        <v>602</v>
      </c>
      <c r="AA737" s="1" t="s">
        <v>603</v>
      </c>
      <c r="AB737" s="1"/>
      <c r="AC737" s="1"/>
      <c r="AD737" s="1"/>
      <c r="AE737" s="1"/>
      <c r="AF737" s="1" t="s">
        <v>3473</v>
      </c>
      <c r="AG737" s="2" t="str">
        <f>"0226307867"</f>
        <v>0226307867</v>
      </c>
      <c r="AH737" s="2" t="str">
        <f>"9780226307862"</f>
        <v>9780226307862</v>
      </c>
      <c r="AI737" s="1">
        <v>0.0</v>
      </c>
      <c r="AJ737" s="1">
        <v>4.14</v>
      </c>
      <c r="AK737" s="1" t="s">
        <v>224</v>
      </c>
      <c r="AL737" s="1" t="s">
        <v>28</v>
      </c>
      <c r="AM737" s="1">
        <v>254.0</v>
      </c>
      <c r="AN737" s="1">
        <v>1969.0</v>
      </c>
      <c r="AO737" s="1">
        <v>-450.0</v>
      </c>
      <c r="AQ737" s="3">
        <v>45113.0</v>
      </c>
      <c r="AR737" s="1" t="s">
        <v>3474</v>
      </c>
      <c r="AS737" s="1" t="s">
        <v>3475</v>
      </c>
      <c r="AT737" s="1" t="s">
        <v>31</v>
      </c>
      <c r="AX737" s="1">
        <v>0.0</v>
      </c>
      <c r="AY737" s="1">
        <v>1.0</v>
      </c>
    </row>
    <row r="738" spans="20:51" ht="15.75" hidden="1">
      <c r="T738" s="1">
        <v>1.2988752E7</v>
      </c>
      <c r="U738" s="1"/>
      <c r="V738" s="1"/>
      <c r="W738" s="1"/>
      <c r="X738" s="1"/>
      <c r="Y738" s="1" t="s">
        <v>3476</v>
      </c>
      <c r="Z738" s="1" t="s">
        <v>3477</v>
      </c>
      <c r="AA738" s="1" t="s">
        <v>3478</v>
      </c>
      <c r="AB738" s="1"/>
      <c r="AC738" s="1"/>
      <c r="AD738" s="1"/>
      <c r="AE738" s="1"/>
      <c r="AF738" s="1" t="s">
        <v>3479</v>
      </c>
      <c r="AG738" s="2" t="str">
        <f>"1936628074"</f>
        <v>1936628074</v>
      </c>
      <c r="AH738" s="2" t="str">
        <f>"9781936628070"</f>
        <v>9781936628070</v>
      </c>
      <c r="AI738" s="1">
        <v>0.0</v>
      </c>
      <c r="AJ738" s="1">
        <v>4.56</v>
      </c>
      <c r="AK738" s="1" t="s">
        <v>3480</v>
      </c>
      <c r="AM738" s="1">
        <v>316.0</v>
      </c>
      <c r="AO738" s="1">
        <v>2011.0</v>
      </c>
      <c r="AQ738" s="3">
        <v>45113.0</v>
      </c>
      <c r="AR738" s="1" t="s">
        <v>3159</v>
      </c>
      <c r="AS738" s="1" t="s">
        <v>3481</v>
      </c>
      <c r="AT738" s="1" t="s">
        <v>31</v>
      </c>
      <c r="AX738" s="1">
        <v>0.0</v>
      </c>
      <c r="AY738" s="1">
        <v>1.0</v>
      </c>
    </row>
    <row r="739" spans="20:51" ht="15.75" hidden="1">
      <c r="T739" s="1">
        <v>9982697.0</v>
      </c>
      <c r="U739" s="1"/>
      <c r="V739" s="1"/>
      <c r="W739" s="1"/>
      <c r="X739" s="1"/>
      <c r="Y739" s="1" t="s">
        <v>3482</v>
      </c>
      <c r="Z739" s="1" t="s">
        <v>3483</v>
      </c>
      <c r="AA739" s="1" t="s">
        <v>3484</v>
      </c>
      <c r="AB739" s="1"/>
      <c r="AC739" s="1"/>
      <c r="AD739" s="1"/>
      <c r="AE739" s="1"/>
      <c r="AG739" s="2" t="str">
        <f>"0071748032"</f>
        <v>0071748032</v>
      </c>
      <c r="AH739" s="2" t="str">
        <f>"9780071748032"</f>
        <v>9780071748032</v>
      </c>
      <c r="AI739" s="1">
        <v>0.0</v>
      </c>
      <c r="AJ739" s="1">
        <v>3.77</v>
      </c>
      <c r="AK739" s="1" t="s">
        <v>1301</v>
      </c>
      <c r="AL739" s="1" t="s">
        <v>28</v>
      </c>
      <c r="AM739" s="1">
        <v>208.0</v>
      </c>
      <c r="AN739" s="1">
        <v>2010.0</v>
      </c>
      <c r="AO739" s="1">
        <v>2009.0</v>
      </c>
      <c r="AQ739" s="3">
        <v>45113.0</v>
      </c>
      <c r="AR739" s="1" t="s">
        <v>3137</v>
      </c>
      <c r="AS739" s="1" t="s">
        <v>3485</v>
      </c>
      <c r="AT739" s="1" t="s">
        <v>31</v>
      </c>
      <c r="AX739" s="1">
        <v>0.0</v>
      </c>
      <c r="AY739" s="1">
        <v>1.0</v>
      </c>
    </row>
    <row r="740" spans="20:51" ht="15.75" hidden="1">
      <c r="T740" s="1">
        <v>6202980.0</v>
      </c>
      <c r="U740" s="1"/>
      <c r="V740" s="1"/>
      <c r="W740" s="1"/>
      <c r="X740" s="1"/>
      <c r="Y740" s="1" t="s">
        <v>3486</v>
      </c>
      <c r="Z740" s="1" t="s">
        <v>3487</v>
      </c>
      <c r="AA740" s="1" t="s">
        <v>3488</v>
      </c>
      <c r="AB740" s="1"/>
      <c r="AC740" s="1"/>
      <c r="AD740" s="1"/>
      <c r="AE740" s="1"/>
      <c r="AG740" s="2" t="str">
        <f>"1934103063"</f>
        <v>1934103063</v>
      </c>
      <c r="AH740" s="2" t="str">
        <f>"9781934103067"</f>
        <v>9781934103067</v>
      </c>
      <c r="AI740" s="1">
        <v>0.0</v>
      </c>
      <c r="AJ740" s="1">
        <v>4.27</v>
      </c>
      <c r="AK740" s="1" t="s">
        <v>3322</v>
      </c>
      <c r="AL740" s="1" t="s">
        <v>28</v>
      </c>
      <c r="AM740" s="1">
        <v>96.0</v>
      </c>
      <c r="AN740" s="1">
        <v>2009.0</v>
      </c>
      <c r="AO740" s="1">
        <v>2009.0</v>
      </c>
      <c r="AQ740" s="3">
        <v>45113.0</v>
      </c>
      <c r="AR740" s="1" t="s">
        <v>3159</v>
      </c>
      <c r="AS740" s="1" t="s">
        <v>3489</v>
      </c>
      <c r="AT740" s="1" t="s">
        <v>31</v>
      </c>
      <c r="AX740" s="1">
        <v>0.0</v>
      </c>
      <c r="AY740" s="1">
        <v>1.0</v>
      </c>
    </row>
    <row r="741" spans="20:51" ht="15.75" hidden="1">
      <c r="T741" s="1">
        <v>1.173314E7</v>
      </c>
      <c r="U741" s="1"/>
      <c r="V741" s="1"/>
      <c r="W741" s="1"/>
      <c r="X741" s="1"/>
      <c r="Y741" s="1" t="s">
        <v>3490</v>
      </c>
      <c r="Z741" s="1" t="s">
        <v>3491</v>
      </c>
      <c r="AA741" s="1" t="s">
        <v>3492</v>
      </c>
      <c r="AB741" s="1"/>
      <c r="AC741" s="1"/>
      <c r="AD741" s="1"/>
      <c r="AE741" s="1"/>
      <c r="AG741" s="2" t="str">
        <f>"1934414557"</f>
        <v>1934414557</v>
      </c>
      <c r="AH741" s="2" t="str">
        <f>"9781934414552"</f>
        <v>9781934414552</v>
      </c>
      <c r="AI741" s="1">
        <v>0.0</v>
      </c>
      <c r="AJ741" s="1">
        <v>4.33</v>
      </c>
      <c r="AK741" s="1" t="s">
        <v>3312</v>
      </c>
      <c r="AL741" s="1" t="s">
        <v>28</v>
      </c>
      <c r="AM741" s="1">
        <v>125.0</v>
      </c>
      <c r="AN741" s="1">
        <v>2011.0</v>
      </c>
      <c r="AO741" s="1">
        <v>2011.0</v>
      </c>
      <c r="AQ741" s="3">
        <v>45113.0</v>
      </c>
      <c r="AR741" s="1" t="s">
        <v>3159</v>
      </c>
      <c r="AS741" s="1" t="s">
        <v>3493</v>
      </c>
      <c r="AT741" s="1" t="s">
        <v>31</v>
      </c>
      <c r="AX741" s="1">
        <v>0.0</v>
      </c>
      <c r="AY741" s="1">
        <v>1.0</v>
      </c>
    </row>
    <row r="742" spans="20:51" ht="15.75" hidden="1">
      <c r="T742" s="1">
        <v>1.837802E7</v>
      </c>
      <c r="U742" s="1"/>
      <c r="V742" s="1"/>
      <c r="W742" s="1"/>
      <c r="X742" s="1"/>
      <c r="Y742" s="1" t="s">
        <v>3494</v>
      </c>
      <c r="Z742" s="1" t="s">
        <v>3495</v>
      </c>
      <c r="AA742" s="1" t="s">
        <v>3496</v>
      </c>
      <c r="AB742" s="1"/>
      <c r="AC742" s="1"/>
      <c r="AD742" s="1"/>
      <c r="AE742" s="1"/>
      <c r="AG742" s="2" t="str">
        <f>"0393348970"</f>
        <v>0393348970</v>
      </c>
      <c r="AH742" s="2" t="str">
        <f>"9780393348972"</f>
        <v>9780393348972</v>
      </c>
      <c r="AI742" s="1">
        <v>0.0</v>
      </c>
      <c r="AJ742" s="1">
        <v>3.65</v>
      </c>
      <c r="AK742" s="1" t="s">
        <v>113</v>
      </c>
      <c r="AL742" s="1" t="s">
        <v>28</v>
      </c>
      <c r="AM742" s="1">
        <v>240.0</v>
      </c>
      <c r="AN742" s="1">
        <v>2014.0</v>
      </c>
      <c r="AO742" s="1">
        <v>2013.0</v>
      </c>
      <c r="AQ742" s="3">
        <v>45113.0</v>
      </c>
      <c r="AR742" s="1" t="s">
        <v>3159</v>
      </c>
      <c r="AS742" s="1" t="s">
        <v>3497</v>
      </c>
      <c r="AT742" s="1" t="s">
        <v>31</v>
      </c>
      <c r="AX742" s="1">
        <v>0.0</v>
      </c>
      <c r="AY742" s="1">
        <v>1.0</v>
      </c>
    </row>
    <row r="743" spans="20:51" ht="15.75" hidden="1">
      <c r="T743" s="1">
        <v>5.0882242E7</v>
      </c>
      <c r="U743" s="1"/>
      <c r="V743" s="1"/>
      <c r="W743" s="1"/>
      <c r="X743" s="1"/>
      <c r="Y743" s="1" t="s">
        <v>3498</v>
      </c>
      <c r="Z743" s="1" t="s">
        <v>3499</v>
      </c>
      <c r="AA743" s="1" t="s">
        <v>3500</v>
      </c>
      <c r="AB743" s="1"/>
      <c r="AC743" s="1"/>
      <c r="AD743" s="1"/>
      <c r="AE743" s="1"/>
      <c r="AG743" s="2" t="str">
        <f>"1529308070"</f>
        <v>1529308070</v>
      </c>
      <c r="AH743" s="2" t="str">
        <f>"9781529308075"</f>
        <v>9781529308075</v>
      </c>
      <c r="AI743" s="1">
        <v>0.0</v>
      </c>
      <c r="AJ743" s="1">
        <v>4.16</v>
      </c>
      <c r="AK743" s="1" t="s">
        <v>3501</v>
      </c>
      <c r="AL743" s="1" t="s">
        <v>59</v>
      </c>
      <c r="AM743" s="1">
        <v>304.0</v>
      </c>
      <c r="AN743" s="1">
        <v>2020.0</v>
      </c>
      <c r="AO743" s="1">
        <v>2009.0</v>
      </c>
      <c r="AQ743" s="3">
        <v>45113.0</v>
      </c>
      <c r="AR743" s="1" t="s">
        <v>3189</v>
      </c>
      <c r="AS743" s="1" t="s">
        <v>3502</v>
      </c>
      <c r="AT743" s="1" t="s">
        <v>31</v>
      </c>
      <c r="AX743" s="1">
        <v>0.0</v>
      </c>
      <c r="AY743" s="1">
        <v>1.0</v>
      </c>
    </row>
    <row r="744" spans="20:51" ht="15.75" hidden="1">
      <c r="T744" s="1">
        <v>5.4959652E7</v>
      </c>
      <c r="U744" s="1"/>
      <c r="V744" s="1"/>
      <c r="W744" s="1"/>
      <c r="X744" s="1"/>
      <c r="Y744" s="1" t="s">
        <v>3503</v>
      </c>
      <c r="Z744" s="1" t="s">
        <v>3504</v>
      </c>
      <c r="AA744" s="1" t="s">
        <v>3505</v>
      </c>
      <c r="AB744" s="1"/>
      <c r="AC744" s="1"/>
      <c r="AD744" s="1"/>
      <c r="AE744" s="1"/>
      <c r="AG744" s="2" t="str">
        <f>"1786630559"</f>
        <v>1786630559</v>
      </c>
      <c r="AH744" s="2" t="str">
        <f>"9781786630551"</f>
        <v>9781786630551</v>
      </c>
      <c r="AI744" s="1">
        <v>0.0</v>
      </c>
      <c r="AJ744" s="1">
        <v>3.84</v>
      </c>
      <c r="AK744" s="1" t="s">
        <v>1973</v>
      </c>
      <c r="AL744" s="1" t="s">
        <v>59</v>
      </c>
      <c r="AM744" s="1">
        <v>352.0</v>
      </c>
      <c r="AN744" s="1">
        <v>2017.0</v>
      </c>
      <c r="AO744" s="1">
        <v>2009.0</v>
      </c>
      <c r="AQ744" s="3">
        <v>45113.0</v>
      </c>
      <c r="AR744" s="1" t="s">
        <v>3137</v>
      </c>
      <c r="AS744" s="1" t="s">
        <v>3506</v>
      </c>
      <c r="AT744" s="1" t="s">
        <v>31</v>
      </c>
      <c r="AX744" s="1">
        <v>0.0</v>
      </c>
      <c r="AY744" s="1">
        <v>1.0</v>
      </c>
    </row>
    <row r="745" spans="20:51" ht="15.75" hidden="1">
      <c r="T745" s="1">
        <v>2.4905392E7</v>
      </c>
      <c r="U745" s="1"/>
      <c r="V745" s="1"/>
      <c r="W745" s="1"/>
      <c r="X745" s="1"/>
      <c r="Y745" s="1" t="s">
        <v>3507</v>
      </c>
      <c r="Z745" s="1" t="s">
        <v>3508</v>
      </c>
      <c r="AA745" s="1" t="s">
        <v>3509</v>
      </c>
      <c r="AB745" s="1"/>
      <c r="AC745" s="1"/>
      <c r="AD745" s="1"/>
      <c r="AE745" s="1"/>
      <c r="AF745" s="1" t="s">
        <v>3510</v>
      </c>
      <c r="AG745" s="2" t="str">
        <f>"1452142327"</f>
        <v>1452142327</v>
      </c>
      <c r="AH745" s="2" t="str">
        <f>"9781452142326"</f>
        <v>9781452142326</v>
      </c>
      <c r="AI745" s="1">
        <v>0.0</v>
      </c>
      <c r="AJ745" s="1">
        <v>4.07</v>
      </c>
      <c r="AK745" s="1" t="s">
        <v>2389</v>
      </c>
      <c r="AL745" s="1" t="s">
        <v>41</v>
      </c>
      <c r="AM745" s="1">
        <v>216.0</v>
      </c>
      <c r="AN745" s="1">
        <v>2015.0</v>
      </c>
      <c r="AO745" s="1">
        <v>2015.0</v>
      </c>
      <c r="AQ745" s="3">
        <v>45113.0</v>
      </c>
      <c r="AR745" s="1" t="s">
        <v>3137</v>
      </c>
      <c r="AS745" s="1" t="s">
        <v>3511</v>
      </c>
      <c r="AT745" s="1" t="s">
        <v>31</v>
      </c>
      <c r="AX745" s="1">
        <v>0.0</v>
      </c>
      <c r="AY745" s="1">
        <v>1.0</v>
      </c>
    </row>
    <row r="746" spans="20:51" ht="15.75" hidden="1">
      <c r="T746" s="1">
        <v>1.1079798E7</v>
      </c>
      <c r="U746" s="1"/>
      <c r="V746" s="1"/>
      <c r="W746" s="1"/>
      <c r="X746" s="1"/>
      <c r="Y746" s="1" t="s">
        <v>3512</v>
      </c>
      <c r="Z746" s="1" t="s">
        <v>3513</v>
      </c>
      <c r="AA746" s="1" t="s">
        <v>3514</v>
      </c>
      <c r="AB746" s="1"/>
      <c r="AC746" s="1"/>
      <c r="AD746" s="1"/>
      <c r="AE746" s="1"/>
      <c r="AG746" s="2" t="str">
        <f t="shared" si="43" ref="AG746:AH746">""</f>
        <v/>
      </c>
      <c r="AH746" s="2" t="str">
        <f t="shared" si="43"/>
        <v/>
      </c>
      <c r="AI746" s="1">
        <v>0.0</v>
      </c>
      <c r="AJ746" s="1">
        <v>4.18</v>
      </c>
      <c r="AK746" s="1" t="s">
        <v>3515</v>
      </c>
      <c r="AL746" s="1" t="s">
        <v>28</v>
      </c>
      <c r="AN746" s="1">
        <v>1959.0</v>
      </c>
      <c r="AO746" s="1">
        <v>1959.0</v>
      </c>
      <c r="AQ746" s="3">
        <v>44814.0</v>
      </c>
      <c r="AR746" s="1" t="s">
        <v>3137</v>
      </c>
      <c r="AS746" s="1" t="s">
        <v>3516</v>
      </c>
      <c r="AT746" s="1" t="s">
        <v>31</v>
      </c>
      <c r="AX746" s="1">
        <v>0.0</v>
      </c>
      <c r="AY746" s="1">
        <v>1.0</v>
      </c>
    </row>
    <row r="747" spans="20:51" ht="15.75" hidden="1">
      <c r="T747" s="1">
        <v>26522.0</v>
      </c>
      <c r="U747" s="1"/>
      <c r="V747" s="1"/>
      <c r="W747" s="1"/>
      <c r="X747" s="1"/>
      <c r="Y747" s="1" t="s">
        <v>3517</v>
      </c>
      <c r="Z747" s="1" t="s">
        <v>477</v>
      </c>
      <c r="AA747" s="1" t="s">
        <v>478</v>
      </c>
      <c r="AB747" s="1"/>
      <c r="AC747" s="1"/>
      <c r="AD747" s="1"/>
      <c r="AE747" s="1"/>
      <c r="AF747" s="1" t="s">
        <v>3518</v>
      </c>
      <c r="AG747" s="2" t="str">
        <f>"0393093123"</f>
        <v>0393093123</v>
      </c>
      <c r="AH747" s="2" t="str">
        <f>"9780393093124"</f>
        <v>9780393093124</v>
      </c>
      <c r="AI747" s="1">
        <v>0.0</v>
      </c>
      <c r="AJ747" s="1">
        <v>3.99</v>
      </c>
      <c r="AK747" s="1" t="s">
        <v>3519</v>
      </c>
      <c r="AL747" s="1" t="s">
        <v>28</v>
      </c>
      <c r="AM747" s="1">
        <v>126.0</v>
      </c>
      <c r="AN747" s="1">
        <v>1974.0</v>
      </c>
      <c r="AO747" s="1">
        <v>2010.0</v>
      </c>
      <c r="AQ747" s="3">
        <v>45083.0</v>
      </c>
      <c r="AR747" s="1" t="s">
        <v>3520</v>
      </c>
      <c r="AS747" s="1" t="s">
        <v>3521</v>
      </c>
      <c r="AT747" s="1" t="s">
        <v>1983</v>
      </c>
      <c r="AX747" s="1">
        <v>1.0</v>
      </c>
      <c r="AY747" s="1">
        <v>1.0</v>
      </c>
    </row>
    <row r="748" spans="20:51" ht="15.75" hidden="1">
      <c r="T748" s="1">
        <v>1.5862122E7</v>
      </c>
      <c r="U748" s="1"/>
      <c r="V748" s="1"/>
      <c r="W748" s="1"/>
      <c r="X748" s="1"/>
      <c r="Y748" s="1" t="s">
        <v>3522</v>
      </c>
      <c r="Z748" s="1" t="s">
        <v>3523</v>
      </c>
      <c r="AA748" s="1" t="s">
        <v>3524</v>
      </c>
      <c r="AB748" s="1"/>
      <c r="AC748" s="1"/>
      <c r="AD748" s="1"/>
      <c r="AE748" s="1"/>
      <c r="AF748" s="1" t="s">
        <v>3525</v>
      </c>
      <c r="AG748" s="2" t="str">
        <f>"0738735795"</f>
        <v>0738735795</v>
      </c>
      <c r="AH748" s="2" t="str">
        <f>"9780738735795"</f>
        <v>9780738735795</v>
      </c>
      <c r="AI748" s="1">
        <v>0.0</v>
      </c>
      <c r="AJ748" s="1">
        <v>3.96</v>
      </c>
      <c r="AK748" s="1" t="s">
        <v>615</v>
      </c>
      <c r="AL748" s="1" t="s">
        <v>28</v>
      </c>
      <c r="AM748" s="1">
        <v>216.0</v>
      </c>
      <c r="AN748" s="1">
        <v>2013.0</v>
      </c>
      <c r="AQ748" s="3">
        <v>44814.0</v>
      </c>
      <c r="AR748" s="1" t="s">
        <v>3238</v>
      </c>
      <c r="AS748" s="1" t="s">
        <v>3526</v>
      </c>
      <c r="AT748" s="1" t="s">
        <v>31</v>
      </c>
      <c r="AX748" s="1">
        <v>0.0</v>
      </c>
      <c r="AY748" s="1">
        <v>1.0</v>
      </c>
    </row>
    <row r="749" spans="20:51" ht="15.75" hidden="1">
      <c r="T749" s="1">
        <v>2.1947208E7</v>
      </c>
      <c r="U749" s="1"/>
      <c r="V749" s="1"/>
      <c r="W749" s="1"/>
      <c r="X749" s="1"/>
      <c r="Y749" s="1" t="s">
        <v>3527</v>
      </c>
      <c r="Z749" s="1" t="s">
        <v>534</v>
      </c>
      <c r="AA749" s="1" t="s">
        <v>535</v>
      </c>
      <c r="AB749" s="1"/>
      <c r="AC749" s="1"/>
      <c r="AD749" s="1"/>
      <c r="AE749" s="1"/>
      <c r="AF749" s="1" t="s">
        <v>3528</v>
      </c>
      <c r="AG749" s="2" t="str">
        <f t="shared" si="44" ref="AG749:AH749">""</f>
        <v/>
      </c>
      <c r="AH749" s="2" t="str">
        <f t="shared" si="44"/>
        <v/>
      </c>
      <c r="AI749" s="1">
        <v>0.0</v>
      </c>
      <c r="AJ749" s="1">
        <v>4.21</v>
      </c>
      <c r="AK749" s="1" t="s">
        <v>263</v>
      </c>
      <c r="AL749" s="1" t="s">
        <v>28</v>
      </c>
      <c r="AM749" s="1">
        <v>585.0</v>
      </c>
      <c r="AN749" s="1">
        <v>1962.0</v>
      </c>
      <c r="AO749" s="1">
        <v>1934.0</v>
      </c>
      <c r="AQ749" s="3">
        <v>45113.0</v>
      </c>
      <c r="AR749" s="1" t="s">
        <v>3137</v>
      </c>
      <c r="AS749" s="1" t="s">
        <v>3529</v>
      </c>
      <c r="AT749" s="1" t="s">
        <v>31</v>
      </c>
      <c r="AX749" s="1">
        <v>0.0</v>
      </c>
      <c r="AY749" s="1">
        <v>1.0</v>
      </c>
    </row>
    <row r="750" spans="20:51" ht="15.75" hidden="1">
      <c r="T750" s="1">
        <v>9670447.0</v>
      </c>
      <c r="U750" s="1"/>
      <c r="V750" s="1"/>
      <c r="W750" s="1"/>
      <c r="X750" s="1"/>
      <c r="Y750" s="1" t="s">
        <v>3530</v>
      </c>
      <c r="Z750" s="1" t="s">
        <v>3531</v>
      </c>
      <c r="AA750" s="1" t="s">
        <v>3532</v>
      </c>
      <c r="AB750" s="1"/>
      <c r="AC750" s="1"/>
      <c r="AD750" s="1"/>
      <c r="AE750" s="1"/>
      <c r="AG750" s="2" t="str">
        <f>"0738719552"</f>
        <v>0738719552</v>
      </c>
      <c r="AH750" s="2" t="str">
        <f>"9780738719559"</f>
        <v>9780738719559</v>
      </c>
      <c r="AI750" s="1">
        <v>0.0</v>
      </c>
      <c r="AJ750" s="1">
        <v>4.09</v>
      </c>
      <c r="AK750" s="1" t="s">
        <v>615</v>
      </c>
      <c r="AL750" s="1" t="s">
        <v>28</v>
      </c>
      <c r="AM750" s="1">
        <v>360.0</v>
      </c>
      <c r="AN750" s="1">
        <v>2010.0</v>
      </c>
      <c r="AO750" s="1">
        <v>2010.0</v>
      </c>
      <c r="AQ750" s="3">
        <v>44814.0</v>
      </c>
      <c r="AR750" s="1" t="s">
        <v>3238</v>
      </c>
      <c r="AS750" s="1" t="s">
        <v>3533</v>
      </c>
      <c r="AT750" s="1" t="s">
        <v>31</v>
      </c>
      <c r="AX750" s="1">
        <v>0.0</v>
      </c>
      <c r="AY750" s="1">
        <v>1.0</v>
      </c>
    </row>
    <row r="751" spans="20:51" ht="15.75" hidden="1">
      <c r="T751" s="1">
        <v>8202582.0</v>
      </c>
      <c r="U751" s="1"/>
      <c r="V751" s="1"/>
      <c r="W751" s="1"/>
      <c r="X751" s="1"/>
      <c r="Y751" s="1" t="s">
        <v>3534</v>
      </c>
      <c r="Z751" s="1" t="s">
        <v>3535</v>
      </c>
      <c r="AA751" s="1" t="s">
        <v>3536</v>
      </c>
      <c r="AB751" s="1"/>
      <c r="AC751" s="1"/>
      <c r="AD751" s="1"/>
      <c r="AE751" s="1"/>
      <c r="AG751" s="2" t="str">
        <f>"1905857810"</f>
        <v>1905857810</v>
      </c>
      <c r="AH751" s="2" t="str">
        <f>"9781905857814"</f>
        <v>9781905857814</v>
      </c>
      <c r="AI751" s="1">
        <v>0.0</v>
      </c>
      <c r="AJ751" s="1">
        <v>4.21</v>
      </c>
      <c r="AK751" s="1" t="s">
        <v>3537</v>
      </c>
      <c r="AL751" s="1" t="s">
        <v>28</v>
      </c>
      <c r="AM751" s="1">
        <v>256.0</v>
      </c>
      <c r="AN751" s="1">
        <v>2008.0</v>
      </c>
      <c r="AO751" s="1">
        <v>2008.0</v>
      </c>
      <c r="AQ751" s="3">
        <v>44814.0</v>
      </c>
      <c r="AR751" s="1" t="s">
        <v>3538</v>
      </c>
      <c r="AS751" s="1" t="s">
        <v>3539</v>
      </c>
      <c r="AT751" s="1" t="s">
        <v>127</v>
      </c>
      <c r="AX751" s="1">
        <v>1.0</v>
      </c>
      <c r="AY751" s="1">
        <v>1.0</v>
      </c>
    </row>
    <row r="752" spans="20:51" ht="15.75" hidden="1">
      <c r="T752" s="1">
        <v>8014963.0</v>
      </c>
      <c r="U752" s="1"/>
      <c r="V752" s="1"/>
      <c r="W752" s="1"/>
      <c r="X752" s="1"/>
      <c r="Y752" s="1" t="s">
        <v>3540</v>
      </c>
      <c r="Z752" s="1" t="s">
        <v>3541</v>
      </c>
      <c r="AA752" s="1" t="s">
        <v>3542</v>
      </c>
      <c r="AB752" s="1"/>
      <c r="AC752" s="1"/>
      <c r="AD752" s="1"/>
      <c r="AE752" s="1"/>
      <c r="AG752" s="2" t="str">
        <f>"2940411042"</f>
        <v>2940411042</v>
      </c>
      <c r="AH752" s="2" t="str">
        <f>"9782940411047"</f>
        <v>9782940411047</v>
      </c>
      <c r="AI752" s="1">
        <v>0.0</v>
      </c>
      <c r="AJ752" s="1">
        <v>3.79</v>
      </c>
      <c r="AK752" s="1" t="s">
        <v>132</v>
      </c>
      <c r="AL752" s="1" t="s">
        <v>28</v>
      </c>
      <c r="AM752" s="1">
        <v>288.0</v>
      </c>
      <c r="AN752" s="1">
        <v>2010.0</v>
      </c>
      <c r="AO752" s="1">
        <v>2009.0</v>
      </c>
      <c r="AQ752" s="3">
        <v>44814.0</v>
      </c>
      <c r="AR752" s="1" t="s">
        <v>3189</v>
      </c>
      <c r="AS752" s="1" t="s">
        <v>3543</v>
      </c>
      <c r="AT752" s="1" t="s">
        <v>31</v>
      </c>
      <c r="AX752" s="1">
        <v>0.0</v>
      </c>
      <c r="AY752" s="1">
        <v>1.0</v>
      </c>
    </row>
    <row r="753" spans="20:51" ht="15.75">
      <c r="T753" s="1">
        <v>2.6145543E7</v>
      </c>
      <c r="U753" s="1"/>
      <c r="V753" s="1"/>
      <c r="W753" s="1"/>
      <c r="X753" s="1"/>
      <c r="Y753" s="1" t="s">
        <v>3544</v>
      </c>
      <c r="Z753" s="1" t="s">
        <v>3545</v>
      </c>
      <c r="AA753" s="1" t="s">
        <v>3546</v>
      </c>
      <c r="AB753" s="1"/>
      <c r="AC753" s="1"/>
      <c r="AD753" s="1"/>
      <c r="AE753" s="1"/>
      <c r="AF753" s="1" t="s">
        <v>3547</v>
      </c>
      <c r="AG753" s="2" t="str">
        <f>"0374534144"</f>
        <v>0374534144</v>
      </c>
      <c r="AH753" s="2" t="str">
        <f>"9780374534141"</f>
        <v>9780374534141</v>
      </c>
      <c r="AI753" s="1">
        <v>0.0</v>
      </c>
      <c r="AJ753" s="1">
        <v>4.09</v>
      </c>
      <c r="AK753" s="1" t="s">
        <v>89</v>
      </c>
      <c r="AL753" s="1" t="s">
        <v>28</v>
      </c>
      <c r="AM753" s="1">
        <v>442.0</v>
      </c>
      <c r="AN753" s="1">
        <v>2013.0</v>
      </c>
      <c r="AO753" s="1">
        <v>2009.0</v>
      </c>
      <c r="AQ753" s="3">
        <v>44814.0</v>
      </c>
      <c r="AR753" s="1" t="s">
        <v>2433</v>
      </c>
      <c r="AS753" s="1" t="s">
        <v>3548</v>
      </c>
      <c r="AT753" s="1" t="s">
        <v>31</v>
      </c>
      <c r="AX753" s="1">
        <v>0.0</v>
      </c>
      <c r="AY753" s="1">
        <v>1.0</v>
      </c>
    </row>
    <row r="754" spans="20:51" ht="15.75" hidden="1">
      <c r="T754" s="1">
        <v>3.6863631E7</v>
      </c>
      <c r="U754" s="1"/>
      <c r="V754" s="1"/>
      <c r="W754" s="1"/>
      <c r="X754" s="1"/>
      <c r="Y754" s="1" t="s">
        <v>3549</v>
      </c>
      <c r="Z754" s="1" t="s">
        <v>3550</v>
      </c>
      <c r="AA754" s="1" t="s">
        <v>3551</v>
      </c>
      <c r="AB754" s="1"/>
      <c r="AC754" s="1"/>
      <c r="AD754" s="1"/>
      <c r="AE754" s="1"/>
      <c r="AG754" s="2" t="str">
        <f>"0135166306"</f>
        <v>0135166306</v>
      </c>
      <c r="AH754" s="2" t="str">
        <f>"9780135166307"</f>
        <v>9780135166307</v>
      </c>
      <c r="AI754" s="1">
        <v>0.0</v>
      </c>
      <c r="AJ754" s="1">
        <v>4.18</v>
      </c>
      <c r="AK754" s="1" t="s">
        <v>3552</v>
      </c>
      <c r="AL754" s="1" t="s">
        <v>28</v>
      </c>
      <c r="AM754" s="1">
        <v>928.0</v>
      </c>
      <c r="AN754" s="1">
        <v>2018.0</v>
      </c>
      <c r="AO754" s="1">
        <v>2007.0</v>
      </c>
      <c r="AQ754" s="3">
        <v>44814.0</v>
      </c>
      <c r="AR754" s="1" t="s">
        <v>3189</v>
      </c>
      <c r="AS754" s="1" t="s">
        <v>3553</v>
      </c>
      <c r="AT754" s="1" t="s">
        <v>31</v>
      </c>
      <c r="AX754" s="1">
        <v>0.0</v>
      </c>
      <c r="AY754" s="1">
        <v>1.0</v>
      </c>
    </row>
    <row r="755" spans="20:51" ht="15.75" hidden="1">
      <c r="T755" s="1">
        <v>2.0007152E7</v>
      </c>
      <c r="U755" s="1"/>
      <c r="V755" s="1"/>
      <c r="W755" s="1"/>
      <c r="X755" s="1"/>
      <c r="Y755" s="1" t="s">
        <v>3554</v>
      </c>
      <c r="Z755" s="1" t="s">
        <v>675</v>
      </c>
      <c r="AA755" s="1" t="s">
        <v>676</v>
      </c>
      <c r="AB755" s="1"/>
      <c r="AC755" s="1"/>
      <c r="AD755" s="1"/>
      <c r="AE755" s="1"/>
      <c r="AG755" s="2" t="str">
        <f t="shared" si="45" ref="AG755:AH755">""</f>
        <v/>
      </c>
      <c r="AH755" s="2" t="str">
        <f t="shared" si="45"/>
        <v/>
      </c>
      <c r="AI755" s="1">
        <v>0.0</v>
      </c>
      <c r="AJ755" s="1">
        <v>4.0</v>
      </c>
      <c r="AK755" s="1" t="s">
        <v>1031</v>
      </c>
      <c r="AL755" s="1" t="s">
        <v>28</v>
      </c>
      <c r="AM755" s="1">
        <v>288.0</v>
      </c>
      <c r="AN755" s="1">
        <v>2008.0</v>
      </c>
      <c r="AO755" s="1">
        <v>1990.0</v>
      </c>
      <c r="AQ755" s="3">
        <v>44814.0</v>
      </c>
      <c r="AR755" s="1" t="s">
        <v>3231</v>
      </c>
      <c r="AS755" s="1" t="s">
        <v>3555</v>
      </c>
      <c r="AT755" s="1" t="s">
        <v>31</v>
      </c>
      <c r="AX755" s="1">
        <v>0.0</v>
      </c>
      <c r="AY755" s="1">
        <v>1.0</v>
      </c>
    </row>
    <row r="756" spans="20:51" ht="15.75" hidden="1">
      <c r="T756" s="1">
        <v>9321125.0</v>
      </c>
      <c r="U756" s="1"/>
      <c r="V756" s="1"/>
      <c r="W756" s="1"/>
      <c r="X756" s="1"/>
      <c r="Y756" s="1" t="s">
        <v>3556</v>
      </c>
      <c r="Z756" s="1" t="s">
        <v>3557</v>
      </c>
      <c r="AA756" s="1" t="s">
        <v>3558</v>
      </c>
      <c r="AB756" s="1"/>
      <c r="AC756" s="1"/>
      <c r="AD756" s="1"/>
      <c r="AE756" s="1"/>
      <c r="AF756" s="1" t="s">
        <v>3559</v>
      </c>
      <c r="AG756" s="2" t="str">
        <f>"3836514486"</f>
        <v>3836514486</v>
      </c>
      <c r="AH756" s="2" t="str">
        <f>"9783836514484"</f>
        <v>9783836514484</v>
      </c>
      <c r="AI756" s="1">
        <v>0.0</v>
      </c>
      <c r="AJ756" s="1">
        <v>4.43</v>
      </c>
      <c r="AK756" s="1" t="s">
        <v>2266</v>
      </c>
      <c r="AL756" s="1" t="s">
        <v>41</v>
      </c>
      <c r="AM756" s="1">
        <v>807.0</v>
      </c>
      <c r="AN756" s="1">
        <v>2010.0</v>
      </c>
      <c r="AO756" s="1">
        <v>2010.0</v>
      </c>
      <c r="AQ756" s="3">
        <v>44814.0</v>
      </c>
      <c r="AR756" s="1" t="s">
        <v>3560</v>
      </c>
      <c r="AS756" s="1" t="s">
        <v>3561</v>
      </c>
      <c r="AT756" s="1" t="s">
        <v>31</v>
      </c>
      <c r="AX756" s="1">
        <v>0.0</v>
      </c>
      <c r="AY756" s="1">
        <v>1.0</v>
      </c>
    </row>
    <row r="757" spans="20:51" ht="15.75" hidden="1">
      <c r="T757" s="1">
        <v>3.3533956E7</v>
      </c>
      <c r="U757" s="1"/>
      <c r="V757" s="1"/>
      <c r="W757" s="1"/>
      <c r="X757" s="1"/>
      <c r="Y757" s="1" t="s">
        <v>3562</v>
      </c>
      <c r="Z757" s="1" t="s">
        <v>1144</v>
      </c>
      <c r="AA757" s="1" t="s">
        <v>1145</v>
      </c>
      <c r="AB757" s="1"/>
      <c r="AC757" s="1"/>
      <c r="AD757" s="1"/>
      <c r="AE757" s="1"/>
      <c r="AG757" s="2" t="str">
        <f>"8433998242"</f>
        <v>8433998242</v>
      </c>
      <c r="AH757" s="2" t="str">
        <f>"9788433998248"</f>
        <v>9788433998248</v>
      </c>
      <c r="AI757" s="1">
        <v>4.0</v>
      </c>
      <c r="AJ757" s="1">
        <v>3.83</v>
      </c>
      <c r="AK757" s="1" t="s">
        <v>1681</v>
      </c>
      <c r="AL757" s="1" t="s">
        <v>28</v>
      </c>
      <c r="AM757" s="1">
        <v>232.0</v>
      </c>
      <c r="AN757" s="1">
        <v>2017.0</v>
      </c>
      <c r="AO757" s="1">
        <v>2009.0</v>
      </c>
      <c r="AP757" s="3">
        <v>44138.0</v>
      </c>
      <c r="AQ757" s="3">
        <v>44103.0</v>
      </c>
      <c r="AR757" s="1" t="s">
        <v>3563</v>
      </c>
      <c r="AS757" s="1" t="s">
        <v>3564</v>
      </c>
      <c r="AT757" s="1" t="s">
        <v>127</v>
      </c>
      <c r="AX757" s="1">
        <v>1.0</v>
      </c>
      <c r="AY757" s="1">
        <v>1.0</v>
      </c>
    </row>
    <row r="758" spans="20:51" ht="15.75">
      <c r="T758" s="1">
        <v>2.2945648E7</v>
      </c>
      <c r="U758" s="1"/>
      <c r="V758" s="1"/>
      <c r="W758" s="1"/>
      <c r="X758" s="1"/>
      <c r="Y758" s="1" t="s">
        <v>3565</v>
      </c>
      <c r="Z758" s="1" t="s">
        <v>3566</v>
      </c>
      <c r="AA758" s="1" t="s">
        <v>3567</v>
      </c>
      <c r="AB758" s="1"/>
      <c r="AC758" s="1"/>
      <c r="AD758" s="1"/>
      <c r="AE758" s="1"/>
      <c r="AG758" s="2" t="str">
        <f>"1439172579"</f>
        <v>1439172579</v>
      </c>
      <c r="AH758" s="2" t="str">
        <f>"9781439172575"</f>
        <v>9781439172575</v>
      </c>
      <c r="AI758" s="1">
        <v>0.0</v>
      </c>
      <c r="AJ758" s="1">
        <v>3.63</v>
      </c>
      <c r="AK758" s="1" t="s">
        <v>101</v>
      </c>
      <c r="AL758" s="1" t="s">
        <v>28</v>
      </c>
      <c r="AM758" s="1">
        <v>276.0</v>
      </c>
      <c r="AN758" s="1">
        <v>2015.0</v>
      </c>
      <c r="AO758" s="1">
        <v>2015.0</v>
      </c>
      <c r="AQ758" s="3">
        <v>44814.0</v>
      </c>
      <c r="AR758" s="1" t="s">
        <v>2433</v>
      </c>
      <c r="AS758" s="1" t="s">
        <v>3568</v>
      </c>
      <c r="AT758" s="1" t="s">
        <v>31</v>
      </c>
      <c r="AX758" s="1">
        <v>0.0</v>
      </c>
      <c r="AY758" s="1">
        <v>1.0</v>
      </c>
    </row>
    <row r="759" spans="20:51" ht="15.75">
      <c r="T759" s="1">
        <v>4.3424859E7</v>
      </c>
      <c r="U759" s="1"/>
      <c r="V759" s="1"/>
      <c r="W759" s="1"/>
      <c r="X759" s="1"/>
      <c r="Y759" s="1" t="s">
        <v>3569</v>
      </c>
      <c r="Z759" s="1" t="s">
        <v>3570</v>
      </c>
      <c r="AA759" s="1" t="s">
        <v>3571</v>
      </c>
      <c r="AB759" s="1"/>
      <c r="AC759" s="1"/>
      <c r="AD759" s="1"/>
      <c r="AE759" s="1"/>
      <c r="AF759" s="1" t="s">
        <v>3572</v>
      </c>
      <c r="AG759" s="2" t="str">
        <f>"1931883858"</f>
        <v>1931883858</v>
      </c>
      <c r="AH759" s="2" t="str">
        <f>"9781931883856"</f>
        <v>9781931883856</v>
      </c>
      <c r="AI759" s="1">
        <v>4.0</v>
      </c>
      <c r="AJ759" s="1">
        <v>3.55</v>
      </c>
      <c r="AK759" s="1" t="s">
        <v>3573</v>
      </c>
      <c r="AL759" s="1" t="s">
        <v>28</v>
      </c>
      <c r="AM759" s="1">
        <v>120.0</v>
      </c>
      <c r="AN759" s="1">
        <v>2019.0</v>
      </c>
      <c r="AO759" s="1">
        <v>2011.0</v>
      </c>
      <c r="AP759" s="4">
        <v>44186.0</v>
      </c>
      <c r="AQ759" s="4">
        <v>44179.0</v>
      </c>
      <c r="AR759" s="1" t="s">
        <v>3574</v>
      </c>
      <c r="AS759" s="1" t="s">
        <v>3575</v>
      </c>
      <c r="AT759" s="1" t="s">
        <v>127</v>
      </c>
      <c r="AX759" s="1">
        <v>1.0</v>
      </c>
      <c r="AY759" s="1">
        <v>1.0</v>
      </c>
    </row>
    <row r="760" spans="20:51" ht="15.75">
      <c r="T760" s="1">
        <v>2.1535546E7</v>
      </c>
      <c r="U760" s="1"/>
      <c r="V760" s="1"/>
      <c r="W760" s="1"/>
      <c r="X760" s="1"/>
      <c r="Y760" s="1" t="s">
        <v>3576</v>
      </c>
      <c r="Z760" s="1" t="s">
        <v>2493</v>
      </c>
      <c r="AA760" s="1" t="s">
        <v>2494</v>
      </c>
      <c r="AB760" s="1"/>
      <c r="AC760" s="1"/>
      <c r="AD760" s="1"/>
      <c r="AE760" s="1"/>
      <c r="AF760" s="1" t="s">
        <v>2495</v>
      </c>
      <c r="AG760" s="2" t="str">
        <f>"1908276428"</f>
        <v>1908276428</v>
      </c>
      <c r="AH760" s="2" t="str">
        <f>"9781908276421"</f>
        <v>9781908276421</v>
      </c>
      <c r="AI760" s="1">
        <v>4.0</v>
      </c>
      <c r="AJ760" s="1">
        <v>3.91</v>
      </c>
      <c r="AK760" s="1" t="s">
        <v>1663</v>
      </c>
      <c r="AL760" s="1" t="s">
        <v>28</v>
      </c>
      <c r="AM760" s="1">
        <v>114.0</v>
      </c>
      <c r="AN760" s="1">
        <v>2015.0</v>
      </c>
      <c r="AO760" s="1">
        <v>2009.0</v>
      </c>
      <c r="AQ760" s="3">
        <v>43901.0</v>
      </c>
      <c r="AR760" s="1" t="s">
        <v>2433</v>
      </c>
      <c r="AS760" s="1" t="s">
        <v>3577</v>
      </c>
      <c r="AT760" s="1" t="s">
        <v>31</v>
      </c>
      <c r="AX760" s="1">
        <v>1.0</v>
      </c>
      <c r="AY760" s="1">
        <v>1.0</v>
      </c>
    </row>
    <row r="761" spans="20:51" ht="15.75">
      <c r="T761" s="1">
        <v>17841.0</v>
      </c>
      <c r="U761" s="1"/>
      <c r="V761" s="1"/>
      <c r="W761" s="1"/>
      <c r="X761" s="1"/>
      <c r="Y761" s="1" t="s">
        <v>3578</v>
      </c>
      <c r="Z761" s="1" t="s">
        <v>3049</v>
      </c>
      <c r="AA761" s="1" t="s">
        <v>3050</v>
      </c>
      <c r="AB761" s="1"/>
      <c r="AC761" s="1"/>
      <c r="AD761" s="1"/>
      <c r="AE761" s="1"/>
      <c r="AF761" s="1" t="s">
        <v>3579</v>
      </c>
      <c r="AG761" s="2" t="str">
        <f>"015603297X"</f>
        <v>015603297X</v>
      </c>
      <c r="AH761" s="2" t="str">
        <f>"9780156032971"</f>
        <v>9780156032971</v>
      </c>
      <c r="AI761" s="1">
        <v>0.0</v>
      </c>
      <c r="AJ761" s="1">
        <v>3.91</v>
      </c>
      <c r="AK761" s="1" t="s">
        <v>403</v>
      </c>
      <c r="AL761" s="1" t="s">
        <v>28</v>
      </c>
      <c r="AM761" s="1">
        <v>623.0</v>
      </c>
      <c r="AN761" s="1">
        <v>2007.0</v>
      </c>
      <c r="AO761" s="1">
        <v>1988.0</v>
      </c>
      <c r="AQ761" s="3">
        <v>43901.0</v>
      </c>
      <c r="AR761" s="1" t="s">
        <v>2433</v>
      </c>
      <c r="AS761" s="1" t="s">
        <v>3580</v>
      </c>
      <c r="AT761" s="1" t="s">
        <v>31</v>
      </c>
      <c r="AX761" s="1">
        <v>0.0</v>
      </c>
      <c r="AY761" s="1">
        <v>1.0</v>
      </c>
    </row>
    <row r="762" spans="20:51" ht="15.75" hidden="1">
      <c r="T762" s="1">
        <v>2.5489317E7</v>
      </c>
      <c r="U762" s="1"/>
      <c r="V762" s="1"/>
      <c r="W762" s="1"/>
      <c r="X762" s="1"/>
      <c r="Y762" s="1" t="s">
        <v>3581</v>
      </c>
      <c r="Z762" s="1" t="s">
        <v>2918</v>
      </c>
      <c r="AA762" s="1" t="s">
        <v>2919</v>
      </c>
      <c r="AB762" s="1"/>
      <c r="AC762" s="1"/>
      <c r="AD762" s="1"/>
      <c r="AE762" s="1"/>
      <c r="AG762" s="2" t="str">
        <f>"1784782475"</f>
        <v>1784782475</v>
      </c>
      <c r="AH762" s="2" t="str">
        <f>"9781784782474"</f>
        <v>9781784782474</v>
      </c>
      <c r="AI762" s="1">
        <v>0.0</v>
      </c>
      <c r="AJ762" s="1">
        <v>4.18</v>
      </c>
      <c r="AK762" s="1" t="s">
        <v>1973</v>
      </c>
      <c r="AL762" s="1" t="s">
        <v>28</v>
      </c>
      <c r="AM762" s="1">
        <v>193.0</v>
      </c>
      <c r="AN762" s="1">
        <v>2016.0</v>
      </c>
      <c r="AO762" s="1">
        <v>2009.0</v>
      </c>
      <c r="AQ762" s="3">
        <v>42864.0</v>
      </c>
      <c r="AR762" s="1" t="s">
        <v>3582</v>
      </c>
      <c r="AS762" s="1" t="s">
        <v>3583</v>
      </c>
      <c r="AT762" s="1" t="s">
        <v>31</v>
      </c>
      <c r="AX762" s="1">
        <v>0.0</v>
      </c>
      <c r="AY762" s="1">
        <v>1.0</v>
      </c>
    </row>
    <row r="763" spans="20:51" ht="15.75" hidden="1">
      <c r="T763" s="1">
        <v>2.3519696E7</v>
      </c>
      <c r="U763" s="1"/>
      <c r="V763" s="1"/>
      <c r="W763" s="1"/>
      <c r="X763" s="1"/>
      <c r="Y763" s="1" t="s">
        <v>3584</v>
      </c>
      <c r="Z763" s="1" t="s">
        <v>3585</v>
      </c>
      <c r="AA763" s="1" t="s">
        <v>3586</v>
      </c>
      <c r="AB763" s="1"/>
      <c r="AC763" s="1"/>
      <c r="AD763" s="1"/>
      <c r="AE763" s="1"/>
      <c r="AG763" s="2" t="str">
        <f>"1781689210"</f>
        <v>1781689210</v>
      </c>
      <c r="AH763" s="2" t="str">
        <f>"9781781689219"</f>
        <v>9781781689219</v>
      </c>
      <c r="AI763" s="1">
        <v>0.0</v>
      </c>
      <c r="AJ763" s="1">
        <v>4.22</v>
      </c>
      <c r="AK763" s="1" t="s">
        <v>1973</v>
      </c>
      <c r="AL763" s="1" t="s">
        <v>65</v>
      </c>
      <c r="AM763" s="1">
        <v>272.0</v>
      </c>
      <c r="AN763" s="1">
        <v>2015.0</v>
      </c>
      <c r="AO763" s="1">
        <v>2015.0</v>
      </c>
      <c r="AQ763" s="3">
        <v>43046.0</v>
      </c>
      <c r="AR763" s="1" t="s">
        <v>3332</v>
      </c>
      <c r="AS763" s="1" t="s">
        <v>3587</v>
      </c>
      <c r="AT763" s="1" t="s">
        <v>31</v>
      </c>
      <c r="AX763" s="1">
        <v>0.0</v>
      </c>
      <c r="AY763" s="1">
        <v>1.0</v>
      </c>
    </row>
    <row r="764" spans="20:51" ht="15.75">
      <c r="T764" s="1">
        <v>2.2929602E7</v>
      </c>
      <c r="U764" s="1"/>
      <c r="V764" s="1"/>
      <c r="W764" s="1"/>
      <c r="X764" s="1"/>
      <c r="Y764" s="1" t="s">
        <v>3588</v>
      </c>
      <c r="Z764" s="1" t="s">
        <v>3589</v>
      </c>
      <c r="AA764" s="1" t="s">
        <v>3590</v>
      </c>
      <c r="AB764" s="1"/>
      <c r="AC764" s="1"/>
      <c r="AD764" s="1"/>
      <c r="AE764" s="1"/>
      <c r="AG764" s="2" t="str">
        <f>"0374288224"</f>
        <v>0374288224</v>
      </c>
      <c r="AH764" s="2" t="str">
        <f>"9780374288228"</f>
        <v>9780374288228</v>
      </c>
      <c r="AI764" s="1">
        <v>3.0</v>
      </c>
      <c r="AJ764" s="1">
        <v>3.77</v>
      </c>
      <c r="AK764" s="1" t="s">
        <v>89</v>
      </c>
      <c r="AL764" s="1" t="s">
        <v>41</v>
      </c>
      <c r="AM764" s="1">
        <v>195.0</v>
      </c>
      <c r="AN764" s="1">
        <v>2016.0</v>
      </c>
      <c r="AO764" s="1">
        <v>2016.0</v>
      </c>
      <c r="AP764" s="3">
        <v>42676.0</v>
      </c>
      <c r="AQ764" s="4">
        <v>42659.0</v>
      </c>
      <c r="AR764" s="1" t="s">
        <v>2433</v>
      </c>
      <c r="AS764" s="1" t="s">
        <v>3591</v>
      </c>
      <c r="AT764" s="1" t="s">
        <v>31</v>
      </c>
      <c r="AX764" s="1">
        <v>1.0</v>
      </c>
      <c r="AY764" s="1">
        <v>1.0</v>
      </c>
    </row>
    <row r="765" spans="20:51" ht="15.75" hidden="1">
      <c r="T765" s="1">
        <v>2.8505023E7</v>
      </c>
      <c r="U765" s="1"/>
      <c r="V765" s="1"/>
      <c r="W765" s="1"/>
      <c r="X765" s="1"/>
      <c r="Y765" s="1" t="s">
        <v>3592</v>
      </c>
      <c r="Z765" s="1" t="s">
        <v>2582</v>
      </c>
      <c r="AA765" s="1" t="s">
        <v>3593</v>
      </c>
      <c r="AB765" s="1"/>
      <c r="AC765" s="1"/>
      <c r="AD765" s="1"/>
      <c r="AE765" s="1"/>
      <c r="AG765" s="2" t="str">
        <f>"1501126342"</f>
        <v>1501126342</v>
      </c>
      <c r="AH765" s="2" t="str">
        <f>"9781501126345"</f>
        <v>9781501126345</v>
      </c>
      <c r="AI765" s="1">
        <v>0.0</v>
      </c>
      <c r="AJ765" s="1">
        <v>4.36</v>
      </c>
      <c r="AK765" s="1" t="s">
        <v>101</v>
      </c>
      <c r="AL765" s="1" t="s">
        <v>41</v>
      </c>
      <c r="AM765" s="1">
        <v>226.0</v>
      </c>
      <c r="AN765" s="1">
        <v>2016.0</v>
      </c>
      <c r="AO765" s="1">
        <v>2016.0</v>
      </c>
      <c r="AQ765" s="3">
        <v>42621.0</v>
      </c>
      <c r="AR765" s="1" t="s">
        <v>3164</v>
      </c>
      <c r="AS765" s="1" t="s">
        <v>3594</v>
      </c>
      <c r="AT765" s="1" t="s">
        <v>31</v>
      </c>
      <c r="AX765" s="1">
        <v>0.0</v>
      </c>
      <c r="AY765" s="1">
        <v>1.0</v>
      </c>
    </row>
    <row r="766" spans="20:51" ht="15.75" hidden="1">
      <c r="T766" s="1">
        <v>2.3493803E7</v>
      </c>
      <c r="U766" s="1"/>
      <c r="V766" s="1"/>
      <c r="W766" s="1"/>
      <c r="X766" s="1"/>
      <c r="Y766" s="1" t="s">
        <v>3595</v>
      </c>
      <c r="Z766" s="1" t="s">
        <v>3596</v>
      </c>
      <c r="AA766" s="1" t="s">
        <v>3597</v>
      </c>
      <c r="AB766" s="1"/>
      <c r="AC766" s="1"/>
      <c r="AD766" s="1"/>
      <c r="AE766" s="1"/>
      <c r="AF766" s="1" t="s">
        <v>3598</v>
      </c>
      <c r="AG766" s="2" t="str">
        <f>"1940450640"</f>
        <v>1940450640</v>
      </c>
      <c r="AH766" s="2" t="str">
        <f>"9781940450643"</f>
        <v>9781940450643</v>
      </c>
      <c r="AI766" s="1">
        <v>4.0</v>
      </c>
      <c r="AJ766" s="1">
        <v>3.42</v>
      </c>
      <c r="AK766" s="1" t="s">
        <v>3599</v>
      </c>
      <c r="AL766" s="1" t="s">
        <v>28</v>
      </c>
      <c r="AM766" s="1">
        <v>160.0</v>
      </c>
      <c r="AN766" s="1">
        <v>2015.0</v>
      </c>
      <c r="AO766" s="1">
        <v>2015.0</v>
      </c>
      <c r="AP766" s="3">
        <v>42631.0</v>
      </c>
      <c r="AQ766" s="3">
        <v>42627.0</v>
      </c>
      <c r="AR766" s="1">
        <v>0.0</v>
      </c>
      <c r="AS766" s="1" t="s">
        <v>3600</v>
      </c>
      <c r="AT766" s="1" t="s">
        <v>127</v>
      </c>
      <c r="AU766" s="1" t="s">
        <v>3601</v>
      </c>
      <c r="AX766" s="1">
        <v>1.0</v>
      </c>
      <c r="AY766" s="1">
        <v>1.0</v>
      </c>
    </row>
    <row r="767" spans="20:51" ht="15.75" hidden="1">
      <c r="T767" s="1">
        <v>8559595.0</v>
      </c>
      <c r="U767" s="1"/>
      <c r="V767" s="1"/>
      <c r="W767" s="1"/>
      <c r="X767" s="1"/>
      <c r="Y767" s="1" t="s">
        <v>3602</v>
      </c>
      <c r="Z767" s="1" t="s">
        <v>3603</v>
      </c>
      <c r="AA767" s="1" t="s">
        <v>3604</v>
      </c>
      <c r="AB767" s="1"/>
      <c r="AC767" s="1"/>
      <c r="AD767" s="1"/>
      <c r="AE767" s="1"/>
      <c r="AG767" s="2" t="str">
        <f>"1555975739"</f>
        <v>1555975739</v>
      </c>
      <c r="AH767" s="2" t="str">
        <f>"9781555975739"</f>
        <v>9781555975739</v>
      </c>
      <c r="AI767" s="1">
        <v>0.0</v>
      </c>
      <c r="AJ767" s="1">
        <v>3.83</v>
      </c>
      <c r="AK767" s="1" t="s">
        <v>971</v>
      </c>
      <c r="AL767" s="1" t="s">
        <v>28</v>
      </c>
      <c r="AM767" s="1">
        <v>96.0</v>
      </c>
      <c r="AN767" s="1">
        <v>2010.0</v>
      </c>
      <c r="AO767" s="1">
        <v>2010.0</v>
      </c>
      <c r="AQ767" s="3">
        <v>42559.0</v>
      </c>
      <c r="AR767" s="1" t="s">
        <v>3159</v>
      </c>
      <c r="AS767" s="1" t="s">
        <v>3605</v>
      </c>
      <c r="AT767" s="1" t="s">
        <v>31</v>
      </c>
      <c r="AX767" s="1">
        <v>0.0</v>
      </c>
      <c r="AY767" s="1">
        <v>1.0</v>
      </c>
    </row>
    <row r="768" spans="20:51" ht="15.75">
      <c r="T768" s="1">
        <v>2.6154389E7</v>
      </c>
      <c r="U768" s="1"/>
      <c r="V768" s="1"/>
      <c r="W768" s="1"/>
      <c r="X768" s="1"/>
      <c r="Y768" s="1" t="s">
        <v>3606</v>
      </c>
      <c r="Z768" s="1" t="s">
        <v>3607</v>
      </c>
      <c r="AA768" s="1" t="s">
        <v>3608</v>
      </c>
      <c r="AB768" s="1"/>
      <c r="AC768" s="1"/>
      <c r="AD768" s="1"/>
      <c r="AE768" s="1"/>
      <c r="AG768" s="2" t="str">
        <f>"1501135392"</f>
        <v>1501135392</v>
      </c>
      <c r="AH768" s="2" t="str">
        <f>"9781501135392"</f>
        <v>9781501135392</v>
      </c>
      <c r="AI768" s="1">
        <v>1.0</v>
      </c>
      <c r="AJ768" s="1">
        <v>3.19</v>
      </c>
      <c r="AK768" s="1" t="s">
        <v>101</v>
      </c>
      <c r="AL768" s="1" t="s">
        <v>41</v>
      </c>
      <c r="AM768" s="1">
        <v>274.0</v>
      </c>
      <c r="AN768" s="1">
        <v>2016.0</v>
      </c>
      <c r="AO768" s="1">
        <v>2016.0</v>
      </c>
      <c r="AP768" s="3">
        <v>42511.0</v>
      </c>
      <c r="AQ768" s="3">
        <v>42498.0</v>
      </c>
      <c r="AR768" s="1" t="s">
        <v>3609</v>
      </c>
      <c r="AS768" s="1" t="s">
        <v>3610</v>
      </c>
      <c r="AT768" s="1" t="s">
        <v>31</v>
      </c>
      <c r="AU768" s="1" t="s">
        <v>3611</v>
      </c>
      <c r="AX768" s="1">
        <v>1.0</v>
      </c>
      <c r="AY768" s="1">
        <v>1.0</v>
      </c>
    </row>
    <row r="769" spans="20:51" ht="15.75" hidden="1">
      <c r="T769" s="1">
        <v>2.3250284E7</v>
      </c>
      <c r="U769" s="1"/>
      <c r="V769" s="1"/>
      <c r="W769" s="1"/>
      <c r="X769" s="1"/>
      <c r="Y769" s="1" t="s">
        <v>3612</v>
      </c>
      <c r="Z769" s="1" t="s">
        <v>3266</v>
      </c>
      <c r="AA769" s="1" t="s">
        <v>3267</v>
      </c>
      <c r="AB769" s="1"/>
      <c r="AC769" s="1"/>
      <c r="AD769" s="1"/>
      <c r="AE769" s="1"/>
      <c r="AG769" s="2" t="str">
        <f>"0989641546"</f>
        <v>0989641546</v>
      </c>
      <c r="AH769" s="2" t="str">
        <f>"9780989641548"</f>
        <v>9780989641548</v>
      </c>
      <c r="AI769" s="1">
        <v>5.0</v>
      </c>
      <c r="AJ769" s="1">
        <v>3.9</v>
      </c>
      <c r="AK769" s="1" t="s">
        <v>3613</v>
      </c>
      <c r="AL769" s="1" t="s">
        <v>28</v>
      </c>
      <c r="AM769" s="1">
        <v>46.0</v>
      </c>
      <c r="AN769" s="1">
        <v>2014.0</v>
      </c>
      <c r="AO769" s="1">
        <v>2014.0</v>
      </c>
      <c r="AQ769" s="3">
        <v>42346.0</v>
      </c>
      <c r="AR769" s="1" t="s">
        <v>3268</v>
      </c>
      <c r="AS769" s="1" t="s">
        <v>3614</v>
      </c>
      <c r="AT769" s="1" t="s">
        <v>127</v>
      </c>
      <c r="AX769" s="1">
        <v>1.0</v>
      </c>
      <c r="AY769" s="1">
        <v>1.0</v>
      </c>
    </row>
    <row r="770" spans="20:51" ht="15.75">
      <c r="T770" s="1">
        <v>1.3318584E7</v>
      </c>
      <c r="U770" s="1"/>
      <c r="V770" s="1"/>
      <c r="W770" s="1"/>
      <c r="X770" s="1"/>
      <c r="Y770" s="1" t="s">
        <v>3615</v>
      </c>
      <c r="Z770" s="1" t="s">
        <v>3616</v>
      </c>
      <c r="AA770" s="1" t="s">
        <v>3617</v>
      </c>
      <c r="AB770" s="1"/>
      <c r="AC770" s="1"/>
      <c r="AD770" s="1"/>
      <c r="AE770" s="1"/>
      <c r="AG770" s="2" t="str">
        <f>"0547840179"</f>
        <v>0547840179</v>
      </c>
      <c r="AH770" s="2" t="str">
        <f>"9780547840178"</f>
        <v>9780547840178</v>
      </c>
      <c r="AI770" s="1">
        <v>0.0</v>
      </c>
      <c r="AJ770" s="1">
        <v>3.96</v>
      </c>
      <c r="AK770" s="1" t="s">
        <v>403</v>
      </c>
      <c r="AL770" s="1" t="s">
        <v>28</v>
      </c>
      <c r="AM770" s="1">
        <v>176.0</v>
      </c>
      <c r="AN770" s="1">
        <v>2012.0</v>
      </c>
      <c r="AO770" s="1">
        <v>2009.0</v>
      </c>
      <c r="AQ770" s="3">
        <v>42375.0</v>
      </c>
      <c r="AR770" s="1" t="s">
        <v>2433</v>
      </c>
      <c r="AS770" s="1" t="s">
        <v>3618</v>
      </c>
      <c r="AT770" s="1" t="s">
        <v>31</v>
      </c>
      <c r="AX770" s="1">
        <v>0.0</v>
      </c>
      <c r="AY770" s="1">
        <v>1.0</v>
      </c>
    </row>
    <row r="771" spans="20:51" ht="15.75" hidden="1">
      <c r="T771" s="1">
        <v>8545225.0</v>
      </c>
      <c r="U771" s="1"/>
      <c r="V771" s="1"/>
      <c r="W771" s="1"/>
      <c r="X771" s="1"/>
      <c r="Y771" s="1" t="s">
        <v>3619</v>
      </c>
      <c r="Z771" s="1" t="s">
        <v>3620</v>
      </c>
      <c r="AA771" s="1" t="s">
        <v>3621</v>
      </c>
      <c r="AB771" s="1"/>
      <c r="AC771" s="1"/>
      <c r="AD771" s="1"/>
      <c r="AE771" s="1"/>
      <c r="AG771" s="2" t="str">
        <f>"0374532877"</f>
        <v>0374532877</v>
      </c>
      <c r="AH771" s="2" t="str">
        <f>"9780374532871"</f>
        <v>9780374532871</v>
      </c>
      <c r="AI771" s="1">
        <v>0.0</v>
      </c>
      <c r="AJ771" s="1">
        <v>3.75</v>
      </c>
      <c r="AK771" s="1" t="s">
        <v>89</v>
      </c>
      <c r="AL771" s="1" t="s">
        <v>28</v>
      </c>
      <c r="AM771" s="1">
        <v>431.0</v>
      </c>
      <c r="AN771" s="1">
        <v>2010.0</v>
      </c>
      <c r="AO771" s="1">
        <v>2010.0</v>
      </c>
      <c r="AP771" s="3">
        <v>42864.0</v>
      </c>
      <c r="AQ771" s="3">
        <v>42557.0</v>
      </c>
      <c r="AR771" s="1" t="s">
        <v>3622</v>
      </c>
      <c r="AS771" s="1" t="s">
        <v>3623</v>
      </c>
      <c r="AT771" s="1" t="s">
        <v>127</v>
      </c>
      <c r="AX771" s="1">
        <v>1.0</v>
      </c>
      <c r="AY771" s="1">
        <v>1.0</v>
      </c>
    </row>
    <row r="772" spans="20:51" ht="15.75">
      <c r="T772" s="1">
        <v>2.5622258E7</v>
      </c>
      <c r="U772" s="1"/>
      <c r="V772" s="1"/>
      <c r="W772" s="1"/>
      <c r="X772" s="1"/>
      <c r="Y772" s="1" t="s">
        <v>3624</v>
      </c>
      <c r="Z772" s="1" t="s">
        <v>3625</v>
      </c>
      <c r="AA772" s="1" t="s">
        <v>3626</v>
      </c>
      <c r="AB772" s="1"/>
      <c r="AC772" s="1"/>
      <c r="AD772" s="1"/>
      <c r="AE772" s="1"/>
      <c r="AG772" s="2" t="str">
        <f>"0393351718"</f>
        <v>0393351718</v>
      </c>
      <c r="AH772" s="2" t="str">
        <f>"9780393351712"</f>
        <v>9780393351712</v>
      </c>
      <c r="AI772" s="1">
        <v>0.0</v>
      </c>
      <c r="AJ772" s="1">
        <v>3.68</v>
      </c>
      <c r="AK772" s="1" t="s">
        <v>113</v>
      </c>
      <c r="AL772" s="1" t="s">
        <v>28</v>
      </c>
      <c r="AM772" s="1">
        <v>530.0</v>
      </c>
      <c r="AN772" s="1">
        <v>2015.0</v>
      </c>
      <c r="AO772" s="1">
        <v>2014.0</v>
      </c>
      <c r="AQ772" s="4">
        <v>42362.0</v>
      </c>
      <c r="AR772" s="1" t="s">
        <v>3461</v>
      </c>
      <c r="AS772" s="1" t="s">
        <v>3627</v>
      </c>
      <c r="AT772" s="1" t="s">
        <v>31</v>
      </c>
      <c r="AX772" s="1">
        <v>1.0</v>
      </c>
      <c r="AY772" s="1">
        <v>1.0</v>
      </c>
    </row>
    <row r="773" spans="20:51" ht="15.75">
      <c r="T773" s="1">
        <v>1.7978434E7</v>
      </c>
      <c r="U773" s="1"/>
      <c r="V773" s="1"/>
      <c r="W773" s="1"/>
      <c r="X773" s="1"/>
      <c r="Y773" s="1" t="s">
        <v>3628</v>
      </c>
      <c r="Z773" s="1" t="s">
        <v>3629</v>
      </c>
      <c r="AA773" s="1" t="s">
        <v>3630</v>
      </c>
      <c r="AB773" s="1"/>
      <c r="AC773" s="1"/>
      <c r="AD773" s="1"/>
      <c r="AE773" s="1"/>
      <c r="AF773" s="1" t="s">
        <v>3629</v>
      </c>
      <c r="AG773" s="2" t="str">
        <f>"0307745422"</f>
        <v>0307745422</v>
      </c>
      <c r="AH773" s="2" t="str">
        <f>"9780307745422"</f>
        <v>9780307745422</v>
      </c>
      <c r="AI773" s="1">
        <v>0.0</v>
      </c>
      <c r="AJ773" s="1">
        <v>3.44</v>
      </c>
      <c r="AK773" s="1" t="s">
        <v>83</v>
      </c>
      <c r="AL773" s="1" t="s">
        <v>28</v>
      </c>
      <c r="AM773" s="1">
        <v>224.0</v>
      </c>
      <c r="AN773" s="1">
        <v>2014.0</v>
      </c>
      <c r="AO773" s="1">
        <v>2011.0</v>
      </c>
      <c r="AQ773" s="3">
        <v>42345.0</v>
      </c>
      <c r="AR773" s="1" t="s">
        <v>2433</v>
      </c>
      <c r="AS773" s="1" t="s">
        <v>3631</v>
      </c>
      <c r="AT773" s="1" t="s">
        <v>31</v>
      </c>
      <c r="AX773" s="1">
        <v>0.0</v>
      </c>
      <c r="AY773" s="1">
        <v>1.0</v>
      </c>
    </row>
    <row r="774" spans="20:51" ht="15.75" hidden="1">
      <c r="T774" s="1">
        <v>1.2074805E7</v>
      </c>
      <c r="U774" s="1"/>
      <c r="V774" s="1"/>
      <c r="W774" s="1"/>
      <c r="X774" s="1"/>
      <c r="Y774" s="1" t="s">
        <v>3632</v>
      </c>
      <c r="Z774" s="1" t="s">
        <v>3633</v>
      </c>
      <c r="AA774" s="1" t="s">
        <v>3634</v>
      </c>
      <c r="AB774" s="1"/>
      <c r="AC774" s="1"/>
      <c r="AD774" s="1"/>
      <c r="AE774" s="1"/>
      <c r="AG774" s="2" t="str">
        <f>"1849350884"</f>
        <v>1849350884</v>
      </c>
      <c r="AH774" s="2" t="str">
        <f>"9781849350884"</f>
        <v>9781849350884</v>
      </c>
      <c r="AI774" s="1">
        <v>4.0</v>
      </c>
      <c r="AJ774" s="1">
        <v>3.95</v>
      </c>
      <c r="AK774" s="1" t="s">
        <v>3635</v>
      </c>
      <c r="AL774" s="1" t="s">
        <v>28</v>
      </c>
      <c r="AM774" s="1">
        <v>212.0</v>
      </c>
      <c r="AN774" s="1">
        <v>2012.0</v>
      </c>
      <c r="AO774" s="1">
        <v>2012.0</v>
      </c>
      <c r="AQ774" s="3">
        <v>41951.0</v>
      </c>
      <c r="AR774" s="1" t="s">
        <v>3137</v>
      </c>
      <c r="AS774" s="1" t="s">
        <v>3636</v>
      </c>
      <c r="AT774" s="1" t="s">
        <v>31</v>
      </c>
      <c r="AX774" s="1">
        <v>1.0</v>
      </c>
      <c r="AY774" s="1">
        <v>1.0</v>
      </c>
    </row>
    <row r="775" spans="20:51" ht="15.75">
      <c r="T775" s="1">
        <v>1.8406708E7</v>
      </c>
      <c r="U775" s="1"/>
      <c r="V775" s="1"/>
      <c r="W775" s="1"/>
      <c r="X775" s="1"/>
      <c r="Y775" s="1" t="s">
        <v>3637</v>
      </c>
      <c r="Z775" s="1" t="s">
        <v>3638</v>
      </c>
      <c r="AA775" s="1" t="s">
        <v>3639</v>
      </c>
      <c r="AB775" s="1"/>
      <c r="AC775" s="1"/>
      <c r="AD775" s="1"/>
      <c r="AE775" s="1"/>
      <c r="AF775" s="1" t="s">
        <v>3640</v>
      </c>
      <c r="AG775" s="2" t="str">
        <f>"193188336X"</f>
        <v>193188336X</v>
      </c>
      <c r="AH775" s="2" t="str">
        <f>"9781931883368"</f>
        <v>9781931883368</v>
      </c>
      <c r="AI775" s="1">
        <v>2.0</v>
      </c>
      <c r="AJ775" s="1">
        <v>3.35</v>
      </c>
      <c r="AK775" s="1" t="s">
        <v>3573</v>
      </c>
      <c r="AL775" s="1" t="s">
        <v>28</v>
      </c>
      <c r="AM775" s="1">
        <v>176.0</v>
      </c>
      <c r="AN775" s="1">
        <v>2014.0</v>
      </c>
      <c r="AO775" s="1">
        <v>2008.0</v>
      </c>
      <c r="AQ775" s="3">
        <v>41951.0</v>
      </c>
      <c r="AR775" s="1" t="s">
        <v>3574</v>
      </c>
      <c r="AS775" s="1" t="s">
        <v>3641</v>
      </c>
      <c r="AT775" s="1" t="s">
        <v>127</v>
      </c>
      <c r="AX775" s="1">
        <v>1.0</v>
      </c>
      <c r="AY775" s="1">
        <v>1.0</v>
      </c>
    </row>
    <row r="776" spans="20:51" ht="15.75" hidden="1">
      <c r="T776" s="1">
        <v>7389458.0</v>
      </c>
      <c r="U776" s="1"/>
      <c r="V776" s="1"/>
      <c r="W776" s="1"/>
      <c r="X776" s="1"/>
      <c r="Y776" s="1" t="s">
        <v>3642</v>
      </c>
      <c r="Z776" s="1" t="s">
        <v>3643</v>
      </c>
      <c r="AA776" s="1" t="s">
        <v>3644</v>
      </c>
      <c r="AB776" s="1"/>
      <c r="AC776" s="1"/>
      <c r="AD776" s="1"/>
      <c r="AE776" s="1"/>
      <c r="AG776" s="2" t="str">
        <f>"0262232626"</f>
        <v>0262232626</v>
      </c>
      <c r="AH776" s="2" t="str">
        <f>"9780262232623"</f>
        <v>9780262232623</v>
      </c>
      <c r="AI776" s="1">
        <v>0.0</v>
      </c>
      <c r="AJ776" s="1">
        <v>4.46</v>
      </c>
      <c r="AK776" s="1" t="s">
        <v>2629</v>
      </c>
      <c r="AL776" s="1" t="s">
        <v>41</v>
      </c>
      <c r="AM776" s="1">
        <v>328.0</v>
      </c>
      <c r="AN776" s="1">
        <v>2010.0</v>
      </c>
      <c r="AO776" s="1">
        <v>2008.0</v>
      </c>
      <c r="AQ776" s="3">
        <v>42158.0</v>
      </c>
      <c r="AR776" s="1" t="s">
        <v>3137</v>
      </c>
      <c r="AS776" s="1" t="s">
        <v>3645</v>
      </c>
      <c r="AT776" s="1" t="s">
        <v>31</v>
      </c>
      <c r="AX776" s="1">
        <v>0.0</v>
      </c>
      <c r="AY776" s="1">
        <v>1.0</v>
      </c>
    </row>
    <row r="777" spans="20:51" ht="15.75">
      <c r="T777" s="1">
        <v>5.730818E7</v>
      </c>
      <c r="U777" s="1"/>
      <c r="V777" s="1"/>
      <c r="W777" s="1"/>
      <c r="X777" s="1"/>
      <c r="Y777" s="1" t="s">
        <v>3646</v>
      </c>
      <c r="Z777" s="1" t="s">
        <v>3647</v>
      </c>
      <c r="AA777" s="1" t="s">
        <v>3648</v>
      </c>
      <c r="AB777" s="1"/>
      <c r="AC777" s="1"/>
      <c r="AD777" s="1"/>
      <c r="AE777" s="1"/>
      <c r="AG777" s="2" t="str">
        <f t="shared" si="46" ref="AG777:AH777">""</f>
        <v/>
      </c>
      <c r="AH777" s="2" t="str">
        <f t="shared" si="46"/>
        <v/>
      </c>
      <c r="AI777" s="1">
        <v>0.0</v>
      </c>
      <c r="AJ777" s="1">
        <v>3.86</v>
      </c>
      <c r="AK777" s="1" t="s">
        <v>3649</v>
      </c>
      <c r="AL777" s="1" t="s">
        <v>41</v>
      </c>
      <c r="AM777" s="1">
        <v>236.0</v>
      </c>
      <c r="AN777" s="1">
        <v>1988.0</v>
      </c>
      <c r="AO777" s="1">
        <v>1818.0</v>
      </c>
      <c r="AP777" s="3">
        <v>41704.0</v>
      </c>
      <c r="AQ777" s="3">
        <v>41658.0</v>
      </c>
      <c r="AR777" s="1" t="s">
        <v>3574</v>
      </c>
      <c r="AS777" s="1" t="s">
        <v>3650</v>
      </c>
      <c r="AT777" s="1" t="s">
        <v>127</v>
      </c>
      <c r="AU777" s="1" t="s">
        <v>3651</v>
      </c>
      <c r="AX777" s="1">
        <v>1.0</v>
      </c>
      <c r="AY777" s="1">
        <v>1.0</v>
      </c>
    </row>
    <row r="778" spans="20:51" ht="15.75" hidden="1">
      <c r="T778" s="1">
        <v>18765.0</v>
      </c>
      <c r="U778" s="1"/>
      <c r="V778" s="1"/>
      <c r="W778" s="1"/>
      <c r="X778" s="1"/>
      <c r="Y778" s="1" t="s">
        <v>3652</v>
      </c>
      <c r="Z778" s="1" t="s">
        <v>534</v>
      </c>
      <c r="AA778" s="1" t="s">
        <v>535</v>
      </c>
      <c r="AB778" s="1"/>
      <c r="AC778" s="1"/>
      <c r="AD778" s="1"/>
      <c r="AE778" s="1"/>
      <c r="AG778" s="2" t="str">
        <f>"067972477X"</f>
        <v>067972477X</v>
      </c>
      <c r="AH778" s="2" t="str">
        <f>"9780679724773"</f>
        <v>9780679724773</v>
      </c>
      <c r="AI778" s="1">
        <v>0.0</v>
      </c>
      <c r="AJ778" s="1">
        <v>4.24</v>
      </c>
      <c r="AK778" s="1" t="s">
        <v>83</v>
      </c>
      <c r="AL778" s="1" t="s">
        <v>28</v>
      </c>
      <c r="AM778" s="1">
        <v>468.0</v>
      </c>
      <c r="AN778" s="1">
        <v>1989.0</v>
      </c>
      <c r="AO778" s="1">
        <v>1934.0</v>
      </c>
      <c r="AP778" s="3">
        <v>41651.0</v>
      </c>
      <c r="AQ778" s="4">
        <v>41620.0</v>
      </c>
      <c r="AR778" s="1" t="s">
        <v>3474</v>
      </c>
      <c r="AS778" s="1" t="s">
        <v>3653</v>
      </c>
      <c r="AT778" s="1" t="s">
        <v>31</v>
      </c>
      <c r="AX778" s="1">
        <v>1.0</v>
      </c>
      <c r="AY778" s="1">
        <v>1.0</v>
      </c>
    </row>
    <row r="779" spans="20:51" ht="15.75">
      <c r="T779" s="1">
        <v>1.6000334E7</v>
      </c>
      <c r="U779" s="1"/>
      <c r="V779" s="1"/>
      <c r="W779" s="1"/>
      <c r="X779" s="1"/>
      <c r="Y779" s="1" t="s">
        <v>3654</v>
      </c>
      <c r="Z779" s="1" t="s">
        <v>3655</v>
      </c>
      <c r="AA779" s="1" t="s">
        <v>3656</v>
      </c>
      <c r="AB779" s="1"/>
      <c r="AC779" s="1"/>
      <c r="AD779" s="1"/>
      <c r="AE779" s="1"/>
      <c r="AG779" s="2" t="str">
        <f>"1935639536"</f>
        <v>1935639536</v>
      </c>
      <c r="AH779" s="2" t="str">
        <f>"9781935639534"</f>
        <v>9781935639534</v>
      </c>
      <c r="AI779" s="1">
        <v>4.0</v>
      </c>
      <c r="AJ779" s="1">
        <v>4.1</v>
      </c>
      <c r="AK779" s="1" t="s">
        <v>976</v>
      </c>
      <c r="AL779" s="1" t="s">
        <v>28</v>
      </c>
      <c r="AM779" s="1">
        <v>187.0</v>
      </c>
      <c r="AN779" s="1">
        <v>2013.0</v>
      </c>
      <c r="AO779" s="1">
        <v>2010.0</v>
      </c>
      <c r="AP779" s="3">
        <v>41464.0</v>
      </c>
      <c r="AQ779" s="3">
        <v>41456.0</v>
      </c>
      <c r="AR779" s="1" t="s">
        <v>3574</v>
      </c>
      <c r="AS779" s="1" t="s">
        <v>3657</v>
      </c>
      <c r="AT779" s="1" t="s">
        <v>127</v>
      </c>
      <c r="AX779" s="1">
        <v>1.0</v>
      </c>
      <c r="AY779" s="1">
        <v>1.0</v>
      </c>
    </row>
    <row r="780" spans="20:51" ht="15.75">
      <c r="T780" s="1">
        <v>4929.0</v>
      </c>
      <c r="U780" s="1"/>
      <c r="V780" s="1"/>
      <c r="W780" s="1"/>
      <c r="X780" s="1"/>
      <c r="Y780" s="1" t="s">
        <v>3658</v>
      </c>
      <c r="Z780" s="1" t="s">
        <v>3659</v>
      </c>
      <c r="AA780" s="1" t="s">
        <v>3660</v>
      </c>
      <c r="AB780" s="1"/>
      <c r="AC780" s="1"/>
      <c r="AD780" s="1"/>
      <c r="AE780" s="1"/>
      <c r="AF780" s="1" t="s">
        <v>3661</v>
      </c>
      <c r="AG780" s="2" t="str">
        <f>"1400079276"</f>
        <v>1400079276</v>
      </c>
      <c r="AH780" s="2" t="str">
        <f>"9781400079278"</f>
        <v>9781400079278</v>
      </c>
      <c r="AI780" s="1">
        <v>3.0</v>
      </c>
      <c r="AJ780" s="1">
        <v>4.13</v>
      </c>
      <c r="AK780" s="1" t="s">
        <v>253</v>
      </c>
      <c r="AL780" s="1" t="s">
        <v>28</v>
      </c>
      <c r="AM780" s="1">
        <v>467.0</v>
      </c>
      <c r="AN780" s="1">
        <v>2006.0</v>
      </c>
      <c r="AO780" s="1">
        <v>2002.0</v>
      </c>
      <c r="AP780" s="3">
        <v>41488.0</v>
      </c>
      <c r="AQ780" s="3">
        <v>41063.0</v>
      </c>
      <c r="AR780" s="1" t="s">
        <v>3574</v>
      </c>
      <c r="AS780" s="1" t="s">
        <v>3662</v>
      </c>
      <c r="AT780" s="1" t="s">
        <v>127</v>
      </c>
      <c r="AU780" s="1" t="s">
        <v>3663</v>
      </c>
      <c r="AX780" s="1">
        <v>1.0</v>
      </c>
      <c r="AY780" s="1">
        <v>1.0</v>
      </c>
    </row>
    <row r="781" spans="20:51" ht="15.75" hidden="1">
      <c r="T781" s="1">
        <v>9811933.0</v>
      </c>
      <c r="U781" s="1"/>
      <c r="V781" s="1"/>
      <c r="W781" s="1"/>
      <c r="X781" s="1"/>
      <c r="Y781" s="1" t="s">
        <v>3664</v>
      </c>
      <c r="Z781" s="1" t="s">
        <v>3665</v>
      </c>
      <c r="AA781" s="1" t="s">
        <v>3666</v>
      </c>
      <c r="AB781" s="1"/>
      <c r="AC781" s="1"/>
      <c r="AD781" s="1"/>
      <c r="AE781" s="1"/>
      <c r="AG781" s="2" t="str">
        <f>"0982206720"</f>
        <v>0982206720</v>
      </c>
      <c r="AH781" s="2" t="str">
        <f>"9780982206720"</f>
        <v>9780982206720</v>
      </c>
      <c r="AI781" s="1">
        <v>3.0</v>
      </c>
      <c r="AJ781" s="1">
        <v>3.96</v>
      </c>
      <c r="AK781" s="1" t="s">
        <v>3667</v>
      </c>
      <c r="AL781" s="1" t="s">
        <v>28</v>
      </c>
      <c r="AM781" s="1">
        <v>96.0</v>
      </c>
      <c r="AN781" s="1">
        <v>2011.0</v>
      </c>
      <c r="AO781" s="1">
        <v>2011.0</v>
      </c>
      <c r="AP781" s="3">
        <v>41080.0</v>
      </c>
      <c r="AQ781" s="3">
        <v>41042.0</v>
      </c>
      <c r="AR781" s="1" t="s">
        <v>3159</v>
      </c>
      <c r="AS781" s="1" t="s">
        <v>3668</v>
      </c>
      <c r="AT781" s="1" t="s">
        <v>31</v>
      </c>
      <c r="AX781" s="1">
        <v>1.0</v>
      </c>
      <c r="AY781" s="1">
        <v>1.0</v>
      </c>
    </row>
    <row r="782" spans="20:51" ht="15.75" hidden="1">
      <c r="T782" s="1">
        <v>3.6183745E7</v>
      </c>
      <c r="U782" s="1"/>
      <c r="V782" s="1"/>
      <c r="W782" s="1"/>
      <c r="X782" s="1"/>
      <c r="Y782" s="1" t="s">
        <v>3669</v>
      </c>
      <c r="Z782" s="1" t="s">
        <v>2022</v>
      </c>
      <c r="AA782" s="1" t="s">
        <v>3670</v>
      </c>
      <c r="AB782" s="1"/>
      <c r="AC782" s="1"/>
      <c r="AD782" s="1"/>
      <c r="AE782" s="1"/>
      <c r="AG782" s="2" t="str">
        <f>"1606712926"</f>
        <v>1606712926</v>
      </c>
      <c r="AH782" s="2" t="str">
        <f>"9781606712924"</f>
        <v>9781606712924</v>
      </c>
      <c r="AI782" s="1">
        <v>0.0</v>
      </c>
      <c r="AJ782" s="1">
        <v>3.88</v>
      </c>
      <c r="AK782" s="1" t="s">
        <v>3671</v>
      </c>
      <c r="AL782" s="1" t="s">
        <v>41</v>
      </c>
      <c r="AN782" s="1">
        <v>1993.0</v>
      </c>
      <c r="AO782" s="1">
        <v>1993.0</v>
      </c>
      <c r="AQ782" s="3">
        <v>45163.0</v>
      </c>
      <c r="AR782" s="1" t="s">
        <v>1988</v>
      </c>
      <c r="AS782" s="1" t="s">
        <v>3672</v>
      </c>
      <c r="AT782" s="1" t="s">
        <v>31</v>
      </c>
      <c r="AW782" s="1" t="s">
        <v>2435</v>
      </c>
      <c r="AX782" s="1">
        <v>0.0</v>
      </c>
      <c r="AY782" s="1">
        <v>1.0</v>
      </c>
    </row>
    <row r="783" spans="20:51" ht="15.75" hidden="1">
      <c r="T783" s="1">
        <v>2.9330467E7</v>
      </c>
      <c r="U783" s="1"/>
      <c r="V783" s="1"/>
      <c r="W783" s="1"/>
      <c r="X783" s="1"/>
      <c r="Y783" s="1" t="s">
        <v>3673</v>
      </c>
      <c r="Z783" s="1" t="s">
        <v>3674</v>
      </c>
      <c r="AA783" s="1" t="s">
        <v>3675</v>
      </c>
      <c r="AB783" s="1"/>
      <c r="AC783" s="1"/>
      <c r="AD783" s="1"/>
      <c r="AE783" s="1"/>
      <c r="AG783" s="2" t="str">
        <f>"1530107261"</f>
        <v>1530107261</v>
      </c>
      <c r="AH783" s="2" t="str">
        <f>"9781530107261"</f>
        <v>9781530107261</v>
      </c>
      <c r="AI783" s="1">
        <v>0.0</v>
      </c>
      <c r="AJ783" s="1">
        <v>3.74</v>
      </c>
      <c r="AK783" s="1" t="s">
        <v>3676</v>
      </c>
      <c r="AL783" s="1" t="s">
        <v>28</v>
      </c>
      <c r="AM783" s="1">
        <v>166.0</v>
      </c>
      <c r="AN783" s="1">
        <v>2016.0</v>
      </c>
      <c r="AO783" s="1">
        <v>1597.0</v>
      </c>
      <c r="AQ783" s="3">
        <v>45163.0</v>
      </c>
      <c r="AR783" s="1" t="s">
        <v>3127</v>
      </c>
      <c r="AS783" s="1" t="s">
        <v>3677</v>
      </c>
      <c r="AT783" s="1" t="s">
        <v>31</v>
      </c>
      <c r="AW783" s="1" t="s">
        <v>2435</v>
      </c>
      <c r="AX783" s="1">
        <v>0.0</v>
      </c>
      <c r="AY783" s="1">
        <v>1.0</v>
      </c>
    </row>
    <row r="784" spans="20:51" ht="15.75">
      <c r="T784" s="1">
        <v>4266011.0</v>
      </c>
      <c r="U784" s="1"/>
      <c r="V784" s="1"/>
      <c r="W784" s="1"/>
      <c r="X784" s="1"/>
      <c r="Y784" s="1" t="s">
        <v>3678</v>
      </c>
      <c r="Z784" s="1" t="s">
        <v>3607</v>
      </c>
      <c r="AA784" s="1" t="s">
        <v>3608</v>
      </c>
      <c r="AB784" s="1"/>
      <c r="AC784" s="1"/>
      <c r="AD784" s="1"/>
      <c r="AE784" s="1"/>
      <c r="AG784" s="2" t="str">
        <f>"0684842696"</f>
        <v>0684842696</v>
      </c>
      <c r="AH784" s="2" t="str">
        <f>"9780684842691"</f>
        <v>9780684842691</v>
      </c>
      <c r="AI784" s="1">
        <v>0.0</v>
      </c>
      <c r="AJ784" s="1">
        <v>3.94</v>
      </c>
      <c r="AK784" s="1" t="s">
        <v>101</v>
      </c>
      <c r="AL784" s="1" t="s">
        <v>41</v>
      </c>
      <c r="AM784" s="1">
        <v>827.0</v>
      </c>
      <c r="AN784" s="1">
        <v>1997.0</v>
      </c>
      <c r="AO784" s="1">
        <v>1997.0</v>
      </c>
      <c r="AQ784" s="3">
        <v>45163.0</v>
      </c>
      <c r="AR784" s="1" t="s">
        <v>2433</v>
      </c>
      <c r="AS784" s="1" t="s">
        <v>3679</v>
      </c>
      <c r="AT784" s="1" t="s">
        <v>31</v>
      </c>
      <c r="AX784" s="1">
        <v>0.0</v>
      </c>
      <c r="AY784" s="1">
        <v>1.0</v>
      </c>
    </row>
    <row r="785" spans="20:51" ht="15.75" hidden="1">
      <c r="T785" s="1">
        <v>2.0552271E7</v>
      </c>
      <c r="U785" s="1"/>
      <c r="V785" s="1"/>
      <c r="W785" s="1"/>
      <c r="X785" s="1"/>
      <c r="Y785" s="1" t="s">
        <v>3680</v>
      </c>
      <c r="Z785" s="1" t="s">
        <v>3681</v>
      </c>
      <c r="AA785" s="1" t="s">
        <v>3682</v>
      </c>
      <c r="AB785" s="1"/>
      <c r="AC785" s="1"/>
      <c r="AD785" s="1"/>
      <c r="AE785" s="1"/>
      <c r="AF785" s="1" t="s">
        <v>3683</v>
      </c>
      <c r="AG785" s="2" t="str">
        <f t="shared" si="47" ref="AG785:AH785">""</f>
        <v/>
      </c>
      <c r="AH785" s="2" t="str">
        <f t="shared" si="47"/>
        <v/>
      </c>
      <c r="AI785" s="1">
        <v>0.0</v>
      </c>
      <c r="AJ785" s="1">
        <v>4.03</v>
      </c>
      <c r="AK785" s="1" t="s">
        <v>3684</v>
      </c>
      <c r="AL785" s="1" t="s">
        <v>28</v>
      </c>
      <c r="AM785" s="1">
        <v>332.0</v>
      </c>
      <c r="AN785" s="1">
        <v>1954.0</v>
      </c>
      <c r="AQ785" s="3">
        <v>45161.0</v>
      </c>
      <c r="AR785" s="1" t="s">
        <v>3332</v>
      </c>
      <c r="AS785" s="1" t="s">
        <v>3685</v>
      </c>
      <c r="AT785" s="1" t="s">
        <v>31</v>
      </c>
      <c r="AX785" s="1">
        <v>0.0</v>
      </c>
      <c r="AY785" s="1">
        <v>1.0</v>
      </c>
    </row>
    <row r="786" spans="20:51" ht="15.75" hidden="1">
      <c r="T786" s="1">
        <v>2462024.0</v>
      </c>
      <c r="U786" s="1"/>
      <c r="V786" s="1"/>
      <c r="W786" s="1"/>
      <c r="X786" s="1"/>
      <c r="Y786" s="1" t="s">
        <v>3686</v>
      </c>
      <c r="Z786" s="1" t="s">
        <v>1256</v>
      </c>
      <c r="AA786" s="1" t="s">
        <v>1257</v>
      </c>
      <c r="AB786" s="1"/>
      <c r="AC786" s="1"/>
      <c r="AD786" s="1"/>
      <c r="AE786" s="1"/>
      <c r="AF786" s="1" t="s">
        <v>3687</v>
      </c>
      <c r="AG786" s="2" t="str">
        <f>"8402081770"</f>
        <v>8402081770</v>
      </c>
      <c r="AH786" s="2" t="str">
        <f>"9788402081773"</f>
        <v>9788402081773</v>
      </c>
      <c r="AI786" s="1">
        <v>0.0</v>
      </c>
      <c r="AJ786" s="1">
        <v>4.06</v>
      </c>
      <c r="AK786" s="1" t="s">
        <v>3688</v>
      </c>
      <c r="AL786" s="1" t="s">
        <v>28</v>
      </c>
      <c r="AM786" s="1">
        <v>210.0</v>
      </c>
      <c r="AN786" s="1">
        <v>1981.0</v>
      </c>
      <c r="AO786" s="1">
        <v>1957.0</v>
      </c>
      <c r="AQ786" s="3">
        <v>45161.0</v>
      </c>
      <c r="AR786" s="1" t="s">
        <v>3164</v>
      </c>
      <c r="AS786" s="1" t="s">
        <v>3689</v>
      </c>
      <c r="AT786" s="1" t="s">
        <v>31</v>
      </c>
      <c r="AW786" s="1" t="s">
        <v>3690</v>
      </c>
      <c r="AX786" s="1">
        <v>0.0</v>
      </c>
      <c r="AY786" s="1">
        <v>1.0</v>
      </c>
    </row>
    <row r="787" spans="20:51" ht="15.75" hidden="1">
      <c r="T787" s="1">
        <v>1.71061051E8</v>
      </c>
      <c r="U787" s="1"/>
      <c r="V787" s="1"/>
      <c r="W787" s="1"/>
      <c r="X787" s="1"/>
      <c r="Y787" s="1" t="s">
        <v>3691</v>
      </c>
      <c r="Z787" s="1" t="s">
        <v>3692</v>
      </c>
      <c r="AA787" s="1" t="s">
        <v>3693</v>
      </c>
      <c r="AB787" s="1"/>
      <c r="AC787" s="1"/>
      <c r="AD787" s="1"/>
      <c r="AE787" s="1"/>
      <c r="AG787" s="2" t="str">
        <f t="shared" si="48" ref="AG787:AH787">""</f>
        <v/>
      </c>
      <c r="AH787" s="2" t="str">
        <f t="shared" si="48"/>
        <v/>
      </c>
      <c r="AI787" s="1">
        <v>0.0</v>
      </c>
      <c r="AJ787" s="1">
        <v>3.75</v>
      </c>
      <c r="AK787" s="1" t="s">
        <v>3694</v>
      </c>
      <c r="AL787" s="1" t="s">
        <v>28</v>
      </c>
      <c r="AM787" s="1">
        <v>461.0</v>
      </c>
      <c r="AN787" s="1">
        <v>1950.0</v>
      </c>
      <c r="AO787" s="1">
        <v>1950.0</v>
      </c>
      <c r="AQ787" s="3">
        <v>45161.0</v>
      </c>
      <c r="AR787" s="1" t="s">
        <v>3332</v>
      </c>
      <c r="AS787" s="1" t="s">
        <v>3695</v>
      </c>
      <c r="AT787" s="1" t="s">
        <v>31</v>
      </c>
      <c r="AX787" s="1">
        <v>0.0</v>
      </c>
      <c r="AY787" s="1">
        <v>1.0</v>
      </c>
    </row>
    <row r="788" spans="20:51" ht="15.75" hidden="1">
      <c r="T788" s="1">
        <v>1846774.0</v>
      </c>
      <c r="U788" s="1"/>
      <c r="V788" s="1"/>
      <c r="W788" s="1"/>
      <c r="X788" s="1"/>
      <c r="Y788" s="1" t="s">
        <v>3696</v>
      </c>
      <c r="Z788" s="1" t="s">
        <v>3697</v>
      </c>
      <c r="AA788" s="1" t="s">
        <v>3698</v>
      </c>
      <c r="AB788" s="1"/>
      <c r="AC788" s="1"/>
      <c r="AD788" s="1"/>
      <c r="AE788" s="1"/>
      <c r="AF788" s="1" t="s">
        <v>3699</v>
      </c>
      <c r="AG788" s="2" t="str">
        <f>"0871922835"</f>
        <v>0871922835</v>
      </c>
      <c r="AH788" s="2" t="str">
        <f>"9780871922830"</f>
        <v>9780871922830</v>
      </c>
      <c r="AI788" s="1">
        <v>0.0</v>
      </c>
      <c r="AJ788" s="1">
        <v>3.94</v>
      </c>
      <c r="AK788" s="1" t="s">
        <v>3700</v>
      </c>
      <c r="AL788" s="1" t="s">
        <v>41</v>
      </c>
      <c r="AM788" s="1">
        <v>228.0</v>
      </c>
      <c r="AN788" s="1">
        <v>1995.0</v>
      </c>
      <c r="AO788" s="1">
        <v>1988.0</v>
      </c>
      <c r="AQ788" s="3">
        <v>45161.0</v>
      </c>
      <c r="AR788" s="1" t="s">
        <v>3189</v>
      </c>
      <c r="AS788" s="1" t="s">
        <v>3701</v>
      </c>
      <c r="AT788" s="1" t="s">
        <v>31</v>
      </c>
      <c r="AX788" s="1">
        <v>0.0</v>
      </c>
      <c r="AY788" s="1">
        <v>1.0</v>
      </c>
    </row>
    <row r="789" spans="20:51" ht="15.75" hidden="1">
      <c r="T789" s="1">
        <v>8193142.0</v>
      </c>
      <c r="U789" s="1"/>
      <c r="V789" s="1"/>
      <c r="W789" s="1"/>
      <c r="X789" s="1"/>
      <c r="Y789" s="1" t="s">
        <v>3702</v>
      </c>
      <c r="Z789" s="1" t="s">
        <v>3703</v>
      </c>
      <c r="AA789" s="1" t="s">
        <v>3704</v>
      </c>
      <c r="AB789" s="1"/>
      <c r="AC789" s="1"/>
      <c r="AD789" s="1"/>
      <c r="AE789" s="1"/>
      <c r="AG789" s="2" t="str">
        <f t="shared" si="49" ref="AG789:AH789">""</f>
        <v/>
      </c>
      <c r="AH789" s="2" t="str">
        <f t="shared" si="49"/>
        <v/>
      </c>
      <c r="AI789" s="1">
        <v>0.0</v>
      </c>
      <c r="AJ789" s="1">
        <v>4.06</v>
      </c>
      <c r="AK789" s="1" t="s">
        <v>3515</v>
      </c>
      <c r="AL789" s="1" t="s">
        <v>28</v>
      </c>
      <c r="AM789" s="1">
        <v>191.0</v>
      </c>
      <c r="AN789" s="1">
        <v>1953.0</v>
      </c>
      <c r="AO789" s="1">
        <v>1953.0</v>
      </c>
      <c r="AQ789" s="3">
        <v>45160.0</v>
      </c>
      <c r="AR789" s="1" t="s">
        <v>3332</v>
      </c>
      <c r="AS789" s="1" t="s">
        <v>3705</v>
      </c>
      <c r="AT789" s="1" t="s">
        <v>31</v>
      </c>
      <c r="AX789" s="1">
        <v>0.0</v>
      </c>
      <c r="AY789" s="1">
        <v>1.0</v>
      </c>
    </row>
    <row r="790" spans="20:51" ht="15.75">
      <c r="T790" s="1">
        <v>186926.0</v>
      </c>
      <c r="U790" s="1"/>
      <c r="V790" s="1"/>
      <c r="W790" s="1"/>
      <c r="X790" s="1"/>
      <c r="Y790" s="1" t="s">
        <v>3706</v>
      </c>
      <c r="Z790" s="1" t="s">
        <v>3707</v>
      </c>
      <c r="AA790" s="1" t="s">
        <v>3708</v>
      </c>
      <c r="AB790" s="1"/>
      <c r="AC790" s="1"/>
      <c r="AD790" s="1"/>
      <c r="AE790" s="1"/>
      <c r="AG790" s="2" t="str">
        <f>"0395901499"</f>
        <v>0395901499</v>
      </c>
      <c r="AH790" s="2" t="str">
        <f>"9780395901496"</f>
        <v>9780395901496</v>
      </c>
      <c r="AI790" s="1">
        <v>0.0</v>
      </c>
      <c r="AJ790" s="1">
        <v>4.26</v>
      </c>
      <c r="AK790" s="1" t="s">
        <v>403</v>
      </c>
      <c r="AL790" s="1" t="s">
        <v>28</v>
      </c>
      <c r="AM790" s="1">
        <v>435.0</v>
      </c>
      <c r="AN790" s="1">
        <v>1998.0</v>
      </c>
      <c r="AO790" s="1">
        <v>1946.0</v>
      </c>
      <c r="AQ790" s="3">
        <v>45160.0</v>
      </c>
      <c r="AR790" s="1" t="s">
        <v>2433</v>
      </c>
      <c r="AS790" s="1" t="s">
        <v>3709</v>
      </c>
      <c r="AT790" s="1" t="s">
        <v>31</v>
      </c>
      <c r="AX790" s="1">
        <v>0.0</v>
      </c>
      <c r="AY790" s="1">
        <v>1.0</v>
      </c>
    </row>
    <row r="791" spans="20:51" ht="15.75" hidden="1">
      <c r="T791" s="1">
        <v>3939653.0</v>
      </c>
      <c r="U791" s="1"/>
      <c r="V791" s="1"/>
      <c r="W791" s="1"/>
      <c r="X791" s="1"/>
      <c r="Y791" s="1" t="s">
        <v>3710</v>
      </c>
      <c r="Z791" s="1" t="s">
        <v>3711</v>
      </c>
      <c r="AA791" s="1" t="s">
        <v>3712</v>
      </c>
      <c r="AB791" s="1"/>
      <c r="AC791" s="1"/>
      <c r="AD791" s="1"/>
      <c r="AE791" s="1"/>
      <c r="AG791" s="2" t="str">
        <f>"0394755472"</f>
        <v>0394755472</v>
      </c>
      <c r="AH791" s="2" t="str">
        <f>"9780394755472"</f>
        <v>9780394755472</v>
      </c>
      <c r="AI791" s="1">
        <v>0.0</v>
      </c>
      <c r="AJ791" s="1">
        <v>3.98</v>
      </c>
      <c r="AK791" s="1" t="s">
        <v>1736</v>
      </c>
      <c r="AL791" s="1" t="s">
        <v>28</v>
      </c>
      <c r="AM791" s="1">
        <v>224.0</v>
      </c>
      <c r="AN791" s="1">
        <v>1989.0</v>
      </c>
      <c r="AO791" s="1">
        <v>1983.0</v>
      </c>
      <c r="AQ791" s="3">
        <v>45160.0</v>
      </c>
      <c r="AR791" s="1" t="s">
        <v>3189</v>
      </c>
      <c r="AS791" s="1" t="s">
        <v>3713</v>
      </c>
      <c r="AT791" s="1" t="s">
        <v>31</v>
      </c>
      <c r="AX791" s="1">
        <v>0.0</v>
      </c>
      <c r="AY791" s="1">
        <v>1.0</v>
      </c>
    </row>
    <row r="792" spans="20:51" ht="15.75">
      <c r="T792" s="1">
        <v>1256859.0</v>
      </c>
      <c r="U792" s="1"/>
      <c r="V792" s="1"/>
      <c r="W792" s="1"/>
      <c r="X792" s="1"/>
      <c r="Y792" s="1" t="s">
        <v>3714</v>
      </c>
      <c r="Z792" s="1" t="s">
        <v>3715</v>
      </c>
      <c r="AA792" s="1" t="s">
        <v>3716</v>
      </c>
      <c r="AB792" s="1"/>
      <c r="AC792" s="1"/>
      <c r="AD792" s="1"/>
      <c r="AE792" s="1"/>
      <c r="AG792" s="2" t="str">
        <f>"0893753564"</f>
        <v>0893753564</v>
      </c>
      <c r="AH792" s="2" t="str">
        <f>"9780893753566"</f>
        <v>9780893753566</v>
      </c>
      <c r="AI792" s="1">
        <v>0.0</v>
      </c>
      <c r="AJ792" s="1">
        <v>4.07</v>
      </c>
      <c r="AK792" s="1" t="s">
        <v>3717</v>
      </c>
      <c r="AL792" s="1" t="s">
        <v>315</v>
      </c>
      <c r="AM792" s="1">
        <v>124.0</v>
      </c>
      <c r="AN792" s="1">
        <v>1980.0</v>
      </c>
      <c r="AO792" s="1">
        <v>1843.0</v>
      </c>
      <c r="AQ792" s="3">
        <v>45160.0</v>
      </c>
      <c r="AR792" s="1" t="s">
        <v>2433</v>
      </c>
      <c r="AS792" s="1" t="s">
        <v>3718</v>
      </c>
      <c r="AT792" s="1" t="s">
        <v>31</v>
      </c>
      <c r="AX792" s="1">
        <v>0.0</v>
      </c>
      <c r="AY792" s="1">
        <v>1.0</v>
      </c>
    </row>
    <row r="793" spans="20:51" ht="15.75" hidden="1">
      <c r="T793" s="1">
        <v>3.6649474E7</v>
      </c>
      <c r="U793" s="1"/>
      <c r="V793" s="1"/>
      <c r="W793" s="1"/>
      <c r="X793" s="1"/>
      <c r="Y793" s="1" t="s">
        <v>3719</v>
      </c>
      <c r="Z793" s="1" t="s">
        <v>3720</v>
      </c>
      <c r="AA793" s="1" t="s">
        <v>3721</v>
      </c>
      <c r="AB793" s="1"/>
      <c r="AC793" s="1"/>
      <c r="AD793" s="1"/>
      <c r="AE793" s="1"/>
      <c r="AG793" s="2" t="str">
        <f t="shared" si="50" ref="AG793:AH793">""</f>
        <v/>
      </c>
      <c r="AH793" s="2" t="str">
        <f t="shared" si="50"/>
        <v/>
      </c>
      <c r="AI793" s="1">
        <v>0.0</v>
      </c>
      <c r="AJ793" s="1">
        <v>3.91</v>
      </c>
      <c r="AK793" s="1" t="s">
        <v>3722</v>
      </c>
      <c r="AL793" s="1" t="s">
        <v>28</v>
      </c>
      <c r="AM793" s="1">
        <v>120.0</v>
      </c>
      <c r="AN793" s="1">
        <v>1972.0</v>
      </c>
      <c r="AO793" s="1">
        <v>1918.0</v>
      </c>
      <c r="AQ793" s="3">
        <v>45159.0</v>
      </c>
      <c r="AR793" s="1" t="s">
        <v>3137</v>
      </c>
      <c r="AS793" s="1" t="s">
        <v>3723</v>
      </c>
      <c r="AT793" s="1" t="s">
        <v>31</v>
      </c>
      <c r="AX793" s="1">
        <v>0.0</v>
      </c>
      <c r="AY793" s="1">
        <v>1.0</v>
      </c>
    </row>
    <row r="794" spans="20:51" ht="15.75" hidden="1">
      <c r="T794" s="1">
        <v>4.0623521E7</v>
      </c>
      <c r="U794" s="1"/>
      <c r="V794" s="1"/>
      <c r="W794" s="1"/>
      <c r="X794" s="1"/>
      <c r="Y794" s="1" t="s">
        <v>3724</v>
      </c>
      <c r="Z794" s="1" t="s">
        <v>164</v>
      </c>
      <c r="AA794" s="1" t="s">
        <v>165</v>
      </c>
      <c r="AB794" s="1"/>
      <c r="AC794" s="1"/>
      <c r="AD794" s="1"/>
      <c r="AE794" s="1"/>
      <c r="AG794" s="2" t="str">
        <f>"8467033592"</f>
        <v>8467033592</v>
      </c>
      <c r="AH794" s="2" t="str">
        <f>"9788467033595"</f>
        <v>9788467033595</v>
      </c>
      <c r="AI794" s="1">
        <v>0.0</v>
      </c>
      <c r="AJ794" s="1">
        <v>3.85</v>
      </c>
      <c r="AK794" s="1" t="s">
        <v>3725</v>
      </c>
      <c r="AL794" s="1" t="s">
        <v>28</v>
      </c>
      <c r="AM794" s="1">
        <v>256.0</v>
      </c>
      <c r="AN794" s="1">
        <v>2000.0</v>
      </c>
      <c r="AO794" s="1">
        <v>1915.0</v>
      </c>
      <c r="AQ794" s="3">
        <v>45152.0</v>
      </c>
      <c r="AR794" s="1" t="s">
        <v>3231</v>
      </c>
      <c r="AS794" s="1" t="s">
        <v>3726</v>
      </c>
      <c r="AT794" s="1" t="s">
        <v>31</v>
      </c>
      <c r="AX794" s="1">
        <v>0.0</v>
      </c>
      <c r="AY794" s="1">
        <v>1.0</v>
      </c>
    </row>
    <row r="795" spans="20:51" ht="15.75" hidden="1">
      <c r="T795" s="1">
        <v>992903.0</v>
      </c>
      <c r="U795" s="1"/>
      <c r="V795" s="1"/>
      <c r="W795" s="1"/>
      <c r="X795" s="1"/>
      <c r="Y795" s="1" t="s">
        <v>3727</v>
      </c>
      <c r="Z795" s="1" t="s">
        <v>1256</v>
      </c>
      <c r="AA795" s="1" t="s">
        <v>1257</v>
      </c>
      <c r="AB795" s="1"/>
      <c r="AC795" s="1"/>
      <c r="AD795" s="1"/>
      <c r="AE795" s="1"/>
      <c r="AF795" s="1" t="s">
        <v>3728</v>
      </c>
      <c r="AG795" s="2" t="str">
        <f>"9875662445"</f>
        <v>9875662445</v>
      </c>
      <c r="AH795" s="2" t="str">
        <f>"9789875662445"</f>
        <v>9789875662445</v>
      </c>
      <c r="AI795" s="1">
        <v>0.0</v>
      </c>
      <c r="AJ795" s="1">
        <v>4.36</v>
      </c>
      <c r="AK795" s="1" t="s">
        <v>1141</v>
      </c>
      <c r="AL795" s="1" t="s">
        <v>28</v>
      </c>
      <c r="AM795" s="1">
        <v>407.0</v>
      </c>
      <c r="AN795" s="1">
        <v>2007.0</v>
      </c>
      <c r="AO795" s="1">
        <v>1940.0</v>
      </c>
      <c r="AQ795" s="3">
        <v>45152.0</v>
      </c>
      <c r="AR795" s="1" t="s">
        <v>3231</v>
      </c>
      <c r="AS795" s="1" t="s">
        <v>3729</v>
      </c>
      <c r="AT795" s="1" t="s">
        <v>31</v>
      </c>
      <c r="AW795" s="1" t="s">
        <v>3730</v>
      </c>
      <c r="AX795" s="1">
        <v>1.0</v>
      </c>
      <c r="AY795" s="1">
        <v>1.0</v>
      </c>
    </row>
    <row r="796" spans="20:51" ht="15.75" hidden="1">
      <c r="T796" s="1">
        <v>53012.0</v>
      </c>
      <c r="U796" s="1"/>
      <c r="V796" s="1"/>
      <c r="W796" s="1"/>
      <c r="X796" s="1"/>
      <c r="Y796" s="1" t="s">
        <v>3731</v>
      </c>
      <c r="Z796" s="1" t="s">
        <v>1229</v>
      </c>
      <c r="AA796" s="1" t="s">
        <v>1230</v>
      </c>
      <c r="AB796" s="1"/>
      <c r="AC796" s="1"/>
      <c r="AD796" s="1"/>
      <c r="AE796" s="1"/>
      <c r="AG796" s="2" t="str">
        <f>"0374527717"</f>
        <v>0374527717</v>
      </c>
      <c r="AH796" s="2" t="str">
        <f>"9780374527716"</f>
        <v>9780374527716</v>
      </c>
      <c r="AI796" s="1">
        <v>0.0</v>
      </c>
      <c r="AJ796" s="1">
        <v>3.94</v>
      </c>
      <c r="AK796" s="1" t="s">
        <v>89</v>
      </c>
      <c r="AL796" s="1" t="s">
        <v>28</v>
      </c>
      <c r="AM796" s="1">
        <v>112.0</v>
      </c>
      <c r="AN796" s="1">
        <v>2001.0</v>
      </c>
      <c r="AO796" s="1">
        <v>2000.0</v>
      </c>
      <c r="AQ796" s="3">
        <v>45143.0</v>
      </c>
      <c r="AR796" s="1" t="s">
        <v>3159</v>
      </c>
      <c r="AS796" s="1" t="s">
        <v>3732</v>
      </c>
      <c r="AT796" s="1" t="s">
        <v>31</v>
      </c>
      <c r="AX796" s="1">
        <v>1.0</v>
      </c>
      <c r="AY796" s="1">
        <v>1.0</v>
      </c>
    </row>
    <row r="797" spans="20:51" ht="15.75">
      <c r="T797" s="1">
        <v>77691.0</v>
      </c>
      <c r="U797" s="1"/>
      <c r="V797" s="1"/>
      <c r="W797" s="1"/>
      <c r="X797" s="1"/>
      <c r="Y797" s="1" t="s">
        <v>3733</v>
      </c>
      <c r="Z797" s="1" t="s">
        <v>3734</v>
      </c>
      <c r="AA797" s="1" t="s">
        <v>3735</v>
      </c>
      <c r="AB797" s="1"/>
      <c r="AC797" s="1"/>
      <c r="AD797" s="1"/>
      <c r="AE797" s="1"/>
      <c r="AG797" s="2" t="str">
        <f>"0060934867"</f>
        <v>0060934867</v>
      </c>
      <c r="AH797" s="2" t="str">
        <f>"9780060934866"</f>
        <v>9780060934866</v>
      </c>
      <c r="AI797" s="1">
        <v>0.0</v>
      </c>
      <c r="AJ797" s="1">
        <v>3.05</v>
      </c>
      <c r="AK797" s="1" t="s">
        <v>3736</v>
      </c>
      <c r="AL797" s="1" t="s">
        <v>28</v>
      </c>
      <c r="AM797" s="1">
        <v>248.0</v>
      </c>
      <c r="AN797" s="1">
        <v>2005.0</v>
      </c>
      <c r="AO797" s="1">
        <v>2004.0</v>
      </c>
      <c r="AQ797" s="3">
        <v>45152.0</v>
      </c>
      <c r="AR797" s="1" t="s">
        <v>3574</v>
      </c>
      <c r="AS797" s="1" t="s">
        <v>3737</v>
      </c>
      <c r="AT797" s="1" t="s">
        <v>127</v>
      </c>
      <c r="AX797" s="1">
        <v>1.0</v>
      </c>
      <c r="AY797" s="1">
        <v>1.0</v>
      </c>
    </row>
    <row r="798" spans="20:51" ht="15.75" hidden="1">
      <c r="T798" s="1">
        <v>2140784.0</v>
      </c>
      <c r="U798" s="1"/>
      <c r="V798" s="1"/>
      <c r="W798" s="1"/>
      <c r="X798" s="1"/>
      <c r="Y798" s="1" t="s">
        <v>3738</v>
      </c>
      <c r="Z798" s="1" t="s">
        <v>3739</v>
      </c>
      <c r="AA798" s="1" t="s">
        <v>3740</v>
      </c>
      <c r="AB798" s="1"/>
      <c r="AC798" s="1"/>
      <c r="AD798" s="1"/>
      <c r="AE798" s="1"/>
      <c r="AG798" s="2" t="str">
        <f>"1928589146"</f>
        <v>1928589146</v>
      </c>
      <c r="AH798" s="2" t="str">
        <f>"9781928589143"</f>
        <v>9781928589143</v>
      </c>
      <c r="AI798" s="1">
        <v>0.0</v>
      </c>
      <c r="AJ798" s="1">
        <v>4.38</v>
      </c>
      <c r="AK798" s="1" t="s">
        <v>3741</v>
      </c>
      <c r="AL798" s="1" t="s">
        <v>28</v>
      </c>
      <c r="AM798" s="1">
        <v>80.0</v>
      </c>
      <c r="AN798" s="1">
        <v>2003.0</v>
      </c>
      <c r="AO798" s="1">
        <v>2003.0</v>
      </c>
      <c r="AQ798" s="3">
        <v>45143.0</v>
      </c>
      <c r="AR798" s="1" t="s">
        <v>3159</v>
      </c>
      <c r="AS798" s="1" t="s">
        <v>3742</v>
      </c>
      <c r="AT798" s="1" t="s">
        <v>31</v>
      </c>
      <c r="AX798" s="1">
        <v>0.0</v>
      </c>
      <c r="AY798" s="1">
        <v>1.0</v>
      </c>
    </row>
    <row r="799" spans="20:51" ht="15.75" hidden="1">
      <c r="T799" s="1">
        <v>1044577.0</v>
      </c>
      <c r="U799" s="1"/>
      <c r="V799" s="1"/>
      <c r="W799" s="1"/>
      <c r="X799" s="1"/>
      <c r="Y799" s="1" t="s">
        <v>3743</v>
      </c>
      <c r="Z799" s="1" t="s">
        <v>3744</v>
      </c>
      <c r="AA799" s="1" t="s">
        <v>3745</v>
      </c>
      <c r="AB799" s="1"/>
      <c r="AC799" s="1"/>
      <c r="AD799" s="1"/>
      <c r="AE799" s="1"/>
      <c r="AF799" s="1" t="s">
        <v>3746</v>
      </c>
      <c r="AG799" s="2" t="str">
        <f>"0872204588"</f>
        <v>0872204588</v>
      </c>
      <c r="AH799" s="2" t="str">
        <f>"9780872204584"</f>
        <v>9780872204584</v>
      </c>
      <c r="AI799" s="1">
        <v>0.0</v>
      </c>
      <c r="AJ799" s="1">
        <v>3.96</v>
      </c>
      <c r="AK799" s="1" t="s">
        <v>3747</v>
      </c>
      <c r="AL799" s="1" t="s">
        <v>28</v>
      </c>
      <c r="AM799" s="1">
        <v>240.0</v>
      </c>
      <c r="AN799" s="1">
        <v>2000.0</v>
      </c>
      <c r="AO799" s="1">
        <v>2000.0</v>
      </c>
      <c r="AQ799" s="3">
        <v>45143.0</v>
      </c>
      <c r="AR799" s="1" t="s">
        <v>3332</v>
      </c>
      <c r="AS799" s="1" t="s">
        <v>3748</v>
      </c>
      <c r="AT799" s="1" t="s">
        <v>31</v>
      </c>
      <c r="AX799" s="1">
        <v>0.0</v>
      </c>
      <c r="AY799" s="1">
        <v>1.0</v>
      </c>
    </row>
    <row r="800" spans="20:51" ht="15.75" hidden="1">
      <c r="T800" s="1">
        <v>2398427.0</v>
      </c>
      <c r="U800" s="1"/>
      <c r="V800" s="1"/>
      <c r="W800" s="1"/>
      <c r="X800" s="1"/>
      <c r="Y800" s="1" t="s">
        <v>3749</v>
      </c>
      <c r="Z800" s="1" t="s">
        <v>3750</v>
      </c>
      <c r="AA800" s="1" t="s">
        <v>3751</v>
      </c>
      <c r="AB800" s="1"/>
      <c r="AC800" s="1"/>
      <c r="AD800" s="1"/>
      <c r="AE800" s="1"/>
      <c r="AG800" s="2" t="str">
        <f>"9508891149"</f>
        <v>9508891149</v>
      </c>
      <c r="AH800" s="2" t="str">
        <f>"9789508891143"</f>
        <v>9789508891143</v>
      </c>
      <c r="AI800" s="1">
        <v>0.0</v>
      </c>
      <c r="AJ800" s="1">
        <v>0.0</v>
      </c>
      <c r="AK800" s="1" t="s">
        <v>3752</v>
      </c>
      <c r="AL800" s="1" t="s">
        <v>28</v>
      </c>
      <c r="AM800" s="1">
        <v>240.0</v>
      </c>
      <c r="AN800" s="1">
        <v>2006.0</v>
      </c>
      <c r="AO800" s="1">
        <v>2005.0</v>
      </c>
      <c r="AQ800" s="3">
        <v>45137.0</v>
      </c>
      <c r="AR800" s="1" t="s">
        <v>3144</v>
      </c>
      <c r="AS800" s="1" t="s">
        <v>3753</v>
      </c>
      <c r="AT800" s="1" t="s">
        <v>31</v>
      </c>
      <c r="AX800" s="1">
        <v>0.0</v>
      </c>
      <c r="AY800" s="1">
        <v>1.0</v>
      </c>
    </row>
    <row r="801" spans="20:51" ht="15.75" hidden="1">
      <c r="T801" s="1">
        <v>1165399.0</v>
      </c>
      <c r="U801" s="1"/>
      <c r="V801" s="1"/>
      <c r="W801" s="1"/>
      <c r="X801" s="1"/>
      <c r="Y801" s="1" t="s">
        <v>3754</v>
      </c>
      <c r="Z801" s="1" t="s">
        <v>3755</v>
      </c>
      <c r="AA801" s="1" t="s">
        <v>3756</v>
      </c>
      <c r="AB801" s="1"/>
      <c r="AC801" s="1"/>
      <c r="AD801" s="1"/>
      <c r="AE801" s="1"/>
      <c r="AG801" s="2" t="str">
        <f>"3822858560"</f>
        <v>3822858560</v>
      </c>
      <c r="AH801" s="2" t="str">
        <f>"9783822858561"</f>
        <v>9783822858561</v>
      </c>
      <c r="AI801" s="1">
        <v>0.0</v>
      </c>
      <c r="AJ801" s="1">
        <v>4.27</v>
      </c>
      <c r="AK801" s="1" t="s">
        <v>2266</v>
      </c>
      <c r="AL801" s="1" t="s">
        <v>28</v>
      </c>
      <c r="AM801" s="1">
        <v>96.0</v>
      </c>
      <c r="AN801" s="1">
        <v>2001.0</v>
      </c>
      <c r="AO801" s="1">
        <v>1987.0</v>
      </c>
      <c r="AQ801" s="3">
        <v>45137.0</v>
      </c>
      <c r="AR801" s="1" t="s">
        <v>3144</v>
      </c>
      <c r="AS801" s="1" t="s">
        <v>3757</v>
      </c>
      <c r="AT801" s="1" t="s">
        <v>31</v>
      </c>
      <c r="AX801" s="1">
        <v>0.0</v>
      </c>
      <c r="AY801" s="1">
        <v>1.0</v>
      </c>
    </row>
    <row r="802" spans="20:51" ht="15.75" hidden="1">
      <c r="T802" s="1">
        <v>3425041.0</v>
      </c>
      <c r="U802" s="1"/>
      <c r="V802" s="1"/>
      <c r="W802" s="1"/>
      <c r="X802" s="1"/>
      <c r="Y802" s="1" t="s">
        <v>3758</v>
      </c>
      <c r="Z802" s="1" t="s">
        <v>3759</v>
      </c>
      <c r="AA802" s="1" t="s">
        <v>3760</v>
      </c>
      <c r="AB802" s="1"/>
      <c r="AC802" s="1"/>
      <c r="AD802" s="1"/>
      <c r="AE802" s="1"/>
      <c r="AG802" s="2" t="str">
        <f>"0981521304"</f>
        <v>0981521304</v>
      </c>
      <c r="AH802" s="2" t="str">
        <f>"9780981521305"</f>
        <v>9780981521305</v>
      </c>
      <c r="AI802" s="1">
        <v>0.0</v>
      </c>
      <c r="AJ802" s="1">
        <v>4.49</v>
      </c>
      <c r="AK802" s="1" t="s">
        <v>3761</v>
      </c>
      <c r="AL802" s="1" t="s">
        <v>28</v>
      </c>
      <c r="AM802" s="1">
        <v>99.0</v>
      </c>
      <c r="AN802" s="1">
        <v>2010.0</v>
      </c>
      <c r="AO802" s="1">
        <v>2008.0</v>
      </c>
      <c r="AQ802" s="3">
        <v>45143.0</v>
      </c>
      <c r="AR802" s="1" t="s">
        <v>3159</v>
      </c>
      <c r="AS802" s="1" t="s">
        <v>3762</v>
      </c>
      <c r="AT802" s="1" t="s">
        <v>31</v>
      </c>
      <c r="AX802" s="1">
        <v>0.0</v>
      </c>
      <c r="AY802" s="1">
        <v>1.0</v>
      </c>
    </row>
    <row r="803" spans="20:51" ht="15.75" hidden="1">
      <c r="T803" s="1">
        <v>6466511.0</v>
      </c>
      <c r="U803" s="1"/>
      <c r="V803" s="1"/>
      <c r="W803" s="1"/>
      <c r="X803" s="1"/>
      <c r="Y803" s="1" t="s">
        <v>3763</v>
      </c>
      <c r="Z803" s="1" t="s">
        <v>3764</v>
      </c>
      <c r="AA803" s="1" t="s">
        <v>3765</v>
      </c>
      <c r="AB803" s="1"/>
      <c r="AC803" s="1"/>
      <c r="AD803" s="1"/>
      <c r="AE803" s="1"/>
      <c r="AG803" s="2" t="str">
        <f>"0143116630"</f>
        <v>0143116630</v>
      </c>
      <c r="AH803" s="2" t="str">
        <f>"9780143116639"</f>
        <v>9780143116639</v>
      </c>
      <c r="AI803" s="1">
        <v>0.0</v>
      </c>
      <c r="AJ803" s="1">
        <v>3.64</v>
      </c>
      <c r="AK803" s="1" t="s">
        <v>460</v>
      </c>
      <c r="AL803" s="1" t="s">
        <v>28</v>
      </c>
      <c r="AM803" s="1">
        <v>400.0</v>
      </c>
      <c r="AN803" s="1">
        <v>2009.0</v>
      </c>
      <c r="AO803" s="1">
        <v>2008.0</v>
      </c>
      <c r="AQ803" s="3">
        <v>45129.0</v>
      </c>
      <c r="AR803" s="1" t="s">
        <v>1988</v>
      </c>
      <c r="AS803" s="1" t="s">
        <v>3766</v>
      </c>
      <c r="AT803" s="1" t="s">
        <v>31</v>
      </c>
      <c r="AX803" s="1">
        <v>0.0</v>
      </c>
      <c r="AY803" s="1">
        <v>1.0</v>
      </c>
    </row>
    <row r="804" spans="20:51" ht="15.75" hidden="1">
      <c r="T804" s="1">
        <v>1.27908043E8</v>
      </c>
      <c r="U804" s="1"/>
      <c r="V804" s="1"/>
      <c r="W804" s="1"/>
      <c r="X804" s="1"/>
      <c r="Y804" s="1" t="s">
        <v>3767</v>
      </c>
      <c r="Z804" s="1" t="s">
        <v>3768</v>
      </c>
      <c r="AA804" s="1" t="s">
        <v>3769</v>
      </c>
      <c r="AB804" s="1"/>
      <c r="AC804" s="1"/>
      <c r="AD804" s="1"/>
      <c r="AE804" s="1"/>
      <c r="AG804" s="2" t="str">
        <f t="shared" si="51" ref="AG804:AH804">""</f>
        <v/>
      </c>
      <c r="AH804" s="2" t="str">
        <f t="shared" si="51"/>
        <v/>
      </c>
      <c r="AI804" s="1">
        <v>0.0</v>
      </c>
      <c r="AJ804" s="1">
        <v>3.62</v>
      </c>
      <c r="AK804" s="1" t="s">
        <v>3770</v>
      </c>
      <c r="AL804" s="1" t="s">
        <v>28</v>
      </c>
      <c r="AN804" s="1">
        <v>1975.0</v>
      </c>
      <c r="AO804" s="1">
        <v>1975.0</v>
      </c>
      <c r="AQ804" s="3">
        <v>45136.0</v>
      </c>
      <c r="AR804" s="1" t="s">
        <v>3137</v>
      </c>
      <c r="AS804" s="1" t="s">
        <v>3771</v>
      </c>
      <c r="AT804" s="1" t="s">
        <v>31</v>
      </c>
      <c r="AX804" s="1">
        <v>0.0</v>
      </c>
      <c r="AY804" s="1">
        <v>1.0</v>
      </c>
    </row>
    <row r="805" spans="20:51" ht="15.75" hidden="1">
      <c r="T805" s="1">
        <v>2294076.0</v>
      </c>
      <c r="U805" s="1"/>
      <c r="V805" s="1"/>
      <c r="W805" s="1"/>
      <c r="X805" s="1"/>
      <c r="Y805" s="1" t="s">
        <v>3772</v>
      </c>
      <c r="Z805" s="1" t="s">
        <v>3773</v>
      </c>
      <c r="AA805" s="1" t="s">
        <v>3774</v>
      </c>
      <c r="AB805" s="1"/>
      <c r="AC805" s="1"/>
      <c r="AD805" s="1"/>
      <c r="AE805" s="1"/>
      <c r="AG805" s="2" t="str">
        <f>"0972984208"</f>
        <v>0972984208</v>
      </c>
      <c r="AH805" s="2" t="str">
        <f>"9780972984201"</f>
        <v>9780972984201</v>
      </c>
      <c r="AI805" s="1">
        <v>0.0</v>
      </c>
      <c r="AJ805" s="1">
        <v>3.0</v>
      </c>
      <c r="AK805" s="1" t="s">
        <v>3775</v>
      </c>
      <c r="AL805" s="1" t="s">
        <v>41</v>
      </c>
      <c r="AM805" s="1">
        <v>96.0</v>
      </c>
      <c r="AN805" s="1">
        <v>2004.0</v>
      </c>
      <c r="AO805" s="1">
        <v>2004.0</v>
      </c>
      <c r="AQ805" s="3">
        <v>45137.0</v>
      </c>
      <c r="AR805" s="1" t="s">
        <v>3137</v>
      </c>
      <c r="AS805" s="1" t="s">
        <v>3776</v>
      </c>
      <c r="AT805" s="1" t="s">
        <v>31</v>
      </c>
      <c r="AX805" s="1">
        <v>0.0</v>
      </c>
      <c r="AY805" s="1">
        <v>1.0</v>
      </c>
    </row>
    <row r="806" spans="20:51" ht="15.75" hidden="1">
      <c r="T806" s="1">
        <v>7419781.0</v>
      </c>
      <c r="U806" s="1"/>
      <c r="V806" s="1"/>
      <c r="W806" s="1"/>
      <c r="X806" s="1"/>
      <c r="Y806" s="1" t="s">
        <v>3777</v>
      </c>
      <c r="Z806" s="1" t="s">
        <v>3778</v>
      </c>
      <c r="AA806" s="1" t="s">
        <v>3779</v>
      </c>
      <c r="AB806" s="1"/>
      <c r="AC806" s="1"/>
      <c r="AD806" s="1"/>
      <c r="AE806" s="1"/>
      <c r="AG806" s="2" t="str">
        <f>"0007850492"</f>
        <v>0007850492</v>
      </c>
      <c r="AH806" s="2" t="str">
        <f>"9780007850495"</f>
        <v>9780007850495</v>
      </c>
      <c r="AI806" s="1">
        <v>0.0</v>
      </c>
      <c r="AJ806" s="1">
        <v>4.16</v>
      </c>
      <c r="AK806" s="1" t="s">
        <v>3780</v>
      </c>
      <c r="AL806" s="1" t="s">
        <v>28</v>
      </c>
      <c r="AM806" s="1">
        <v>579.0</v>
      </c>
      <c r="AN806" s="1">
        <v>2008.0</v>
      </c>
      <c r="AO806" s="1">
        <v>2008.0</v>
      </c>
      <c r="AQ806" s="3">
        <v>45132.0</v>
      </c>
      <c r="AR806" s="1" t="s">
        <v>3137</v>
      </c>
      <c r="AS806" s="1" t="s">
        <v>3781</v>
      </c>
      <c r="AT806" s="1" t="s">
        <v>31</v>
      </c>
      <c r="AX806" s="1">
        <v>0.0</v>
      </c>
      <c r="AY806" s="1">
        <v>1.0</v>
      </c>
    </row>
    <row r="807" spans="20:51" ht="15.75" hidden="1">
      <c r="T807" s="1">
        <v>1344850.0</v>
      </c>
      <c r="U807" s="1"/>
      <c r="V807" s="1"/>
      <c r="W807" s="1"/>
      <c r="X807" s="1"/>
      <c r="Y807" s="1" t="s">
        <v>3782</v>
      </c>
      <c r="Z807" s="1" t="s">
        <v>3783</v>
      </c>
      <c r="AA807" s="1" t="s">
        <v>3784</v>
      </c>
      <c r="AB807" s="1"/>
      <c r="AC807" s="1"/>
      <c r="AD807" s="1"/>
      <c r="AE807" s="1"/>
      <c r="AF807" s="1" t="s">
        <v>3785</v>
      </c>
      <c r="AG807" s="2" t="str">
        <f>"847640171X"</f>
        <v>847640171X</v>
      </c>
      <c r="AH807" s="2" t="str">
        <f>"9788476401712"</f>
        <v>9788476401712</v>
      </c>
      <c r="AI807" s="1">
        <v>0.0</v>
      </c>
      <c r="AJ807" s="1">
        <v>3.44</v>
      </c>
      <c r="AK807" s="1" t="s">
        <v>3786</v>
      </c>
      <c r="AL807" s="1" t="s">
        <v>28</v>
      </c>
      <c r="AM807" s="1">
        <v>136.0</v>
      </c>
      <c r="AN807" s="1">
        <v>2006.0</v>
      </c>
      <c r="AO807" s="1">
        <v>1973.0</v>
      </c>
      <c r="AQ807" s="3">
        <v>45137.0</v>
      </c>
      <c r="AR807" s="1" t="s">
        <v>3189</v>
      </c>
      <c r="AS807" s="1" t="s">
        <v>3787</v>
      </c>
      <c r="AT807" s="1" t="s">
        <v>31</v>
      </c>
      <c r="AX807" s="1">
        <v>0.0</v>
      </c>
      <c r="AY807" s="1">
        <v>1.0</v>
      </c>
    </row>
    <row r="808" spans="20:51" ht="15.75" hidden="1">
      <c r="T808" s="1">
        <v>393134.0</v>
      </c>
      <c r="U808" s="1"/>
      <c r="V808" s="1"/>
      <c r="W808" s="1"/>
      <c r="X808" s="1"/>
      <c r="Y808" s="1" t="s">
        <v>3788</v>
      </c>
      <c r="Z808" s="1" t="s">
        <v>3789</v>
      </c>
      <c r="AA808" s="1" t="s">
        <v>3790</v>
      </c>
      <c r="AB808" s="1"/>
      <c r="AC808" s="1"/>
      <c r="AD808" s="1"/>
      <c r="AE808" s="1"/>
      <c r="AF808" s="1" t="s">
        <v>3791</v>
      </c>
      <c r="AG808" s="2" t="str">
        <f>"0140449159"</f>
        <v>0140449159</v>
      </c>
      <c r="AH808" s="2" t="str">
        <f>"9780140449150"</f>
        <v>9780140449150</v>
      </c>
      <c r="AI808" s="1">
        <v>0.0</v>
      </c>
      <c r="AJ808" s="1">
        <v>3.84</v>
      </c>
      <c r="AK808" s="1" t="s">
        <v>232</v>
      </c>
      <c r="AL808" s="1" t="s">
        <v>28</v>
      </c>
      <c r="AM808" s="1">
        <v>106.0</v>
      </c>
      <c r="AN808" s="1">
        <v>2003.0</v>
      </c>
      <c r="AO808" s="1">
        <v>1513.0</v>
      </c>
      <c r="AQ808" s="3">
        <v>45129.0</v>
      </c>
      <c r="AR808" s="1" t="s">
        <v>3332</v>
      </c>
      <c r="AS808" s="1" t="s">
        <v>3792</v>
      </c>
      <c r="AT808" s="1" t="s">
        <v>31</v>
      </c>
      <c r="AX808" s="1">
        <v>0.0</v>
      </c>
      <c r="AY808" s="1">
        <v>1.0</v>
      </c>
    </row>
    <row r="809" spans="20:51" ht="15.75" hidden="1">
      <c r="T809" s="1">
        <v>916592.0</v>
      </c>
      <c r="U809" s="1"/>
      <c r="V809" s="1"/>
      <c r="W809" s="1"/>
      <c r="X809" s="1"/>
      <c r="Y809" s="1" t="s">
        <v>3793</v>
      </c>
      <c r="Z809" s="1" t="s">
        <v>3794</v>
      </c>
      <c r="AA809" s="1" t="s">
        <v>3795</v>
      </c>
      <c r="AB809" s="1"/>
      <c r="AC809" s="1"/>
      <c r="AD809" s="1"/>
      <c r="AE809" s="1"/>
      <c r="AG809" s="2" t="str">
        <f>"1555973566"</f>
        <v>1555973566</v>
      </c>
      <c r="AH809" s="2" t="str">
        <f>"9781555973568"</f>
        <v>9781555973568</v>
      </c>
      <c r="AI809" s="1">
        <v>0.0</v>
      </c>
      <c r="AJ809" s="1">
        <v>3.71</v>
      </c>
      <c r="AK809" s="1" t="s">
        <v>971</v>
      </c>
      <c r="AL809" s="1" t="s">
        <v>28</v>
      </c>
      <c r="AN809" s="1">
        <v>2001.0</v>
      </c>
      <c r="AO809" s="1">
        <v>2001.0</v>
      </c>
      <c r="AQ809" s="3">
        <v>45116.0</v>
      </c>
      <c r="AR809" s="1" t="s">
        <v>3231</v>
      </c>
      <c r="AS809" s="1" t="s">
        <v>3796</v>
      </c>
      <c r="AT809" s="1" t="s">
        <v>31</v>
      </c>
      <c r="AX809" s="1">
        <v>0.0</v>
      </c>
      <c r="AY809" s="1">
        <v>1.0</v>
      </c>
    </row>
    <row r="810" spans="20:51" ht="15.75" hidden="1">
      <c r="T810" s="1">
        <v>5.9529861E7</v>
      </c>
      <c r="U810" s="1"/>
      <c r="V810" s="1"/>
      <c r="W810" s="1"/>
      <c r="X810" s="1"/>
      <c r="Y810" s="1" t="s">
        <v>3797</v>
      </c>
      <c r="Z810" s="1" t="s">
        <v>3798</v>
      </c>
      <c r="AA810" s="1" t="s">
        <v>3799</v>
      </c>
      <c r="AB810" s="1"/>
      <c r="AC810" s="1"/>
      <c r="AD810" s="1"/>
      <c r="AE810" s="1"/>
      <c r="AG810" s="2" t="str">
        <f t="shared" si="52" ref="AG810:AH810">""</f>
        <v/>
      </c>
      <c r="AH810" s="2" t="str">
        <f t="shared" si="52"/>
        <v/>
      </c>
      <c r="AI810" s="1">
        <v>0.0</v>
      </c>
      <c r="AJ810" s="1">
        <v>4.25</v>
      </c>
      <c r="AK810" s="1" t="s">
        <v>3800</v>
      </c>
      <c r="AL810" s="1" t="s">
        <v>28</v>
      </c>
      <c r="AM810" s="1">
        <v>488.0</v>
      </c>
      <c r="AN810" s="1">
        <v>1982.0</v>
      </c>
      <c r="AO810" s="1">
        <v>1820.0</v>
      </c>
      <c r="AQ810" s="3">
        <v>45129.0</v>
      </c>
      <c r="AR810" s="1" t="s">
        <v>3159</v>
      </c>
      <c r="AS810" s="1" t="s">
        <v>3801</v>
      </c>
      <c r="AT810" s="1" t="s">
        <v>31</v>
      </c>
      <c r="AX810" s="1">
        <v>0.0</v>
      </c>
      <c r="AY810" s="1">
        <v>1.0</v>
      </c>
    </row>
    <row r="811" spans="20:51" ht="15.75" hidden="1">
      <c r="T811" s="1">
        <v>51985.0</v>
      </c>
      <c r="U811" s="1"/>
      <c r="V811" s="1"/>
      <c r="W811" s="1"/>
      <c r="X811" s="1"/>
      <c r="Y811" s="1" t="s">
        <v>3802</v>
      </c>
      <c r="Z811" s="1" t="s">
        <v>3803</v>
      </c>
      <c r="AA811" s="1" t="s">
        <v>3804</v>
      </c>
      <c r="AB811" s="1"/>
      <c r="AC811" s="1"/>
      <c r="AD811" s="1"/>
      <c r="AE811" s="1"/>
      <c r="AF811" s="1" t="s">
        <v>3805</v>
      </c>
      <c r="AG811" s="2" t="str">
        <f>"0300115466"</f>
        <v>0300115466</v>
      </c>
      <c r="AH811" s="2" t="str">
        <f>"9780300115468"</f>
        <v>9780300115468</v>
      </c>
      <c r="AI811" s="1">
        <v>0.0</v>
      </c>
      <c r="AJ811" s="1">
        <v>3.98</v>
      </c>
      <c r="AK811" s="1" t="s">
        <v>545</v>
      </c>
      <c r="AL811" s="1" t="s">
        <v>28</v>
      </c>
      <c r="AM811" s="1">
        <v>122.0</v>
      </c>
      <c r="AN811" s="1">
        <v>2007.0</v>
      </c>
      <c r="AO811" s="1">
        <v>1945.0</v>
      </c>
      <c r="AQ811" s="3">
        <v>45129.0</v>
      </c>
      <c r="AR811" s="1" t="s">
        <v>3332</v>
      </c>
      <c r="AS811" s="1" t="s">
        <v>3806</v>
      </c>
      <c r="AT811" s="1" t="s">
        <v>31</v>
      </c>
      <c r="AX811" s="1">
        <v>0.0</v>
      </c>
      <c r="AY811" s="1">
        <v>1.0</v>
      </c>
    </row>
    <row r="812" spans="20:51" ht="15.75" hidden="1">
      <c r="T812" s="1">
        <v>8802507.0</v>
      </c>
      <c r="U812" s="1"/>
      <c r="V812" s="1"/>
      <c r="W812" s="1"/>
      <c r="X812" s="1"/>
      <c r="Y812" s="1" t="s">
        <v>3807</v>
      </c>
      <c r="Z812" s="1" t="s">
        <v>87</v>
      </c>
      <c r="AA812" s="1" t="s">
        <v>88</v>
      </c>
      <c r="AB812" s="1"/>
      <c r="AC812" s="1"/>
      <c r="AD812" s="1"/>
      <c r="AE812" s="1"/>
      <c r="AF812" s="1" t="s">
        <v>3808</v>
      </c>
      <c r="AG812" s="2" t="str">
        <f>"0393339297"</f>
        <v>0393339297</v>
      </c>
      <c r="AH812" s="2" t="str">
        <f>"9780393339291"</f>
        <v>9780393339291</v>
      </c>
      <c r="AI812" s="1">
        <v>0.0</v>
      </c>
      <c r="AJ812" s="1">
        <v>4.42</v>
      </c>
      <c r="AK812" s="1" t="s">
        <v>113</v>
      </c>
      <c r="AL812" s="1" t="s">
        <v>28</v>
      </c>
      <c r="AM812" s="1">
        <v>1199.0</v>
      </c>
      <c r="AN812" s="1">
        <v>2010.0</v>
      </c>
      <c r="AO812" s="1">
        <v>2001.0</v>
      </c>
      <c r="AQ812" s="3">
        <v>45116.0</v>
      </c>
      <c r="AR812" s="1" t="s">
        <v>3231</v>
      </c>
      <c r="AS812" s="1" t="s">
        <v>3809</v>
      </c>
      <c r="AT812" s="1" t="s">
        <v>31</v>
      </c>
      <c r="AX812" s="1">
        <v>0.0</v>
      </c>
      <c r="AY812" s="1">
        <v>1.0</v>
      </c>
    </row>
    <row r="813" spans="20:51" ht="15.75" hidden="1">
      <c r="T813" s="1">
        <v>1.3636758E7</v>
      </c>
      <c r="U813" s="1"/>
      <c r="V813" s="1"/>
      <c r="W813" s="1"/>
      <c r="X813" s="1"/>
      <c r="Y813" s="1" t="s">
        <v>3810</v>
      </c>
      <c r="Z813" s="1" t="s">
        <v>3811</v>
      </c>
      <c r="AA813" s="1" t="s">
        <v>3812</v>
      </c>
      <c r="AB813" s="1"/>
      <c r="AC813" s="1"/>
      <c r="AD813" s="1"/>
      <c r="AE813" s="1"/>
      <c r="AG813" s="2" t="str">
        <f>""</f>
        <v/>
      </c>
      <c r="AH813" s="2" t="str">
        <f>"9788432248429"</f>
        <v>9788432248429</v>
      </c>
      <c r="AI813" s="1">
        <v>0.0</v>
      </c>
      <c r="AJ813" s="1">
        <v>4.23</v>
      </c>
      <c r="AK813" s="1" t="s">
        <v>3725</v>
      </c>
      <c r="AL813" s="1" t="s">
        <v>28</v>
      </c>
      <c r="AM813" s="1">
        <v>240.0</v>
      </c>
      <c r="AN813" s="1">
        <v>1999.0</v>
      </c>
      <c r="AO813" s="1">
        <v>1924.0</v>
      </c>
      <c r="AQ813" s="3">
        <v>45114.0</v>
      </c>
      <c r="AR813" s="1" t="s">
        <v>3159</v>
      </c>
      <c r="AS813" s="1" t="s">
        <v>3813</v>
      </c>
      <c r="AT813" s="1" t="s">
        <v>31</v>
      </c>
      <c r="AX813" s="1">
        <v>0.0</v>
      </c>
      <c r="AY813" s="1">
        <v>1.0</v>
      </c>
    </row>
    <row r="814" spans="20:51" ht="15.75" hidden="1">
      <c r="T814" s="1">
        <v>5.5608917E7</v>
      </c>
      <c r="U814" s="1"/>
      <c r="V814" s="1"/>
      <c r="W814" s="1"/>
      <c r="X814" s="1"/>
      <c r="Y814" s="1" t="s">
        <v>3814</v>
      </c>
      <c r="Z814" s="1" t="s">
        <v>511</v>
      </c>
      <c r="AA814" s="1" t="s">
        <v>3815</v>
      </c>
      <c r="AB814" s="1"/>
      <c r="AC814" s="1"/>
      <c r="AD814" s="1"/>
      <c r="AE814" s="1"/>
      <c r="AF814" s="1" t="s">
        <v>3816</v>
      </c>
      <c r="AG814" s="2" t="str">
        <f>"0140440585"</f>
        <v>0140440585</v>
      </c>
      <c r="AH814" s="2" t="str">
        <f>"9780140440584"</f>
        <v>9780140440584</v>
      </c>
      <c r="AI814" s="1">
        <v>0.0</v>
      </c>
      <c r="AJ814" s="1">
        <v>4.08</v>
      </c>
      <c r="AK814" s="1" t="s">
        <v>151</v>
      </c>
      <c r="AL814" s="1" t="s">
        <v>28</v>
      </c>
      <c r="AM814" s="1">
        <v>368.0</v>
      </c>
      <c r="AN814" s="1">
        <v>2020.0</v>
      </c>
      <c r="AO814" s="1">
        <v>8.0</v>
      </c>
      <c r="AQ814" s="3">
        <v>45114.0</v>
      </c>
      <c r="AR814" s="1" t="s">
        <v>3474</v>
      </c>
      <c r="AS814" s="1" t="s">
        <v>3817</v>
      </c>
      <c r="AT814" s="1" t="s">
        <v>31</v>
      </c>
      <c r="AX814" s="1">
        <v>0.0</v>
      </c>
      <c r="AY814" s="1">
        <v>1.0</v>
      </c>
    </row>
    <row r="815" spans="20:51" ht="15.75">
      <c r="T815" s="1">
        <v>849345.0</v>
      </c>
      <c r="U815" s="1"/>
      <c r="V815" s="1"/>
      <c r="W815" s="1"/>
      <c r="X815" s="1"/>
      <c r="Y815" s="1" t="s">
        <v>3818</v>
      </c>
      <c r="Z815" s="1" t="s">
        <v>675</v>
      </c>
      <c r="AA815" s="1" t="s">
        <v>676</v>
      </c>
      <c r="AB815" s="1"/>
      <c r="AC815" s="1"/>
      <c r="AD815" s="1"/>
      <c r="AE815" s="1"/>
      <c r="AG815" s="2" t="str">
        <f>"9500705516"</f>
        <v>9500705516</v>
      </c>
      <c r="AH815" s="2" t="str">
        <f>"9789500705516"</f>
        <v>9789500705516</v>
      </c>
      <c r="AI815" s="1">
        <v>0.0</v>
      </c>
      <c r="AJ815" s="1">
        <v>3.69</v>
      </c>
      <c r="AK815" s="1" t="s">
        <v>1141</v>
      </c>
      <c r="AL815" s="1" t="s">
        <v>28</v>
      </c>
      <c r="AM815" s="1">
        <v>288.0</v>
      </c>
      <c r="AN815" s="1">
        <v>1989.0</v>
      </c>
      <c r="AO815" s="1">
        <v>1989.0</v>
      </c>
      <c r="AQ815" s="3">
        <v>45116.0</v>
      </c>
      <c r="AR815" s="1" t="s">
        <v>2433</v>
      </c>
      <c r="AS815" s="1" t="s">
        <v>3819</v>
      </c>
      <c r="AT815" s="1" t="s">
        <v>31</v>
      </c>
      <c r="AX815" s="1">
        <v>0.0</v>
      </c>
      <c r="AY815" s="1">
        <v>1.0</v>
      </c>
    </row>
    <row r="816" spans="20:51" ht="15.75" hidden="1">
      <c r="T816" s="1">
        <v>91540.0</v>
      </c>
      <c r="U816" s="1"/>
      <c r="V816" s="1"/>
      <c r="W816" s="1"/>
      <c r="X816" s="1"/>
      <c r="Y816" s="1" t="s">
        <v>3820</v>
      </c>
      <c r="Z816" s="1" t="s">
        <v>3821</v>
      </c>
      <c r="AA816" s="1" t="s">
        <v>3822</v>
      </c>
      <c r="AB816" s="1"/>
      <c r="AC816" s="1"/>
      <c r="AD816" s="1"/>
      <c r="AE816" s="1"/>
      <c r="AG816" s="2" t="str">
        <f>"0804836620"</f>
        <v>0804836620</v>
      </c>
      <c r="AH816" s="2" t="str">
        <f>"9780804836623"</f>
        <v>9780804836623</v>
      </c>
      <c r="AI816" s="1">
        <v>0.0</v>
      </c>
      <c r="AJ816" s="1">
        <v>3.86</v>
      </c>
      <c r="AK816" s="1" t="s">
        <v>3823</v>
      </c>
      <c r="AL816" s="1" t="s">
        <v>28</v>
      </c>
      <c r="AM816" s="1">
        <v>256.0</v>
      </c>
      <c r="AN816" s="1">
        <v>2005.0</v>
      </c>
      <c r="AO816" s="1">
        <v>1904.0</v>
      </c>
      <c r="AQ816" s="3">
        <v>45114.0</v>
      </c>
      <c r="AR816" s="1" t="s">
        <v>3231</v>
      </c>
      <c r="AS816" s="1" t="s">
        <v>3824</v>
      </c>
      <c r="AT816" s="1" t="s">
        <v>31</v>
      </c>
      <c r="AX816" s="1">
        <v>0.0</v>
      </c>
      <c r="AY816" s="1">
        <v>1.0</v>
      </c>
    </row>
    <row r="817" spans="20:51" ht="15.75" hidden="1">
      <c r="T817" s="1">
        <v>8288287.0</v>
      </c>
      <c r="U817" s="1"/>
      <c r="V817" s="1"/>
      <c r="W817" s="1"/>
      <c r="X817" s="1"/>
      <c r="Y817" s="1" t="s">
        <v>3825</v>
      </c>
      <c r="Z817" s="1" t="s">
        <v>3407</v>
      </c>
      <c r="AA817" s="1" t="s">
        <v>3408</v>
      </c>
      <c r="AB817" s="1"/>
      <c r="AC817" s="1"/>
      <c r="AD817" s="1"/>
      <c r="AE817" s="1"/>
      <c r="AG817" s="2" t="str">
        <f t="shared" si="53" ref="AG817:AH817">""</f>
        <v/>
      </c>
      <c r="AH817" s="2" t="str">
        <f t="shared" si="53"/>
        <v/>
      </c>
      <c r="AI817" s="1">
        <v>0.0</v>
      </c>
      <c r="AJ817" s="1">
        <v>4.31</v>
      </c>
      <c r="AL817" s="1" t="s">
        <v>59</v>
      </c>
      <c r="AM817" s="1">
        <v>324.0</v>
      </c>
      <c r="AO817" s="1">
        <v>2007.0</v>
      </c>
      <c r="AQ817" s="3">
        <v>45113.0</v>
      </c>
      <c r="AR817" s="1" t="s">
        <v>3332</v>
      </c>
      <c r="AS817" s="1" t="s">
        <v>3826</v>
      </c>
      <c r="AT817" s="1" t="s">
        <v>31</v>
      </c>
      <c r="AX817" s="1">
        <v>0.0</v>
      </c>
      <c r="AY817" s="1">
        <v>1.0</v>
      </c>
    </row>
    <row r="818" spans="20:51" ht="15.75" hidden="1">
      <c r="T818" s="1">
        <v>1.32827017E8</v>
      </c>
      <c r="U818" s="1"/>
      <c r="V818" s="1"/>
      <c r="W818" s="1"/>
      <c r="X818" s="1"/>
      <c r="Y818" s="1" t="s">
        <v>3827</v>
      </c>
      <c r="Z818" s="1" t="s">
        <v>3828</v>
      </c>
      <c r="AA818" s="1" t="s">
        <v>3829</v>
      </c>
      <c r="AB818" s="1"/>
      <c r="AC818" s="1"/>
      <c r="AD818" s="1"/>
      <c r="AE818" s="1"/>
      <c r="AG818" s="2" t="str">
        <f t="shared" si="54" ref="AG818:AH818">""</f>
        <v/>
      </c>
      <c r="AH818" s="2" t="str">
        <f t="shared" si="54"/>
        <v/>
      </c>
      <c r="AI818" s="1">
        <v>0.0</v>
      </c>
      <c r="AJ818" s="1">
        <v>3.43</v>
      </c>
      <c r="AK818" s="1" t="s">
        <v>3830</v>
      </c>
      <c r="AL818" s="1" t="s">
        <v>28</v>
      </c>
      <c r="AN818" s="1">
        <v>1967.0</v>
      </c>
      <c r="AO818" s="1">
        <v>1960.0</v>
      </c>
      <c r="AQ818" s="3">
        <v>45113.0</v>
      </c>
      <c r="AR818" s="1" t="s">
        <v>3137</v>
      </c>
      <c r="AS818" s="1" t="s">
        <v>3831</v>
      </c>
      <c r="AT818" s="1" t="s">
        <v>31</v>
      </c>
      <c r="AX818" s="1">
        <v>0.0</v>
      </c>
      <c r="AY818" s="1">
        <v>1.0</v>
      </c>
    </row>
    <row r="819" spans="20:51" ht="15.75" hidden="1">
      <c r="T819" s="1">
        <v>1.7133815E7</v>
      </c>
      <c r="U819" s="1"/>
      <c r="V819" s="1"/>
      <c r="W819" s="1"/>
      <c r="X819" s="1"/>
      <c r="Y819" s="1" t="s">
        <v>3832</v>
      </c>
      <c r="Z819" s="1" t="s">
        <v>3833</v>
      </c>
      <c r="AA819" s="1" t="s">
        <v>3834</v>
      </c>
      <c r="AB819" s="1"/>
      <c r="AC819" s="1"/>
      <c r="AD819" s="1"/>
      <c r="AE819" s="1"/>
      <c r="AG819" s="2" t="str">
        <f>"0745649661"</f>
        <v>0745649661</v>
      </c>
      <c r="AH819" s="2" t="str">
        <f>"9780745649665"</f>
        <v>9780745649665</v>
      </c>
      <c r="AI819" s="1">
        <v>0.0</v>
      </c>
      <c r="AJ819" s="1">
        <v>3.91</v>
      </c>
      <c r="AK819" s="1" t="s">
        <v>2694</v>
      </c>
      <c r="AL819" s="1" t="s">
        <v>28</v>
      </c>
      <c r="AM819" s="1">
        <v>240.0</v>
      </c>
      <c r="AN819" s="1">
        <v>2013.0</v>
      </c>
      <c r="AO819" s="1">
        <v>2003.0</v>
      </c>
      <c r="AQ819" s="3">
        <v>45113.0</v>
      </c>
      <c r="AR819" s="1" t="s">
        <v>3332</v>
      </c>
      <c r="AS819" s="1" t="s">
        <v>3835</v>
      </c>
      <c r="AT819" s="1" t="s">
        <v>31</v>
      </c>
      <c r="AX819" s="1">
        <v>0.0</v>
      </c>
      <c r="AY819" s="1">
        <v>1.0</v>
      </c>
    </row>
    <row r="820" spans="20:51" ht="15.75" hidden="1">
      <c r="T820" s="1">
        <v>1.6234597E7</v>
      </c>
      <c r="U820" s="1"/>
      <c r="V820" s="1"/>
      <c r="W820" s="1"/>
      <c r="X820" s="1"/>
      <c r="Y820" s="1" t="s">
        <v>3836</v>
      </c>
      <c r="Z820" s="1" t="s">
        <v>3837</v>
      </c>
      <c r="AA820" s="1" t="s">
        <v>3838</v>
      </c>
      <c r="AB820" s="1"/>
      <c r="AC820" s="1"/>
      <c r="AD820" s="1"/>
      <c r="AE820" s="1"/>
      <c r="AF820" s="1" t="s">
        <v>3839</v>
      </c>
      <c r="AG820" s="2" t="str">
        <f>"087140673X"</f>
        <v>087140673X</v>
      </c>
      <c r="AH820" s="2" t="str">
        <f>"9780871406736"</f>
        <v>9780871406736</v>
      </c>
      <c r="AI820" s="1">
        <v>0.0</v>
      </c>
      <c r="AJ820" s="1">
        <v>4.02</v>
      </c>
      <c r="AK820" s="1" t="s">
        <v>958</v>
      </c>
      <c r="AL820" s="1" t="s">
        <v>28</v>
      </c>
      <c r="AM820" s="1">
        <v>224.0</v>
      </c>
      <c r="AN820" s="1">
        <v>2013.0</v>
      </c>
      <c r="AQ820" s="3">
        <v>45113.0</v>
      </c>
      <c r="AR820" s="1" t="s">
        <v>3332</v>
      </c>
      <c r="AS820" s="1" t="s">
        <v>3840</v>
      </c>
      <c r="AT820" s="1" t="s">
        <v>31</v>
      </c>
      <c r="AX820" s="1">
        <v>0.0</v>
      </c>
      <c r="AY820" s="1">
        <v>1.0</v>
      </c>
    </row>
    <row r="821" spans="20:51" ht="15.75" hidden="1">
      <c r="T821" s="1">
        <v>3.0337119E7</v>
      </c>
      <c r="U821" s="1"/>
      <c r="V821" s="1"/>
      <c r="W821" s="1"/>
      <c r="X821" s="1"/>
      <c r="Y821" s="1" t="s">
        <v>3841</v>
      </c>
      <c r="Z821" s="1" t="s">
        <v>3440</v>
      </c>
      <c r="AA821" s="1" t="s">
        <v>3441</v>
      </c>
      <c r="AB821" s="1"/>
      <c r="AC821" s="1"/>
      <c r="AD821" s="1"/>
      <c r="AE821" s="1"/>
      <c r="AG821" s="2" t="str">
        <f>"8466331913"</f>
        <v>8466331913</v>
      </c>
      <c r="AH821" s="2" t="str">
        <f>"9788466331913"</f>
        <v>9788466331913</v>
      </c>
      <c r="AI821" s="1">
        <v>0.0</v>
      </c>
      <c r="AJ821" s="1">
        <v>4.6</v>
      </c>
      <c r="AK821" s="1" t="s">
        <v>3842</v>
      </c>
      <c r="AL821" s="1" t="s">
        <v>28</v>
      </c>
      <c r="AM821" s="1">
        <v>928.0</v>
      </c>
      <c r="AN821" s="1">
        <v>2016.0</v>
      </c>
      <c r="AO821" s="1">
        <v>1996.0</v>
      </c>
      <c r="AQ821" s="3">
        <v>45113.0</v>
      </c>
      <c r="AR821" s="1" t="s">
        <v>3231</v>
      </c>
      <c r="AS821" s="1" t="s">
        <v>3843</v>
      </c>
      <c r="AT821" s="1" t="s">
        <v>31</v>
      </c>
      <c r="AX821" s="1">
        <v>0.0</v>
      </c>
      <c r="AY821" s="1">
        <v>1.0</v>
      </c>
    </row>
    <row r="822" spans="20:51" ht="15.75" hidden="1">
      <c r="T822" s="1">
        <v>2454275.0</v>
      </c>
      <c r="U822" s="1"/>
      <c r="V822" s="1"/>
      <c r="W822" s="1"/>
      <c r="X822" s="1"/>
      <c r="Y822" s="1" t="s">
        <v>3844</v>
      </c>
      <c r="Z822" s="1" t="s">
        <v>3845</v>
      </c>
      <c r="AA822" s="1" t="s">
        <v>3846</v>
      </c>
      <c r="AB822" s="1"/>
      <c r="AC822" s="1"/>
      <c r="AD822" s="1"/>
      <c r="AE822" s="1"/>
      <c r="AG822" s="2" t="str">
        <f>"1565842103"</f>
        <v>1565842103</v>
      </c>
      <c r="AH822" s="2" t="str">
        <f>"9781565842106"</f>
        <v>9781565842106</v>
      </c>
      <c r="AI822" s="1">
        <v>0.0</v>
      </c>
      <c r="AJ822" s="1">
        <v>4.08</v>
      </c>
      <c r="AK822" s="1" t="s">
        <v>2872</v>
      </c>
      <c r="AL822" s="1" t="s">
        <v>41</v>
      </c>
      <c r="AM822" s="1">
        <v>384.0</v>
      </c>
      <c r="AN822" s="1">
        <v>1994.0</v>
      </c>
      <c r="AO822" s="1">
        <v>1994.0</v>
      </c>
      <c r="AQ822" s="3">
        <v>45113.0</v>
      </c>
      <c r="AR822" s="1" t="s">
        <v>3342</v>
      </c>
      <c r="AS822" s="1" t="s">
        <v>3847</v>
      </c>
      <c r="AT822" s="1" t="s">
        <v>31</v>
      </c>
      <c r="AX822" s="1">
        <v>0.0</v>
      </c>
      <c r="AY822" s="1">
        <v>1.0</v>
      </c>
    </row>
    <row r="823" spans="20:51" ht="15.75" hidden="1">
      <c r="T823" s="1">
        <v>4.1038427E7</v>
      </c>
      <c r="U823" s="1"/>
      <c r="V823" s="1"/>
      <c r="W823" s="1"/>
      <c r="X823" s="1"/>
      <c r="Y823" s="1" t="s">
        <v>3848</v>
      </c>
      <c r="Z823" s="1" t="s">
        <v>3674</v>
      </c>
      <c r="AA823" s="1" t="s">
        <v>3675</v>
      </c>
      <c r="AB823" s="1"/>
      <c r="AC823" s="1"/>
      <c r="AD823" s="1"/>
      <c r="AE823" s="1"/>
      <c r="AG823" s="2" t="str">
        <f>"0329706535"</f>
        <v>0329706535</v>
      </c>
      <c r="AH823" s="2" t="str">
        <f>"9780329706531"</f>
        <v>9780329706531</v>
      </c>
      <c r="AI823" s="1">
        <v>0.0</v>
      </c>
      <c r="AJ823" s="1">
        <v>3.9</v>
      </c>
      <c r="AL823" s="1" t="s">
        <v>41</v>
      </c>
      <c r="AN823" s="1">
        <v>2013.0</v>
      </c>
      <c r="AO823" s="1">
        <v>1623.0</v>
      </c>
      <c r="AQ823" s="3">
        <v>45113.0</v>
      </c>
      <c r="AR823" s="1" t="s">
        <v>3127</v>
      </c>
      <c r="AS823" s="1" t="s">
        <v>3849</v>
      </c>
      <c r="AT823" s="1" t="s">
        <v>31</v>
      </c>
      <c r="AX823" s="1">
        <v>0.0</v>
      </c>
      <c r="AY823" s="1">
        <v>1.0</v>
      </c>
    </row>
    <row r="824" spans="20:51" ht="15.75" hidden="1">
      <c r="T824" s="1">
        <v>6061484.0</v>
      </c>
      <c r="U824" s="1"/>
      <c r="V824" s="1"/>
      <c r="W824" s="1"/>
      <c r="X824" s="1"/>
      <c r="Y824" s="1" t="s">
        <v>3850</v>
      </c>
      <c r="Z824" s="1" t="s">
        <v>3851</v>
      </c>
      <c r="AA824" s="1" t="s">
        <v>3852</v>
      </c>
      <c r="AB824" s="1"/>
      <c r="AC824" s="1"/>
      <c r="AD824" s="1"/>
      <c r="AE824" s="1"/>
      <c r="AG824" s="2" t="str">
        <f>"0141036249"</f>
        <v>0141036249</v>
      </c>
      <c r="AH824" s="2" t="str">
        <f>"9780141036243"</f>
        <v>9780141036243</v>
      </c>
      <c r="AI824" s="1">
        <v>0.0</v>
      </c>
      <c r="AJ824" s="1">
        <v>4.19</v>
      </c>
      <c r="AK824" s="1" t="s">
        <v>460</v>
      </c>
      <c r="AL824" s="1" t="s">
        <v>28</v>
      </c>
      <c r="AM824" s="1">
        <v>365.0</v>
      </c>
      <c r="AN824" s="1">
        <v>2008.0</v>
      </c>
      <c r="AO824" s="1">
        <v>2008.0</v>
      </c>
      <c r="AQ824" s="3">
        <v>45113.0</v>
      </c>
      <c r="AR824" s="1" t="s">
        <v>1988</v>
      </c>
      <c r="AS824" s="1" t="s">
        <v>3853</v>
      </c>
      <c r="AT824" s="1" t="s">
        <v>31</v>
      </c>
      <c r="AX824" s="1">
        <v>0.0</v>
      </c>
      <c r="AY824" s="1">
        <v>1.0</v>
      </c>
    </row>
    <row r="825" spans="20:51" ht="15.75" hidden="1">
      <c r="T825" s="1">
        <v>77532.0</v>
      </c>
      <c r="U825" s="1"/>
      <c r="V825" s="1"/>
      <c r="W825" s="1"/>
      <c r="X825" s="1"/>
      <c r="Y825" s="1" t="s">
        <v>3854</v>
      </c>
      <c r="Z825" s="1" t="s">
        <v>1945</v>
      </c>
      <c r="AA825" s="1" t="s">
        <v>1946</v>
      </c>
      <c r="AB825" s="1"/>
      <c r="AC825" s="1"/>
      <c r="AD825" s="1"/>
      <c r="AE825" s="1"/>
      <c r="AG825" s="2" t="str">
        <f>"0316769509"</f>
        <v>0316769509</v>
      </c>
      <c r="AH825" s="2" t="str">
        <f>"9780316769501"</f>
        <v>9780316769501</v>
      </c>
      <c r="AI825" s="1">
        <v>0.0</v>
      </c>
      <c r="AJ825" s="1">
        <v>4.18</v>
      </c>
      <c r="AK825" s="1" t="s">
        <v>380</v>
      </c>
      <c r="AL825" s="1" t="s">
        <v>315</v>
      </c>
      <c r="AM825" s="1">
        <v>198.0</v>
      </c>
      <c r="AN825" s="1">
        <v>1991.0</v>
      </c>
      <c r="AO825" s="1">
        <v>1953.0</v>
      </c>
      <c r="AQ825" s="3">
        <v>45113.0</v>
      </c>
      <c r="AR825" s="1" t="s">
        <v>3231</v>
      </c>
      <c r="AS825" s="1" t="s">
        <v>3855</v>
      </c>
      <c r="AT825" s="1" t="s">
        <v>31</v>
      </c>
      <c r="AX825" s="1">
        <v>0.0</v>
      </c>
      <c r="AY825" s="1">
        <v>1.0</v>
      </c>
    </row>
    <row r="826" spans="20:51" ht="15.75" hidden="1">
      <c r="T826" s="1">
        <v>1.0385073E7</v>
      </c>
      <c r="U826" s="1"/>
      <c r="V826" s="1"/>
      <c r="W826" s="1"/>
      <c r="X826" s="1"/>
      <c r="Y826" s="1" t="s">
        <v>3856</v>
      </c>
      <c r="Z826" s="1" t="s">
        <v>3857</v>
      </c>
      <c r="AA826" s="1" t="s">
        <v>3858</v>
      </c>
      <c r="AB826" s="1"/>
      <c r="AC826" s="1"/>
      <c r="AD826" s="1"/>
      <c r="AE826" s="1"/>
      <c r="AG826" s="2" t="str">
        <f t="shared" si="55" ref="AG826:AH826">""</f>
        <v/>
      </c>
      <c r="AH826" s="2" t="str">
        <f t="shared" si="55"/>
        <v/>
      </c>
      <c r="AI826" s="1">
        <v>0.0</v>
      </c>
      <c r="AJ826" s="1">
        <v>4.13</v>
      </c>
      <c r="AL826" s="1" t="s">
        <v>59</v>
      </c>
      <c r="AM826" s="1">
        <v>724.0</v>
      </c>
      <c r="AO826" s="1">
        <v>1969.0</v>
      </c>
      <c r="AQ826" s="3">
        <v>45113.0</v>
      </c>
      <c r="AR826" s="1" t="s">
        <v>3164</v>
      </c>
      <c r="AS826" s="1" t="s">
        <v>3859</v>
      </c>
      <c r="AT826" s="1" t="s">
        <v>31</v>
      </c>
      <c r="AX826" s="1">
        <v>0.0</v>
      </c>
      <c r="AY826" s="1">
        <v>1.0</v>
      </c>
    </row>
    <row r="827" spans="20:51" ht="15.75" hidden="1">
      <c r="T827" s="1">
        <v>1.45625252E8</v>
      </c>
      <c r="U827" s="1"/>
      <c r="V827" s="1"/>
      <c r="W827" s="1"/>
      <c r="X827" s="1"/>
      <c r="Y827" s="1" t="s">
        <v>3860</v>
      </c>
      <c r="Z827" s="1" t="s">
        <v>3861</v>
      </c>
      <c r="AA827" s="1" t="s">
        <v>3862</v>
      </c>
      <c r="AB827" s="1"/>
      <c r="AC827" s="1"/>
      <c r="AD827" s="1"/>
      <c r="AE827" s="1"/>
      <c r="AF827" s="1" t="s">
        <v>3863</v>
      </c>
      <c r="AG827" s="2" t="str">
        <f>"1609807871"</f>
        <v>1609807871</v>
      </c>
      <c r="AH827" s="2" t="str">
        <f>"9781609807870"</f>
        <v>9781609807870</v>
      </c>
      <c r="AI827" s="1">
        <v>0.0</v>
      </c>
      <c r="AJ827" s="1">
        <v>4.17</v>
      </c>
      <c r="AK827" s="1" t="s">
        <v>1956</v>
      </c>
      <c r="AL827" s="1" t="s">
        <v>28</v>
      </c>
      <c r="AM827" s="1">
        <v>240.0</v>
      </c>
      <c r="AN827" s="1">
        <v>2023.0</v>
      </c>
      <c r="AO827" s="1">
        <v>2008.0</v>
      </c>
      <c r="AQ827" s="3">
        <v>45113.0</v>
      </c>
      <c r="AR827" s="1" t="s">
        <v>3137</v>
      </c>
      <c r="AS827" s="1" t="s">
        <v>3864</v>
      </c>
      <c r="AT827" s="1" t="s">
        <v>31</v>
      </c>
      <c r="AX827" s="1">
        <v>0.0</v>
      </c>
      <c r="AY827" s="1">
        <v>1.0</v>
      </c>
    </row>
    <row r="828" spans="20:51" ht="15.75" hidden="1">
      <c r="T828" s="1">
        <v>1762665.0</v>
      </c>
      <c r="U828" s="1"/>
      <c r="V828" s="1"/>
      <c r="W828" s="1"/>
      <c r="X828" s="1"/>
      <c r="Y828" s="1" t="s">
        <v>3865</v>
      </c>
      <c r="Z828" s="1" t="s">
        <v>771</v>
      </c>
      <c r="AA828" s="1" t="s">
        <v>772</v>
      </c>
      <c r="AB828" s="1"/>
      <c r="AC828" s="1"/>
      <c r="AD828" s="1"/>
      <c r="AE828" s="1"/>
      <c r="AG828" s="2" t="str">
        <f>"0195093712"</f>
        <v>0195093712</v>
      </c>
      <c r="AH828" s="2" t="str">
        <f>"9780195093711"</f>
        <v>9780195093711</v>
      </c>
      <c r="AI828" s="1">
        <v>0.0</v>
      </c>
      <c r="AJ828" s="1">
        <v>3.99</v>
      </c>
      <c r="AK828" s="1" t="s">
        <v>214</v>
      </c>
      <c r="AL828" s="1" t="s">
        <v>41</v>
      </c>
      <c r="AN828" s="1">
        <v>1995.0</v>
      </c>
      <c r="AO828" s="1">
        <v>1995.0</v>
      </c>
      <c r="AQ828" s="3">
        <v>45113.0</v>
      </c>
      <c r="AR828" s="1" t="s">
        <v>3332</v>
      </c>
      <c r="AS828" s="1" t="s">
        <v>3866</v>
      </c>
      <c r="AT828" s="1" t="s">
        <v>31</v>
      </c>
      <c r="AX828" s="1">
        <v>0.0</v>
      </c>
      <c r="AY828" s="1">
        <v>1.0</v>
      </c>
    </row>
    <row r="829" spans="20:51" ht="15.75" hidden="1">
      <c r="T829" s="1">
        <v>1100618.0</v>
      </c>
      <c r="U829" s="1"/>
      <c r="V829" s="1"/>
      <c r="W829" s="1"/>
      <c r="X829" s="1"/>
      <c r="Y829" s="1" t="s">
        <v>3867</v>
      </c>
      <c r="Z829" s="1" t="s">
        <v>3868</v>
      </c>
      <c r="AA829" s="1" t="s">
        <v>3869</v>
      </c>
      <c r="AB829" s="1"/>
      <c r="AC829" s="1"/>
      <c r="AD829" s="1"/>
      <c r="AE829" s="1"/>
      <c r="AF829" s="1" t="s">
        <v>3870</v>
      </c>
      <c r="AG829" s="2" t="str">
        <f>"0374503486"</f>
        <v>0374503486</v>
      </c>
      <c r="AH829" s="2" t="str">
        <f>"9780374503482"</f>
        <v>9780374503482</v>
      </c>
      <c r="AI829" s="1">
        <v>0.0</v>
      </c>
      <c r="AJ829" s="1">
        <v>4.23</v>
      </c>
      <c r="AK829" s="1" t="s">
        <v>89</v>
      </c>
      <c r="AL829" s="1" t="s">
        <v>28</v>
      </c>
      <c r="AM829" s="1">
        <v>347.0</v>
      </c>
      <c r="AN829" s="1">
        <v>1990.0</v>
      </c>
      <c r="AO829" s="1">
        <v>1951.0</v>
      </c>
      <c r="AQ829" s="3">
        <v>45113.0</v>
      </c>
      <c r="AR829" s="1" t="s">
        <v>3474</v>
      </c>
      <c r="AS829" s="1" t="s">
        <v>3871</v>
      </c>
      <c r="AT829" s="1" t="s">
        <v>31</v>
      </c>
      <c r="AX829" s="1">
        <v>0.0</v>
      </c>
      <c r="AY829" s="1">
        <v>1.0</v>
      </c>
    </row>
    <row r="830" spans="20:51" ht="15.75" hidden="1">
      <c r="T830" s="1">
        <v>2.271655E7</v>
      </c>
      <c r="U830" s="1"/>
      <c r="V830" s="1"/>
      <c r="W830" s="1"/>
      <c r="X830" s="1"/>
      <c r="Y830" s="1" t="s">
        <v>3872</v>
      </c>
      <c r="Z830" s="1" t="s">
        <v>3873</v>
      </c>
      <c r="AA830" s="1" t="s">
        <v>3874</v>
      </c>
      <c r="AB830" s="1"/>
      <c r="AC830" s="1"/>
      <c r="AD830" s="1"/>
      <c r="AE830" s="1"/>
      <c r="AF830" s="1" t="s">
        <v>3875</v>
      </c>
      <c r="AG830" s="2" t="str">
        <f>"1590178602"</f>
        <v>1590178602</v>
      </c>
      <c r="AH830" s="2" t="str">
        <f>"9781590178607"</f>
        <v>9781590178607</v>
      </c>
      <c r="AI830" s="1">
        <v>0.0</v>
      </c>
      <c r="AJ830" s="1">
        <v>3.93</v>
      </c>
      <c r="AK830" s="1" t="s">
        <v>77</v>
      </c>
      <c r="AL830" s="1" t="s">
        <v>28</v>
      </c>
      <c r="AM830" s="1">
        <v>100.0</v>
      </c>
      <c r="AN830" s="1">
        <v>2015.0</v>
      </c>
      <c r="AO830" s="1">
        <v>-480.0</v>
      </c>
      <c r="AQ830" s="3">
        <v>45111.0</v>
      </c>
      <c r="AR830" s="1" t="s">
        <v>3876</v>
      </c>
      <c r="AS830" s="1" t="s">
        <v>3877</v>
      </c>
      <c r="AT830" s="1" t="s">
        <v>31</v>
      </c>
      <c r="AX830" s="1">
        <v>0.0</v>
      </c>
      <c r="AY830" s="1">
        <v>1.0</v>
      </c>
    </row>
    <row r="831" spans="20:51" ht="15.75">
      <c r="T831" s="1">
        <v>84736.0</v>
      </c>
      <c r="U831" s="1"/>
      <c r="V831" s="1"/>
      <c r="W831" s="1"/>
      <c r="X831" s="1"/>
      <c r="Y831" s="1" t="s">
        <v>3878</v>
      </c>
      <c r="Z831" s="1" t="s">
        <v>3879</v>
      </c>
      <c r="AA831" s="1" t="s">
        <v>3880</v>
      </c>
      <c r="AB831" s="1"/>
      <c r="AC831" s="1"/>
      <c r="AD831" s="1"/>
      <c r="AE831" s="1"/>
      <c r="AG831" s="2" t="str">
        <f>"0446619035"</f>
        <v>0446619035</v>
      </c>
      <c r="AH831" s="2" t="str">
        <f>"9780446619035"</f>
        <v>9780446619035</v>
      </c>
      <c r="AI831" s="1">
        <v>0.0</v>
      </c>
      <c r="AJ831" s="1">
        <v>3.99</v>
      </c>
      <c r="AK831" s="1" t="s">
        <v>3881</v>
      </c>
      <c r="AL831" s="1" t="s">
        <v>315</v>
      </c>
      <c r="AM831" s="1">
        <v>413.0</v>
      </c>
      <c r="AN831" s="1">
        <v>2006.0</v>
      </c>
      <c r="AO831" s="1">
        <v>2005.0</v>
      </c>
      <c r="AQ831" s="3">
        <v>45113.0</v>
      </c>
      <c r="AR831" s="1" t="s">
        <v>2433</v>
      </c>
      <c r="AS831" s="1" t="s">
        <v>3882</v>
      </c>
      <c r="AT831" s="1" t="s">
        <v>31</v>
      </c>
      <c r="AX831" s="1">
        <v>0.0</v>
      </c>
      <c r="AY831" s="1">
        <v>1.0</v>
      </c>
    </row>
    <row r="832" spans="20:51" ht="15.75" hidden="1">
      <c r="T832" s="1">
        <v>2310551.0</v>
      </c>
      <c r="U832" s="1"/>
      <c r="V832" s="1"/>
      <c r="W832" s="1"/>
      <c r="X832" s="1"/>
      <c r="Y832" s="1" t="s">
        <v>3883</v>
      </c>
      <c r="Z832" s="1" t="s">
        <v>1256</v>
      </c>
      <c r="AA832" s="1" t="s">
        <v>1257</v>
      </c>
      <c r="AB832" s="1"/>
      <c r="AC832" s="1"/>
      <c r="AD832" s="1"/>
      <c r="AE832" s="1"/>
      <c r="AG832" s="2" t="str">
        <f>"8420613533"</f>
        <v>8420613533</v>
      </c>
      <c r="AH832" s="2" t="str">
        <f>"9788420613536"</f>
        <v>9788420613536</v>
      </c>
      <c r="AI832" s="1">
        <v>0.0</v>
      </c>
      <c r="AJ832" s="1">
        <v>3.93</v>
      </c>
      <c r="AK832" s="1" t="s">
        <v>3884</v>
      </c>
      <c r="AL832" s="1" t="s">
        <v>28</v>
      </c>
      <c r="AM832" s="1">
        <v>138.0</v>
      </c>
      <c r="AN832" s="1">
        <v>1983.0</v>
      </c>
      <c r="AO832" s="1">
        <v>1935.0</v>
      </c>
      <c r="AQ832" s="3">
        <v>44814.0</v>
      </c>
      <c r="AR832" s="1" t="s">
        <v>3164</v>
      </c>
      <c r="AS832" s="1" t="s">
        <v>3885</v>
      </c>
      <c r="AT832" s="1" t="s">
        <v>31</v>
      </c>
      <c r="AX832" s="1">
        <v>0.0</v>
      </c>
      <c r="AY832" s="1">
        <v>1.0</v>
      </c>
    </row>
    <row r="833" spans="20:51" ht="15.75" hidden="1">
      <c r="T833" s="1">
        <v>1153009.0</v>
      </c>
      <c r="U833" s="1"/>
      <c r="V833" s="1"/>
      <c r="W833" s="1"/>
      <c r="X833" s="1"/>
      <c r="Y833" s="1" t="s">
        <v>3886</v>
      </c>
      <c r="Z833" s="1" t="s">
        <v>3541</v>
      </c>
      <c r="AA833" s="1" t="s">
        <v>3542</v>
      </c>
      <c r="AB833" s="1"/>
      <c r="AC833" s="1"/>
      <c r="AD833" s="1"/>
      <c r="AE833" s="1"/>
      <c r="AG833" s="2" t="str">
        <f>"2940373043"</f>
        <v>2940373043</v>
      </c>
      <c r="AH833" s="2" t="str">
        <f>"9782940373048"</f>
        <v>9782940373048</v>
      </c>
      <c r="AI833" s="1">
        <v>0.0</v>
      </c>
      <c r="AJ833" s="1">
        <v>3.89</v>
      </c>
      <c r="AK833" s="1" t="s">
        <v>3887</v>
      </c>
      <c r="AL833" s="1" t="s">
        <v>28</v>
      </c>
      <c r="AM833" s="1">
        <v>176.0</v>
      </c>
      <c r="AN833" s="1">
        <v>2006.0</v>
      </c>
      <c r="AO833" s="1">
        <v>2006.0</v>
      </c>
      <c r="AQ833" s="3">
        <v>44814.0</v>
      </c>
      <c r="AR833" s="1" t="s">
        <v>3189</v>
      </c>
      <c r="AS833" s="1" t="s">
        <v>3888</v>
      </c>
      <c r="AT833" s="1" t="s">
        <v>31</v>
      </c>
      <c r="AX833" s="1">
        <v>0.0</v>
      </c>
      <c r="AY833" s="1">
        <v>1.0</v>
      </c>
    </row>
    <row r="834" spans="20:51" ht="15.75" hidden="1">
      <c r="T834" s="1">
        <v>2223330.0</v>
      </c>
      <c r="U834" s="1"/>
      <c r="V834" s="1"/>
      <c r="W834" s="1"/>
      <c r="X834" s="1"/>
      <c r="Y834" s="1" t="s">
        <v>3889</v>
      </c>
      <c r="Z834" s="1" t="s">
        <v>1256</v>
      </c>
      <c r="AA834" s="1" t="s">
        <v>1257</v>
      </c>
      <c r="AB834" s="1"/>
      <c r="AC834" s="1"/>
      <c r="AD834" s="1"/>
      <c r="AE834" s="1"/>
      <c r="AG834" s="2" t="str">
        <f>"8420633127"</f>
        <v>8420633127</v>
      </c>
      <c r="AH834" s="2" t="str">
        <f>"9788420633121"</f>
        <v>9788420633121</v>
      </c>
      <c r="AI834" s="1">
        <v>0.0</v>
      </c>
      <c r="AJ834" s="1">
        <v>4.42</v>
      </c>
      <c r="AK834" s="1" t="s">
        <v>3890</v>
      </c>
      <c r="AL834" s="1" t="s">
        <v>28</v>
      </c>
      <c r="AM834" s="1">
        <v>218.0</v>
      </c>
      <c r="AN834" s="1">
        <v>2004.0</v>
      </c>
      <c r="AO834" s="1">
        <v>1944.0</v>
      </c>
      <c r="AQ834" s="3">
        <v>44814.0</v>
      </c>
      <c r="AR834" s="1" t="s">
        <v>3164</v>
      </c>
      <c r="AS834" s="1" t="s">
        <v>3891</v>
      </c>
      <c r="AT834" s="1" t="s">
        <v>31</v>
      </c>
      <c r="AX834" s="1">
        <v>0.0</v>
      </c>
      <c r="AY834" s="1">
        <v>1.0</v>
      </c>
    </row>
    <row r="835" spans="20:51" ht="15.75" hidden="1">
      <c r="T835" s="1">
        <v>8151.0</v>
      </c>
      <c r="U835" s="1"/>
      <c r="V835" s="1"/>
      <c r="W835" s="1"/>
      <c r="X835" s="1"/>
      <c r="Y835" s="1" t="s">
        <v>3892</v>
      </c>
      <c r="Z835" s="1" t="s">
        <v>3857</v>
      </c>
      <c r="AA835" s="1" t="s">
        <v>3858</v>
      </c>
      <c r="AB835" s="1"/>
      <c r="AC835" s="1"/>
      <c r="AD835" s="1"/>
      <c r="AE835" s="1"/>
      <c r="AG835" s="2" t="str">
        <f>"0811216748"</f>
        <v>0811216748</v>
      </c>
      <c r="AH835" s="2" t="str">
        <f>"9780811216746"</f>
        <v>9780811216746</v>
      </c>
      <c r="AI835" s="1">
        <v>4.0</v>
      </c>
      <c r="AJ835" s="1">
        <v>4.0</v>
      </c>
      <c r="AK835" s="1" t="s">
        <v>95</v>
      </c>
      <c r="AL835" s="1" t="s">
        <v>28</v>
      </c>
      <c r="AM835" s="1">
        <v>292.0</v>
      </c>
      <c r="AN835" s="1">
        <v>2006.0</v>
      </c>
      <c r="AO835" s="1">
        <v>1932.0</v>
      </c>
      <c r="AP835" s="3">
        <v>45083.0</v>
      </c>
      <c r="AQ835" s="3">
        <v>45046.0</v>
      </c>
      <c r="AR835" s="1" t="s">
        <v>3164</v>
      </c>
      <c r="AS835" s="1" t="s">
        <v>3893</v>
      </c>
      <c r="AT835" s="1" t="s">
        <v>31</v>
      </c>
      <c r="AX835" s="1">
        <v>1.0</v>
      </c>
      <c r="AY835" s="1">
        <v>1.0</v>
      </c>
    </row>
    <row r="836" spans="20:51" ht="15.75">
      <c r="T836" s="1">
        <v>335009.0</v>
      </c>
      <c r="U836" s="1"/>
      <c r="V836" s="1"/>
      <c r="W836" s="1"/>
      <c r="X836" s="1"/>
      <c r="Y836" s="1" t="s">
        <v>3894</v>
      </c>
      <c r="Z836" s="1" t="s">
        <v>3049</v>
      </c>
      <c r="AA836" s="1" t="s">
        <v>3050</v>
      </c>
      <c r="AB836" s="1"/>
      <c r="AC836" s="1"/>
      <c r="AD836" s="1"/>
      <c r="AE836" s="1"/>
      <c r="AF836" s="1" t="s">
        <v>3579</v>
      </c>
      <c r="AG836" s="2" t="str">
        <f>"0151446474"</f>
        <v>0151446474</v>
      </c>
      <c r="AH836" s="2" t="str">
        <f>"9780151446476"</f>
        <v>9780151446476</v>
      </c>
      <c r="AI836" s="1">
        <v>0.0</v>
      </c>
      <c r="AJ836" s="1">
        <v>4.13</v>
      </c>
      <c r="AK836" s="1" t="s">
        <v>3895</v>
      </c>
      <c r="AL836" s="1" t="s">
        <v>41</v>
      </c>
      <c r="AM836" s="1">
        <v>512.0</v>
      </c>
      <c r="AN836" s="1">
        <v>1983.0</v>
      </c>
      <c r="AO836" s="1">
        <v>1980.0</v>
      </c>
      <c r="AQ836" s="3">
        <v>44814.0</v>
      </c>
      <c r="AR836" s="1" t="s">
        <v>2433</v>
      </c>
      <c r="AS836" s="1" t="s">
        <v>3896</v>
      </c>
      <c r="AT836" s="1" t="s">
        <v>31</v>
      </c>
      <c r="AX836" s="1">
        <v>0.0</v>
      </c>
      <c r="AY836" s="1">
        <v>1.0</v>
      </c>
    </row>
    <row r="837" spans="20:51" ht="15.75" hidden="1">
      <c r="T837" s="1">
        <v>16566.0</v>
      </c>
      <c r="U837" s="1"/>
      <c r="V837" s="1"/>
      <c r="W837" s="1"/>
      <c r="X837" s="1"/>
      <c r="Y837" s="1" t="s">
        <v>3897</v>
      </c>
      <c r="Z837" s="1" t="s">
        <v>1256</v>
      </c>
      <c r="AA837" s="1" t="s">
        <v>1257</v>
      </c>
      <c r="AB837" s="1"/>
      <c r="AC837" s="1"/>
      <c r="AD837" s="1"/>
      <c r="AE837" s="1"/>
      <c r="AF837" s="1" t="s">
        <v>3898</v>
      </c>
      <c r="AG837" s="2" t="str">
        <f>"0140290117"</f>
        <v>0140290117</v>
      </c>
      <c r="AH837" s="2" t="str">
        <f>"9780140290110"</f>
        <v>9780140290110</v>
      </c>
      <c r="AI837" s="1">
        <v>0.0</v>
      </c>
      <c r="AJ837" s="1">
        <v>4.44</v>
      </c>
      <c r="AK837" s="1" t="s">
        <v>460</v>
      </c>
      <c r="AL837" s="1" t="s">
        <v>28</v>
      </c>
      <c r="AM837" s="1">
        <v>560.0</v>
      </c>
      <c r="AN837" s="1">
        <v>2000.0</v>
      </c>
      <c r="AO837" s="1">
        <v>1999.0</v>
      </c>
      <c r="AQ837" s="3">
        <v>44814.0</v>
      </c>
      <c r="AR837" s="1" t="s">
        <v>3164</v>
      </c>
      <c r="AS837" s="1" t="s">
        <v>3899</v>
      </c>
      <c r="AT837" s="1" t="s">
        <v>31</v>
      </c>
      <c r="AX837" s="1">
        <v>0.0</v>
      </c>
      <c r="AY837" s="1">
        <v>1.0</v>
      </c>
    </row>
    <row r="838" spans="20:51" ht="15.75" hidden="1">
      <c r="T838" s="1">
        <v>2901087.0</v>
      </c>
      <c r="U838" s="1"/>
      <c r="V838" s="1"/>
      <c r="W838" s="1"/>
      <c r="X838" s="1"/>
      <c r="Y838" s="1" t="s">
        <v>3900</v>
      </c>
      <c r="Z838" s="1" t="s">
        <v>1256</v>
      </c>
      <c r="AA838" s="1" t="s">
        <v>1257</v>
      </c>
      <c r="AB838" s="1"/>
      <c r="AC838" s="1"/>
      <c r="AD838" s="1"/>
      <c r="AE838" s="1"/>
      <c r="AG838" s="2" t="str">
        <f>"9507311084"</f>
        <v>9507311084</v>
      </c>
      <c r="AH838" s="2" t="str">
        <f>"9789507311086"</f>
        <v>9789507311086</v>
      </c>
      <c r="AI838" s="1">
        <v>0.0</v>
      </c>
      <c r="AJ838" s="1">
        <v>3.61</v>
      </c>
      <c r="AK838" s="1" t="s">
        <v>3901</v>
      </c>
      <c r="AL838" s="1" t="s">
        <v>28</v>
      </c>
      <c r="AM838" s="1">
        <v>152.0</v>
      </c>
      <c r="AN838" s="1">
        <v>1994.0</v>
      </c>
      <c r="AO838" s="1">
        <v>1928.0</v>
      </c>
      <c r="AQ838" s="3">
        <v>44814.0</v>
      </c>
      <c r="AR838" s="1" t="s">
        <v>3164</v>
      </c>
      <c r="AS838" s="1" t="s">
        <v>3902</v>
      </c>
      <c r="AT838" s="1" t="s">
        <v>31</v>
      </c>
      <c r="AX838" s="1">
        <v>0.0</v>
      </c>
      <c r="AY838" s="1">
        <v>1.0</v>
      </c>
    </row>
    <row r="839" spans="20:51" ht="15.75">
      <c r="T839" s="1">
        <v>5.9651372E7</v>
      </c>
      <c r="U839" s="1"/>
      <c r="V839" s="1"/>
      <c r="W839" s="1"/>
      <c r="X839" s="1"/>
      <c r="Y839" s="1" t="s">
        <v>3903</v>
      </c>
      <c r="Z839" s="1" t="s">
        <v>3904</v>
      </c>
      <c r="AA839" s="1" t="s">
        <v>3905</v>
      </c>
      <c r="AB839" s="1"/>
      <c r="AC839" s="1"/>
      <c r="AD839" s="1"/>
      <c r="AE839" s="1"/>
      <c r="AG839" s="2" t="str">
        <f>"0679781498"</f>
        <v>0679781498</v>
      </c>
      <c r="AH839" s="2" t="str">
        <f>"9780679781493"</f>
        <v>9780679781493</v>
      </c>
      <c r="AI839" s="1">
        <v>0.0</v>
      </c>
      <c r="AJ839" s="1">
        <v>3.6</v>
      </c>
      <c r="AK839" s="1" t="s">
        <v>263</v>
      </c>
      <c r="AL839" s="1" t="s">
        <v>28</v>
      </c>
      <c r="AM839" s="1">
        <v>208.0</v>
      </c>
      <c r="AN839" s="1">
        <v>1998.0</v>
      </c>
      <c r="AO839" s="1">
        <v>1985.0</v>
      </c>
      <c r="AQ839" s="3">
        <v>44814.0</v>
      </c>
      <c r="AR839" s="1" t="s">
        <v>2433</v>
      </c>
      <c r="AS839" s="1" t="s">
        <v>3906</v>
      </c>
      <c r="AT839" s="1" t="s">
        <v>31</v>
      </c>
      <c r="AX839" s="1">
        <v>0.0</v>
      </c>
      <c r="AY839" s="1">
        <v>1.0</v>
      </c>
    </row>
    <row r="840" spans="20:51" ht="15.75">
      <c r="T840" s="1">
        <v>5.4872718E7</v>
      </c>
      <c r="U840" s="1"/>
      <c r="V840" s="1"/>
      <c r="W840" s="1"/>
      <c r="X840" s="1"/>
      <c r="Y840" s="1" t="s">
        <v>3907</v>
      </c>
      <c r="Z840" s="1" t="s">
        <v>3908</v>
      </c>
      <c r="AA840" s="1" t="s">
        <v>3909</v>
      </c>
      <c r="AB840" s="1"/>
      <c r="AC840" s="1"/>
      <c r="AD840" s="1"/>
      <c r="AE840" s="1"/>
      <c r="AG840" s="2" t="str">
        <f>"015603008X"</f>
        <v>015603008X</v>
      </c>
      <c r="AH840" s="2" t="str">
        <f>"9780156030083"</f>
        <v>9780156030083</v>
      </c>
      <c r="AI840" s="1">
        <v>5.0</v>
      </c>
      <c r="AJ840" s="1">
        <v>4.2</v>
      </c>
      <c r="AK840" s="1" t="s">
        <v>2685</v>
      </c>
      <c r="AL840" s="1" t="s">
        <v>315</v>
      </c>
      <c r="AM840" s="1">
        <v>311.0</v>
      </c>
      <c r="AN840" s="1">
        <v>2004.0</v>
      </c>
      <c r="AO840" s="1">
        <v>1966.0</v>
      </c>
      <c r="AQ840" s="3">
        <v>44814.0</v>
      </c>
      <c r="AR840" s="1" t="s">
        <v>2433</v>
      </c>
      <c r="AS840" s="1" t="s">
        <v>3910</v>
      </c>
      <c r="AT840" s="1" t="s">
        <v>31</v>
      </c>
      <c r="AX840" s="1">
        <v>1.0</v>
      </c>
      <c r="AY840" s="1">
        <v>1.0</v>
      </c>
    </row>
    <row r="841" spans="20:51" ht="15.75">
      <c r="T841" s="1">
        <v>1163218.0</v>
      </c>
      <c r="U841" s="1"/>
      <c r="V841" s="1"/>
      <c r="W841" s="1"/>
      <c r="X841" s="1"/>
      <c r="Y841" s="1" t="s">
        <v>3911</v>
      </c>
      <c r="Z841" s="1" t="s">
        <v>3912</v>
      </c>
      <c r="AA841" s="1" t="s">
        <v>3913</v>
      </c>
      <c r="AB841" s="1"/>
      <c r="AC841" s="1"/>
      <c r="AD841" s="1"/>
      <c r="AE841" s="1"/>
      <c r="AF841" s="1" t="s">
        <v>1256</v>
      </c>
      <c r="AG841" s="2" t="str">
        <f>"9500401797"</f>
        <v>9500401797</v>
      </c>
      <c r="AH841" s="2" t="str">
        <f>"9789500401791"</f>
        <v>9789500401791</v>
      </c>
      <c r="AI841" s="1">
        <v>0.0</v>
      </c>
      <c r="AJ841" s="1">
        <v>4.03</v>
      </c>
      <c r="AK841" s="1" t="s">
        <v>3914</v>
      </c>
      <c r="AL841" s="1" t="s">
        <v>28</v>
      </c>
      <c r="AM841" s="1">
        <v>155.0</v>
      </c>
      <c r="AN841" s="1">
        <v>1996.0</v>
      </c>
      <c r="AO841" s="1">
        <v>1940.0</v>
      </c>
      <c r="AQ841" s="3">
        <v>44814.0</v>
      </c>
      <c r="AR841" s="1" t="s">
        <v>2433</v>
      </c>
      <c r="AS841" s="1" t="s">
        <v>3915</v>
      </c>
      <c r="AT841" s="1" t="s">
        <v>31</v>
      </c>
      <c r="AX841" s="1">
        <v>0.0</v>
      </c>
      <c r="AY841" s="1">
        <v>1.0</v>
      </c>
    </row>
    <row r="842" spans="20:51" ht="15.75">
      <c r="T842" s="1">
        <v>1.7328366E7</v>
      </c>
      <c r="U842" s="1"/>
      <c r="V842" s="1"/>
      <c r="W842" s="1"/>
      <c r="X842" s="1"/>
      <c r="Y842" s="1" t="s">
        <v>3916</v>
      </c>
      <c r="Z842" s="1" t="s">
        <v>3917</v>
      </c>
      <c r="AA842" s="1" t="s">
        <v>3918</v>
      </c>
      <c r="AB842" s="1"/>
      <c r="AC842" s="1"/>
      <c r="AD842" s="1"/>
      <c r="AE842" s="1"/>
      <c r="AG842" s="2" t="str">
        <f>"1843440717"</f>
        <v>1843440717</v>
      </c>
      <c r="AH842" s="2" t="str">
        <f>"9781843440710"</f>
        <v>9781843440710</v>
      </c>
      <c r="AI842" s="1">
        <v>0.0</v>
      </c>
      <c r="AJ842" s="1">
        <v>4.28</v>
      </c>
      <c r="AK842" s="1" t="s">
        <v>3919</v>
      </c>
      <c r="AL842" s="1" t="s">
        <v>28</v>
      </c>
      <c r="AM842" s="1">
        <v>320.0</v>
      </c>
      <c r="AN842" s="1">
        <v>2013.0</v>
      </c>
      <c r="AO842" s="1">
        <v>1813.0</v>
      </c>
      <c r="AQ842" s="3">
        <v>44814.0</v>
      </c>
      <c r="AR842" s="1" t="s">
        <v>2433</v>
      </c>
      <c r="AS842" s="1" t="s">
        <v>3920</v>
      </c>
      <c r="AT842" s="1" t="s">
        <v>31</v>
      </c>
      <c r="AX842" s="1">
        <v>0.0</v>
      </c>
      <c r="AY842" s="1">
        <v>1.0</v>
      </c>
    </row>
    <row r="843" spans="20:51" ht="15.75">
      <c r="T843" s="1">
        <v>1178525.0</v>
      </c>
      <c r="U843" s="1"/>
      <c r="V843" s="1"/>
      <c r="W843" s="1"/>
      <c r="X843" s="1"/>
      <c r="Y843" s="1" t="s">
        <v>3921</v>
      </c>
      <c r="Z843" s="1" t="s">
        <v>3922</v>
      </c>
      <c r="AA843" s="1" t="s">
        <v>3923</v>
      </c>
      <c r="AB843" s="1"/>
      <c r="AC843" s="1"/>
      <c r="AD843" s="1"/>
      <c r="AE843" s="1"/>
      <c r="AG843" s="2" t="str">
        <f>"0140185585"</f>
        <v>0140185585</v>
      </c>
      <c r="AH843" s="2" t="str">
        <f>"9780140185584"</f>
        <v>9780140185584</v>
      </c>
      <c r="AI843" s="1">
        <v>0.0</v>
      </c>
      <c r="AJ843" s="1">
        <v>3.75</v>
      </c>
      <c r="AK843" s="1" t="s">
        <v>151</v>
      </c>
      <c r="AL843" s="1" t="s">
        <v>28</v>
      </c>
      <c r="AM843" s="1">
        <v>939.0</v>
      </c>
      <c r="AN843" s="1">
        <v>1992.0</v>
      </c>
      <c r="AO843" s="1">
        <v>1922.0</v>
      </c>
      <c r="AQ843" s="3">
        <v>44814.0</v>
      </c>
      <c r="AR843" s="1" t="s">
        <v>2433</v>
      </c>
      <c r="AS843" s="1" t="s">
        <v>3924</v>
      </c>
      <c r="AT843" s="1" t="s">
        <v>31</v>
      </c>
      <c r="AX843" s="1">
        <v>0.0</v>
      </c>
      <c r="AY843" s="1">
        <v>1.0</v>
      </c>
    </row>
    <row r="844" spans="20:51" ht="15.75" hidden="1">
      <c r="T844" s="1">
        <v>1371.0</v>
      </c>
      <c r="U844" s="1"/>
      <c r="V844" s="1"/>
      <c r="W844" s="1"/>
      <c r="X844" s="1"/>
      <c r="Y844" s="1" t="s">
        <v>3925</v>
      </c>
      <c r="Z844" s="1" t="s">
        <v>1280</v>
      </c>
      <c r="AA844" s="1" t="s">
        <v>1281</v>
      </c>
      <c r="AB844" s="1"/>
      <c r="AC844" s="1"/>
      <c r="AD844" s="1"/>
      <c r="AE844" s="1"/>
      <c r="AF844" s="1" t="s">
        <v>3926</v>
      </c>
      <c r="AG844" s="2" t="str">
        <f>"0140275363"</f>
        <v>0140275363</v>
      </c>
      <c r="AH844" s="2" t="str">
        <f>"9780140275360"</f>
        <v>9780140275360</v>
      </c>
      <c r="AI844" s="1">
        <v>0.0</v>
      </c>
      <c r="AJ844" s="1">
        <v>3.9</v>
      </c>
      <c r="AK844" s="1" t="s">
        <v>232</v>
      </c>
      <c r="AL844" s="1" t="s">
        <v>28</v>
      </c>
      <c r="AM844" s="1">
        <v>704.0</v>
      </c>
      <c r="AN844" s="1">
        <v>1999.0</v>
      </c>
      <c r="AO844" s="1">
        <v>-700.0</v>
      </c>
      <c r="AQ844" s="3">
        <v>44814.0</v>
      </c>
      <c r="AR844" s="1" t="s">
        <v>3927</v>
      </c>
      <c r="AS844" s="1" t="s">
        <v>3928</v>
      </c>
      <c r="AT844" s="1" t="s">
        <v>31</v>
      </c>
      <c r="AX844" s="1">
        <v>0.0</v>
      </c>
      <c r="AY844" s="1">
        <v>1.0</v>
      </c>
    </row>
    <row r="845" spans="20:51" ht="15.75">
      <c r="T845" s="1">
        <v>5197.0</v>
      </c>
      <c r="U845" s="1"/>
      <c r="V845" s="1"/>
      <c r="W845" s="1"/>
      <c r="X845" s="1"/>
      <c r="Y845" s="1" t="s">
        <v>3929</v>
      </c>
      <c r="Z845" s="1" t="s">
        <v>3930</v>
      </c>
      <c r="AA845" s="1" t="s">
        <v>3931</v>
      </c>
      <c r="AB845" s="1"/>
      <c r="AC845" s="1"/>
      <c r="AD845" s="1"/>
      <c r="AE845" s="1"/>
      <c r="AG845" s="2" t="str">
        <f>"0375702709"</f>
        <v>0375702709</v>
      </c>
      <c r="AH845" s="2" t="str">
        <f>"9780375702709"</f>
        <v>9780375702709</v>
      </c>
      <c r="AI845" s="1">
        <v>0.0</v>
      </c>
      <c r="AJ845" s="1">
        <v>3.98</v>
      </c>
      <c r="AK845" s="1" t="s">
        <v>83</v>
      </c>
      <c r="AL845" s="1" t="s">
        <v>28</v>
      </c>
      <c r="AM845" s="1">
        <v>256.0</v>
      </c>
      <c r="AN845" s="1">
        <v>1993.0</v>
      </c>
      <c r="AO845" s="1">
        <v>1993.0</v>
      </c>
      <c r="AQ845" s="4">
        <v>44510.0</v>
      </c>
      <c r="AR845" s="1" t="s">
        <v>2433</v>
      </c>
      <c r="AS845" s="1" t="s">
        <v>3932</v>
      </c>
      <c r="AT845" s="1" t="s">
        <v>31</v>
      </c>
      <c r="AX845" s="1">
        <v>0.0</v>
      </c>
      <c r="AY845" s="1">
        <v>1.0</v>
      </c>
    </row>
    <row r="846" spans="20:51" ht="15.75">
      <c r="T846" s="1">
        <v>1.9976421E7</v>
      </c>
      <c r="U846" s="1"/>
      <c r="V846" s="1"/>
      <c r="W846" s="1"/>
      <c r="X846" s="1"/>
      <c r="Y846" s="1" t="s">
        <v>3933</v>
      </c>
      <c r="Z846" s="1" t="s">
        <v>3440</v>
      </c>
      <c r="AA846" s="1" t="s">
        <v>3441</v>
      </c>
      <c r="AB846" s="1"/>
      <c r="AC846" s="1"/>
      <c r="AD846" s="1"/>
      <c r="AE846" s="1"/>
      <c r="AF846" s="1" t="s">
        <v>677</v>
      </c>
      <c r="AG846" s="2" t="str">
        <f t="shared" si="56" ref="AG846:AH846">""</f>
        <v/>
      </c>
      <c r="AH846" s="2" t="str">
        <f t="shared" si="56"/>
        <v/>
      </c>
      <c r="AI846" s="1">
        <v>0.0</v>
      </c>
      <c r="AJ846" s="1">
        <v>4.21</v>
      </c>
      <c r="AK846" s="1" t="s">
        <v>2550</v>
      </c>
      <c r="AL846" s="1" t="s">
        <v>28</v>
      </c>
      <c r="AM846" s="1">
        <v>576.0</v>
      </c>
      <c r="AN846" s="1">
        <v>1987.0</v>
      </c>
      <c r="AO846" s="1">
        <v>1963.0</v>
      </c>
      <c r="AQ846" s="3">
        <v>44416.0</v>
      </c>
      <c r="AR846" s="1" t="s">
        <v>2433</v>
      </c>
      <c r="AS846" s="1" t="s">
        <v>3934</v>
      </c>
      <c r="AT846" s="1" t="s">
        <v>31</v>
      </c>
      <c r="AX846" s="1">
        <v>0.0</v>
      </c>
      <c r="AY846" s="1">
        <v>1.0</v>
      </c>
    </row>
    <row r="847" spans="20:51" ht="15.75" hidden="1">
      <c r="T847" s="1">
        <v>4.3088155E7</v>
      </c>
      <c r="U847" s="1"/>
      <c r="V847" s="1"/>
      <c r="W847" s="1"/>
      <c r="X847" s="1"/>
      <c r="Y847" s="1" t="s">
        <v>3935</v>
      </c>
      <c r="Z847" s="1" t="s">
        <v>3936</v>
      </c>
      <c r="AA847" s="1" t="s">
        <v>3937</v>
      </c>
      <c r="AB847" s="1"/>
      <c r="AC847" s="1"/>
      <c r="AD847" s="1"/>
      <c r="AE847" s="1"/>
      <c r="AF847" s="1" t="s">
        <v>3938</v>
      </c>
      <c r="AG847" s="2" t="str">
        <f>"0195003640"</f>
        <v>0195003640</v>
      </c>
      <c r="AH847" s="2" t="str">
        <f>"9780195003642"</f>
        <v>9780195003642</v>
      </c>
      <c r="AI847" s="1">
        <v>0.0</v>
      </c>
      <c r="AJ847" s="1">
        <v>3.96</v>
      </c>
      <c r="AK847" s="1" t="s">
        <v>214</v>
      </c>
      <c r="AL847" s="1" t="s">
        <v>28</v>
      </c>
      <c r="AN847" s="1">
        <v>1971.0</v>
      </c>
      <c r="AO847" s="1">
        <v>-375.0</v>
      </c>
      <c r="AQ847" s="4">
        <v>44479.0</v>
      </c>
      <c r="AR847" s="1" t="s">
        <v>3474</v>
      </c>
      <c r="AS847" s="1" t="s">
        <v>3939</v>
      </c>
      <c r="AT847" s="1" t="s">
        <v>31</v>
      </c>
      <c r="AX847" s="1">
        <v>0.0</v>
      </c>
      <c r="AY847" s="1">
        <v>1.0</v>
      </c>
    </row>
    <row r="848" spans="20:51" ht="15.75" hidden="1">
      <c r="T848" s="1">
        <v>6.1065983E7</v>
      </c>
      <c r="U848" s="1"/>
      <c r="V848" s="1"/>
      <c r="W848" s="1"/>
      <c r="X848" s="1"/>
      <c r="Y848" s="1" t="s">
        <v>3940</v>
      </c>
      <c r="Z848" s="1" t="s">
        <v>129</v>
      </c>
      <c r="AA848" s="1" t="s">
        <v>130</v>
      </c>
      <c r="AB848" s="1"/>
      <c r="AC848" s="1"/>
      <c r="AD848" s="1"/>
      <c r="AE848" s="1"/>
      <c r="AG848" s="2" t="str">
        <f>"0593499999"</f>
        <v>0593499999</v>
      </c>
      <c r="AH848" s="2" t="str">
        <f>"9780593499993"</f>
        <v>9780593499993</v>
      </c>
      <c r="AI848" s="1">
        <v>0.0</v>
      </c>
      <c r="AJ848" s="1">
        <v>4.19</v>
      </c>
      <c r="AK848" s="1" t="s">
        <v>1844</v>
      </c>
      <c r="AL848" s="1" t="s">
        <v>28</v>
      </c>
      <c r="AM848" s="1">
        <v>432.0</v>
      </c>
      <c r="AN848" s="1">
        <v>2023.0</v>
      </c>
      <c r="AO848" s="1">
        <v>1964.0</v>
      </c>
      <c r="AQ848" s="3">
        <v>44808.0</v>
      </c>
      <c r="AR848" s="1" t="s">
        <v>3137</v>
      </c>
      <c r="AS848" s="1" t="s">
        <v>3941</v>
      </c>
      <c r="AT848" s="1" t="s">
        <v>31</v>
      </c>
      <c r="AX848" s="1">
        <v>0.0</v>
      </c>
      <c r="AY848" s="1">
        <v>1.0</v>
      </c>
    </row>
    <row r="849" spans="20:51" ht="15.75" hidden="1">
      <c r="T849" s="1">
        <v>1233242.0</v>
      </c>
      <c r="U849" s="1"/>
      <c r="V849" s="1"/>
      <c r="W849" s="1"/>
      <c r="X849" s="1"/>
      <c r="Y849" s="1" t="s">
        <v>3942</v>
      </c>
      <c r="Z849" s="1" t="s">
        <v>477</v>
      </c>
      <c r="AA849" s="1" t="s">
        <v>478</v>
      </c>
      <c r="AB849" s="1"/>
      <c r="AC849" s="1"/>
      <c r="AD849" s="1"/>
      <c r="AE849" s="1"/>
      <c r="AF849" s="1" t="s">
        <v>638</v>
      </c>
      <c r="AG849" s="2" t="str">
        <f>"1590172531"</f>
        <v>1590172531</v>
      </c>
      <c r="AH849" s="2" t="str">
        <f>"9781590172537"</f>
        <v>9781590172537</v>
      </c>
      <c r="AI849" s="1">
        <v>5.0</v>
      </c>
      <c r="AJ849" s="1">
        <v>4.39</v>
      </c>
      <c r="AK849" s="1" t="s">
        <v>77</v>
      </c>
      <c r="AL849" s="1" t="s">
        <v>28</v>
      </c>
      <c r="AM849" s="1">
        <v>312.0</v>
      </c>
      <c r="AN849" s="1">
        <v>2008.0</v>
      </c>
      <c r="AO849" s="1">
        <v>-416.0</v>
      </c>
      <c r="AP849" s="3">
        <v>45046.0</v>
      </c>
      <c r="AQ849" s="3">
        <v>44227.0</v>
      </c>
      <c r="AR849" s="1" t="s">
        <v>3943</v>
      </c>
      <c r="AS849" s="1" t="s">
        <v>3944</v>
      </c>
      <c r="AT849" s="1" t="s">
        <v>127</v>
      </c>
      <c r="AX849" s="1">
        <v>1.0</v>
      </c>
      <c r="AY849" s="1">
        <v>1.0</v>
      </c>
    </row>
    <row r="850" spans="20:51" ht="15.75">
      <c r="T850" s="1">
        <v>3229855.0</v>
      </c>
      <c r="U850" s="1"/>
      <c r="V850" s="1"/>
      <c r="W850" s="1"/>
      <c r="X850" s="1"/>
      <c r="Y850" s="1" t="s">
        <v>3945</v>
      </c>
      <c r="Z850" s="1" t="s">
        <v>3946</v>
      </c>
      <c r="AA850" s="1" t="s">
        <v>3947</v>
      </c>
      <c r="AB850" s="1"/>
      <c r="AC850" s="1"/>
      <c r="AD850" s="1"/>
      <c r="AE850" s="1"/>
      <c r="AF850" s="1" t="s">
        <v>3948</v>
      </c>
      <c r="AG850" s="2" t="str">
        <f>"1933372613"</f>
        <v>1933372613</v>
      </c>
      <c r="AH850" s="2" t="str">
        <f>"9781933372617"</f>
        <v>9781933372617</v>
      </c>
      <c r="AI850" s="1">
        <v>3.0</v>
      </c>
      <c r="AJ850" s="1">
        <v>3.7</v>
      </c>
      <c r="AK850" s="1" t="s">
        <v>3949</v>
      </c>
      <c r="AL850" s="1" t="s">
        <v>28</v>
      </c>
      <c r="AM850" s="1">
        <v>131.0</v>
      </c>
      <c r="AN850" s="1">
        <v>2008.0</v>
      </c>
      <c r="AO850" s="1">
        <v>2006.0</v>
      </c>
      <c r="AP850" s="3">
        <v>43332.0</v>
      </c>
      <c r="AQ850" s="3">
        <v>43319.0</v>
      </c>
      <c r="AR850" s="1" t="s">
        <v>3574</v>
      </c>
      <c r="AS850" s="1" t="s">
        <v>3950</v>
      </c>
      <c r="AT850" s="1" t="s">
        <v>127</v>
      </c>
      <c r="AX850" s="1">
        <v>1.0</v>
      </c>
      <c r="AY850" s="1">
        <v>1.0</v>
      </c>
    </row>
    <row r="851" spans="20:51" ht="15.75">
      <c r="T851" s="1">
        <v>168641.0</v>
      </c>
      <c r="U851" s="1"/>
      <c r="V851" s="1"/>
      <c r="W851" s="1"/>
      <c r="X851" s="1"/>
      <c r="Y851" s="1" t="s">
        <v>3951</v>
      </c>
      <c r="Z851" s="1" t="s">
        <v>1842</v>
      </c>
      <c r="AA851" s="1" t="s">
        <v>1843</v>
      </c>
      <c r="AB851" s="1"/>
      <c r="AC851" s="1"/>
      <c r="AD851" s="1"/>
      <c r="AE851" s="1"/>
      <c r="AG851" s="2" t="str">
        <f t="shared" si="57" ref="AG851:AH851">""</f>
        <v/>
      </c>
      <c r="AH851" s="2" t="str">
        <f t="shared" si="57"/>
        <v/>
      </c>
      <c r="AI851" s="1">
        <v>3.0</v>
      </c>
      <c r="AJ851" s="1">
        <v>3.89</v>
      </c>
      <c r="AK851" s="1" t="s">
        <v>1922</v>
      </c>
      <c r="AL851" s="1" t="s">
        <v>28</v>
      </c>
      <c r="AM851" s="1">
        <v>690.0</v>
      </c>
      <c r="AN851" s="1">
        <v>1988.0</v>
      </c>
      <c r="AO851" s="1">
        <v>1987.0</v>
      </c>
      <c r="AQ851" s="3">
        <v>43688.0</v>
      </c>
      <c r="AR851" s="1" t="s">
        <v>3574</v>
      </c>
      <c r="AS851" s="1" t="s">
        <v>3952</v>
      </c>
      <c r="AT851" s="1" t="s">
        <v>127</v>
      </c>
      <c r="AX851" s="1">
        <v>1.0</v>
      </c>
      <c r="AY851" s="1">
        <v>1.0</v>
      </c>
    </row>
    <row r="852" spans="20:51" ht="15.75" hidden="1">
      <c r="T852" s="1">
        <v>1561322.0</v>
      </c>
      <c r="U852" s="1"/>
      <c r="V852" s="1"/>
      <c r="W852" s="1"/>
      <c r="X852" s="1"/>
      <c r="Y852" s="1" t="s">
        <v>3953</v>
      </c>
      <c r="Z852" s="1" t="s">
        <v>3566</v>
      </c>
      <c r="AA852" s="1" t="s">
        <v>3567</v>
      </c>
      <c r="AB852" s="1"/>
      <c r="AC852" s="1"/>
      <c r="AD852" s="1"/>
      <c r="AE852" s="1"/>
      <c r="AG852" s="2" t="str">
        <f>"0743299418"</f>
        <v>0743299418</v>
      </c>
      <c r="AH852" s="2" t="str">
        <f>"9780743299411"</f>
        <v>9780743299411</v>
      </c>
      <c r="AI852" s="1">
        <v>3.0</v>
      </c>
      <c r="AJ852" s="1">
        <v>3.8</v>
      </c>
      <c r="AK852" s="1" t="s">
        <v>101</v>
      </c>
      <c r="AL852" s="1" t="s">
        <v>28</v>
      </c>
      <c r="AM852" s="1">
        <v>205.0</v>
      </c>
      <c r="AN852" s="1">
        <v>2007.0</v>
      </c>
      <c r="AO852" s="1">
        <v>2007.0</v>
      </c>
      <c r="AP852" s="3">
        <v>42947.0</v>
      </c>
      <c r="AQ852" s="3">
        <v>42941.0</v>
      </c>
      <c r="AR852" s="1" t="s">
        <v>3622</v>
      </c>
      <c r="AS852" s="1" t="s">
        <v>3954</v>
      </c>
      <c r="AT852" s="1" t="s">
        <v>127</v>
      </c>
      <c r="AX852" s="1">
        <v>1.0</v>
      </c>
      <c r="AY852" s="1">
        <v>1.0</v>
      </c>
    </row>
    <row r="853" spans="20:51" ht="15.75" hidden="1">
      <c r="T853" s="1">
        <v>464260.0</v>
      </c>
      <c r="U853" s="1"/>
      <c r="V853" s="1"/>
      <c r="W853" s="1"/>
      <c r="X853" s="1"/>
      <c r="Y853" s="1" t="s">
        <v>3955</v>
      </c>
      <c r="Z853" s="1" t="s">
        <v>965</v>
      </c>
      <c r="AA853" s="1" t="s">
        <v>966</v>
      </c>
      <c r="AB853" s="1"/>
      <c r="AC853" s="1"/>
      <c r="AD853" s="1"/>
      <c r="AE853" s="1"/>
      <c r="AG853" s="2" t="str">
        <f>"067974472X"</f>
        <v>067974472X</v>
      </c>
      <c r="AH853" s="2" t="str">
        <f>"9780679744726"</f>
        <v>9780679744726</v>
      </c>
      <c r="AI853" s="1">
        <v>4.0</v>
      </c>
      <c r="AJ853" s="1">
        <v>4.54</v>
      </c>
      <c r="AK853" s="1" t="s">
        <v>83</v>
      </c>
      <c r="AL853" s="1" t="s">
        <v>28</v>
      </c>
      <c r="AM853" s="1">
        <v>106.0</v>
      </c>
      <c r="AN853" s="1">
        <v>1993.0</v>
      </c>
      <c r="AO853" s="1">
        <v>1963.0</v>
      </c>
      <c r="AP853" s="3">
        <v>42602.0</v>
      </c>
      <c r="AQ853" s="3">
        <v>42596.0</v>
      </c>
      <c r="AR853" s="1" t="s">
        <v>687</v>
      </c>
      <c r="AS853" s="1" t="s">
        <v>3956</v>
      </c>
      <c r="AT853" s="1" t="s">
        <v>127</v>
      </c>
      <c r="AX853" s="1">
        <v>1.0</v>
      </c>
      <c r="AY853" s="1">
        <v>1.0</v>
      </c>
    </row>
    <row r="854" spans="20:51" ht="15.75" hidden="1">
      <c r="T854" s="1">
        <v>80369.0</v>
      </c>
      <c r="U854" s="1"/>
      <c r="V854" s="1"/>
      <c r="W854" s="1"/>
      <c r="X854" s="1"/>
      <c r="Y854" s="1" t="s">
        <v>3957</v>
      </c>
      <c r="Z854" s="1" t="s">
        <v>2955</v>
      </c>
      <c r="AA854" s="1" t="s">
        <v>2956</v>
      </c>
      <c r="AB854" s="1"/>
      <c r="AC854" s="1"/>
      <c r="AD854" s="1"/>
      <c r="AE854" s="1"/>
      <c r="AF854" s="1" t="s">
        <v>3958</v>
      </c>
      <c r="AG854" s="2" t="str">
        <f>"0679752552"</f>
        <v>0679752552</v>
      </c>
      <c r="AH854" s="2" t="str">
        <f>"9780679752554"</f>
        <v>9780679752554</v>
      </c>
      <c r="AI854" s="1">
        <v>0.0</v>
      </c>
      <c r="AJ854" s="1">
        <v>4.23</v>
      </c>
      <c r="AK854" s="1" t="s">
        <v>83</v>
      </c>
      <c r="AL854" s="1" t="s">
        <v>28</v>
      </c>
      <c r="AM854" s="1">
        <v>333.0</v>
      </c>
      <c r="AN854" s="1">
        <v>1995.0</v>
      </c>
      <c r="AO854" s="1">
        <v>1975.0</v>
      </c>
      <c r="AQ854" s="3">
        <v>42856.0</v>
      </c>
      <c r="AR854" s="1" t="s">
        <v>3332</v>
      </c>
      <c r="AS854" s="1" t="s">
        <v>3959</v>
      </c>
      <c r="AT854" s="1" t="s">
        <v>31</v>
      </c>
      <c r="AX854" s="1">
        <v>1.0</v>
      </c>
      <c r="AY854" s="1">
        <v>1.0</v>
      </c>
    </row>
    <row r="855" spans="20:51" ht="15.75">
      <c r="T855" s="1">
        <v>9712.0</v>
      </c>
      <c r="U855" s="1"/>
      <c r="V855" s="1"/>
      <c r="W855" s="1"/>
      <c r="X855" s="1"/>
      <c r="Y855" s="1" t="s">
        <v>3960</v>
      </c>
      <c r="Z855" s="1" t="s">
        <v>675</v>
      </c>
      <c r="AA855" s="1" t="s">
        <v>676</v>
      </c>
      <c r="AB855" s="1"/>
      <c r="AC855" s="1"/>
      <c r="AD855" s="1"/>
      <c r="AE855" s="1"/>
      <c r="AF855" s="1" t="s">
        <v>3961</v>
      </c>
      <c r="AG855" s="2" t="str">
        <f>"140003468X"</f>
        <v>140003468X</v>
      </c>
      <c r="AH855" s="2" t="str">
        <f>"9781400034680"</f>
        <v>9781400034680</v>
      </c>
      <c r="AI855" s="1">
        <v>0.0</v>
      </c>
      <c r="AJ855" s="1">
        <v>3.93</v>
      </c>
      <c r="AK855" s="1" t="s">
        <v>253</v>
      </c>
      <c r="AL855" s="1" t="s">
        <v>28</v>
      </c>
      <c r="AM855" s="1">
        <v>348.0</v>
      </c>
      <c r="AN855" s="1">
        <v>2003.0</v>
      </c>
      <c r="AO855" s="1">
        <v>1985.0</v>
      </c>
      <c r="AP855" s="4">
        <v>42321.0</v>
      </c>
      <c r="AQ855" s="3">
        <v>42258.0</v>
      </c>
      <c r="AR855" s="1" t="s">
        <v>3574</v>
      </c>
      <c r="AS855" s="1" t="s">
        <v>3962</v>
      </c>
      <c r="AT855" s="1" t="s">
        <v>127</v>
      </c>
      <c r="AX855" s="1">
        <v>1.0</v>
      </c>
      <c r="AY855" s="1">
        <v>1.0</v>
      </c>
    </row>
    <row r="856" spans="20:51" ht="15.75">
      <c r="T856" s="1">
        <v>1.7316506E7</v>
      </c>
      <c r="U856" s="1"/>
      <c r="V856" s="1"/>
      <c r="W856" s="1"/>
      <c r="X856" s="1"/>
      <c r="Y856" s="1" t="s">
        <v>3963</v>
      </c>
      <c r="Z856" s="1" t="s">
        <v>965</v>
      </c>
      <c r="AA856" s="1" t="s">
        <v>966</v>
      </c>
      <c r="AB856" s="1"/>
      <c r="AC856" s="1"/>
      <c r="AD856" s="1"/>
      <c r="AE856" s="1"/>
      <c r="AG856" s="2" t="str">
        <f>"0345806549"</f>
        <v>0345806549</v>
      </c>
      <c r="AH856" s="2" t="str">
        <f>"9780345806543"</f>
        <v>9780345806543</v>
      </c>
      <c r="AI856" s="1">
        <v>5.0</v>
      </c>
      <c r="AJ856" s="1">
        <v>4.04</v>
      </c>
      <c r="AK856" s="1" t="s">
        <v>83</v>
      </c>
      <c r="AL856" s="1" t="s">
        <v>315</v>
      </c>
      <c r="AM856" s="1">
        <v>263.0</v>
      </c>
      <c r="AN856" s="1">
        <v>2013.0</v>
      </c>
      <c r="AO856" s="1">
        <v>1953.0</v>
      </c>
      <c r="AP856" s="3">
        <v>42134.0</v>
      </c>
      <c r="AQ856" s="3">
        <v>42115.0</v>
      </c>
      <c r="AR856" s="1" t="s">
        <v>3964</v>
      </c>
      <c r="AS856" s="1" t="s">
        <v>3965</v>
      </c>
      <c r="AT856" s="1" t="s">
        <v>127</v>
      </c>
      <c r="AX856" s="1">
        <v>1.0</v>
      </c>
      <c r="AY856" s="1">
        <v>1.0</v>
      </c>
    </row>
    <row r="857" spans="20:51" ht="15.75">
      <c r="T857" s="1">
        <v>166997.0</v>
      </c>
      <c r="U857" s="1"/>
      <c r="V857" s="1"/>
      <c r="W857" s="1"/>
      <c r="X857" s="1"/>
      <c r="Y857" s="1" t="s">
        <v>3966</v>
      </c>
      <c r="Z857" s="1" t="s">
        <v>1011</v>
      </c>
      <c r="AA857" s="1" t="s">
        <v>1012</v>
      </c>
      <c r="AB857" s="1"/>
      <c r="AC857" s="1"/>
      <c r="AD857" s="1"/>
      <c r="AE857" s="1"/>
      <c r="AF857" s="1" t="s">
        <v>3967</v>
      </c>
      <c r="AG857" s="2" t="str">
        <f>"1590171993"</f>
        <v>1590171993</v>
      </c>
      <c r="AH857" s="2" t="str">
        <f>"9781590171998"</f>
        <v>9781590171998</v>
      </c>
      <c r="AI857" s="1">
        <v>0.0</v>
      </c>
      <c r="AJ857" s="1">
        <v>4.32</v>
      </c>
      <c r="AK857" s="1" t="s">
        <v>671</v>
      </c>
      <c r="AL857" s="1" t="s">
        <v>28</v>
      </c>
      <c r="AM857" s="1">
        <v>288.0</v>
      </c>
      <c r="AN857" s="1">
        <v>2006.0</v>
      </c>
      <c r="AO857" s="1">
        <v>1965.0</v>
      </c>
      <c r="AQ857" s="4">
        <v>41605.0</v>
      </c>
      <c r="AR857" s="1" t="s">
        <v>2433</v>
      </c>
      <c r="AS857" s="1" t="s">
        <v>3968</v>
      </c>
      <c r="AT857" s="1" t="s">
        <v>31</v>
      </c>
      <c r="AX857" s="1">
        <v>0.0</v>
      </c>
      <c r="AY857" s="1">
        <v>1.0</v>
      </c>
    </row>
    <row r="858" spans="20:51" ht="15.75">
      <c r="T858" s="1">
        <v>5.84615E7</v>
      </c>
      <c r="U858" s="1"/>
      <c r="V858" s="1"/>
      <c r="W858" s="1"/>
      <c r="X858" s="1"/>
      <c r="Y858" s="1" t="s">
        <v>3969</v>
      </c>
      <c r="Z858" s="1" t="s">
        <v>3970</v>
      </c>
      <c r="AA858" s="1" t="s">
        <v>3971</v>
      </c>
      <c r="AB858" s="1"/>
      <c r="AC858" s="1"/>
      <c r="AD858" s="1"/>
      <c r="AE858" s="1"/>
      <c r="AG858" s="2" t="str">
        <f>"0451163966"</f>
        <v>0451163966</v>
      </c>
      <c r="AH858" s="2" t="str">
        <f>"9780451163967"</f>
        <v>9780451163967</v>
      </c>
      <c r="AI858" s="1">
        <v>5.0</v>
      </c>
      <c r="AJ858" s="1">
        <v>4.2</v>
      </c>
      <c r="AK858" s="1" t="s">
        <v>658</v>
      </c>
      <c r="AL858" s="1" t="s">
        <v>315</v>
      </c>
      <c r="AM858" s="1">
        <v>325.0</v>
      </c>
      <c r="AN858" s="1">
        <v>1993.0</v>
      </c>
      <c r="AO858" s="1">
        <v>1962.0</v>
      </c>
      <c r="AP858" s="3">
        <v>41765.0</v>
      </c>
      <c r="AQ858" s="3">
        <v>41737.0</v>
      </c>
      <c r="AR858" s="1" t="s">
        <v>3574</v>
      </c>
      <c r="AS858" s="1" t="s">
        <v>3972</v>
      </c>
      <c r="AT858" s="1" t="s">
        <v>127</v>
      </c>
      <c r="AX858" s="1">
        <v>1.0</v>
      </c>
      <c r="AY858" s="1">
        <v>1.0</v>
      </c>
    </row>
    <row r="859" spans="20:51" ht="15.75">
      <c r="T859" s="1">
        <v>397770.0</v>
      </c>
      <c r="U859" s="1"/>
      <c r="V859" s="1"/>
      <c r="W859" s="1"/>
      <c r="X859" s="1"/>
      <c r="Y859" s="1" t="s">
        <v>3973</v>
      </c>
      <c r="Z859" s="1" t="s">
        <v>250</v>
      </c>
      <c r="AA859" s="1" t="s">
        <v>251</v>
      </c>
      <c r="AB859" s="1"/>
      <c r="AC859" s="1"/>
      <c r="AD859" s="1"/>
      <c r="AE859" s="1"/>
      <c r="AF859" s="1" t="s">
        <v>1670</v>
      </c>
      <c r="AG859" s="2" t="str">
        <f>"0679764003"</f>
        <v>0679764003</v>
      </c>
      <c r="AH859" s="2" t="str">
        <f>"9780679764007"</f>
        <v>9780679764007</v>
      </c>
      <c r="AI859" s="1">
        <v>0.0</v>
      </c>
      <c r="AJ859" s="1">
        <v>3.81</v>
      </c>
      <c r="AK859" s="1" t="s">
        <v>83</v>
      </c>
      <c r="AL859" s="1" t="s">
        <v>28</v>
      </c>
      <c r="AM859" s="1">
        <v>192.0</v>
      </c>
      <c r="AN859" s="1">
        <v>1995.0</v>
      </c>
      <c r="AO859" s="1">
        <v>1971.0</v>
      </c>
      <c r="AQ859" s="3">
        <v>41306.0</v>
      </c>
      <c r="AR859" s="1" t="s">
        <v>2433</v>
      </c>
      <c r="AS859" s="1" t="s">
        <v>3974</v>
      </c>
      <c r="AT859" s="1" t="s">
        <v>31</v>
      </c>
      <c r="AX859" s="1">
        <v>0.0</v>
      </c>
      <c r="AY859" s="1">
        <v>1.0</v>
      </c>
    </row>
    <row r="860" spans="20:51" ht="15.75" hidden="1">
      <c r="T860" s="1">
        <v>127046.0</v>
      </c>
      <c r="U860" s="1"/>
      <c r="V860" s="1"/>
      <c r="W860" s="1"/>
      <c r="X860" s="1"/>
      <c r="Y860" s="1" t="s">
        <v>3975</v>
      </c>
      <c r="Z860" s="1" t="s">
        <v>3803</v>
      </c>
      <c r="AA860" s="1" t="s">
        <v>3804</v>
      </c>
      <c r="AB860" s="1"/>
      <c r="AC860" s="1"/>
      <c r="AD860" s="1"/>
      <c r="AE860" s="1"/>
      <c r="AG860" s="2" t="str">
        <f>"0394700163"</f>
        <v>0394700163</v>
      </c>
      <c r="AH860" s="2" t="str">
        <f>"9780394700168"</f>
        <v>9780394700168</v>
      </c>
      <c r="AI860" s="1">
        <v>4.0</v>
      </c>
      <c r="AJ860" s="1">
        <v>4.08</v>
      </c>
      <c r="AK860" s="1" t="s">
        <v>83</v>
      </c>
      <c r="AL860" s="1" t="s">
        <v>28</v>
      </c>
      <c r="AM860" s="1">
        <v>281.0</v>
      </c>
      <c r="AN860" s="1">
        <v>1955.0</v>
      </c>
      <c r="AO860" s="1">
        <v>1947.0</v>
      </c>
      <c r="AP860" s="3">
        <v>41437.0</v>
      </c>
      <c r="AQ860" s="3">
        <v>41388.0</v>
      </c>
      <c r="AR860" s="1" t="s">
        <v>3976</v>
      </c>
      <c r="AS860" s="1" t="s">
        <v>3977</v>
      </c>
      <c r="AT860" s="1" t="s">
        <v>127</v>
      </c>
      <c r="AU860" s="1" t="s">
        <v>3978</v>
      </c>
      <c r="AX860" s="1">
        <v>1.0</v>
      </c>
      <c r="AY860" s="1">
        <v>2.0</v>
      </c>
    </row>
    <row r="861" spans="20:51" ht="15.75">
      <c r="T861" s="1">
        <v>1.8340986E7</v>
      </c>
      <c r="U861" s="1"/>
      <c r="V861" s="1"/>
      <c r="W861" s="1"/>
      <c r="X861" s="1"/>
      <c r="Y861" s="1" t="s">
        <v>3979</v>
      </c>
      <c r="Z861" s="1" t="s">
        <v>3980</v>
      </c>
      <c r="AA861" s="1" t="s">
        <v>3981</v>
      </c>
      <c r="AB861" s="1"/>
      <c r="AC861" s="1"/>
      <c r="AD861" s="1"/>
      <c r="AE861" s="1"/>
      <c r="AG861" s="2" t="str">
        <f>"0394178009"</f>
        <v>0394178009</v>
      </c>
      <c r="AH861" s="2" t="str">
        <f>""</f>
        <v/>
      </c>
      <c r="AI861" s="1">
        <v>0.0</v>
      </c>
      <c r="AJ861" s="1">
        <v>3.89</v>
      </c>
      <c r="AK861" s="1" t="s">
        <v>3982</v>
      </c>
      <c r="AM861" s="1">
        <v>415.0</v>
      </c>
      <c r="AN861" s="1">
        <v>1981.0</v>
      </c>
      <c r="AO861" s="1">
        <v>1980.0</v>
      </c>
      <c r="AQ861" s="3">
        <v>41097.0</v>
      </c>
      <c r="AR861" s="1" t="s">
        <v>2433</v>
      </c>
      <c r="AS861" s="1" t="s">
        <v>3983</v>
      </c>
      <c r="AT861" s="1" t="s">
        <v>31</v>
      </c>
      <c r="AX861" s="1">
        <v>0.0</v>
      </c>
      <c r="AY861" s="1">
        <v>1.0</v>
      </c>
    </row>
    <row r="862" spans="20:51" ht="15.75" hidden="1">
      <c r="T862" s="1">
        <v>2638701.0</v>
      </c>
      <c r="U862" s="1"/>
      <c r="V862" s="1"/>
      <c r="W862" s="1"/>
      <c r="X862" s="1"/>
      <c r="Y862" s="1" t="s">
        <v>3984</v>
      </c>
      <c r="Z862" s="1" t="s">
        <v>1469</v>
      </c>
      <c r="AA862" s="1" t="s">
        <v>3985</v>
      </c>
      <c r="AB862" s="1"/>
      <c r="AC862" s="1"/>
      <c r="AD862" s="1"/>
      <c r="AE862" s="1"/>
      <c r="AG862" s="2" t="str">
        <f>"0312427182"</f>
        <v>0312427182</v>
      </c>
      <c r="AH862" s="2" t="str">
        <f>"9780312427184"</f>
        <v>9780312427184</v>
      </c>
      <c r="AI862" s="1">
        <v>0.0</v>
      </c>
      <c r="AJ862" s="1">
        <v>3.88</v>
      </c>
      <c r="AK862" s="1" t="s">
        <v>945</v>
      </c>
      <c r="AL862" s="1" t="s">
        <v>28</v>
      </c>
      <c r="AM862" s="1">
        <v>272.0</v>
      </c>
      <c r="AN862" s="1">
        <v>2008.0</v>
      </c>
      <c r="AO862" s="1">
        <v>2007.0</v>
      </c>
      <c r="AQ862" s="3">
        <v>41337.0</v>
      </c>
      <c r="AR862" s="1" t="s">
        <v>3332</v>
      </c>
      <c r="AS862" s="1" t="s">
        <v>3986</v>
      </c>
      <c r="AT862" s="1" t="s">
        <v>31</v>
      </c>
      <c r="AX862" s="1">
        <v>0.0</v>
      </c>
      <c r="AY862" s="1">
        <v>1.0</v>
      </c>
    </row>
    <row r="863" spans="20:51" ht="15.75" hidden="1">
      <c r="T863" s="1">
        <v>18133.0</v>
      </c>
      <c r="U863" s="1"/>
      <c r="V863" s="1"/>
      <c r="W863" s="1"/>
      <c r="X863" s="1"/>
      <c r="Y863" s="1" t="s">
        <v>3987</v>
      </c>
      <c r="Z863" s="1" t="s">
        <v>3857</v>
      </c>
      <c r="AA863" s="1" t="s">
        <v>3858</v>
      </c>
      <c r="AB863" s="1"/>
      <c r="AC863" s="1"/>
      <c r="AD863" s="1"/>
      <c r="AE863" s="1"/>
      <c r="AG863" s="2" t="str">
        <f>"0679723161"</f>
        <v>0679723161</v>
      </c>
      <c r="AH863" s="2" t="str">
        <f>"9780679723165"</f>
        <v>9780679723165</v>
      </c>
      <c r="AI863" s="1">
        <v>0.0</v>
      </c>
      <c r="AJ863" s="1">
        <v>3.88</v>
      </c>
      <c r="AK863" s="1" t="s">
        <v>253</v>
      </c>
      <c r="AL863" s="1" t="s">
        <v>28</v>
      </c>
      <c r="AM863" s="1">
        <v>317.0</v>
      </c>
      <c r="AN863" s="1">
        <v>1989.0</v>
      </c>
      <c r="AO863" s="1">
        <v>1955.0</v>
      </c>
      <c r="AQ863" s="3">
        <v>40915.0</v>
      </c>
      <c r="AR863" s="1" t="s">
        <v>3164</v>
      </c>
      <c r="AS863" s="1" t="s">
        <v>3988</v>
      </c>
      <c r="AT863" s="1" t="s">
        <v>31</v>
      </c>
      <c r="AX863" s="1">
        <v>0.0</v>
      </c>
      <c r="AY863" s="1">
        <v>1.0</v>
      </c>
    </row>
    <row r="864" spans="20:51" ht="15.75" hidden="1">
      <c r="T864" s="1">
        <v>385216.0</v>
      </c>
      <c r="U864" s="1"/>
      <c r="V864" s="1"/>
      <c r="W864" s="1"/>
      <c r="X864" s="1"/>
      <c r="Y864" s="1" t="s">
        <v>3989</v>
      </c>
      <c r="Z864" s="1" t="s">
        <v>1073</v>
      </c>
      <c r="AA864" s="1" t="s">
        <v>1074</v>
      </c>
      <c r="AB864" s="1"/>
      <c r="AC864" s="1"/>
      <c r="AD864" s="1"/>
      <c r="AE864" s="1"/>
      <c r="AG864" s="2" t="str">
        <f>"0872860175"</f>
        <v>0872860175</v>
      </c>
      <c r="AH864" s="2" t="str">
        <f>"9780872860179"</f>
        <v>9780872860179</v>
      </c>
      <c r="AI864" s="1">
        <v>4.0</v>
      </c>
      <c r="AJ864" s="1">
        <v>4.13</v>
      </c>
      <c r="AK864" s="1" t="s">
        <v>3990</v>
      </c>
      <c r="AL864" s="1" t="s">
        <v>28</v>
      </c>
      <c r="AM864" s="1">
        <v>57.0</v>
      </c>
      <c r="AN864" s="1">
        <v>2001.0</v>
      </c>
      <c r="AO864" s="1">
        <v>1956.0</v>
      </c>
      <c r="AP864" s="3">
        <v>40986.0</v>
      </c>
      <c r="AQ864" s="3">
        <v>40971.0</v>
      </c>
      <c r="AR864" s="1" t="s">
        <v>3268</v>
      </c>
      <c r="AS864" s="1" t="s">
        <v>3991</v>
      </c>
      <c r="AT864" s="1" t="s">
        <v>127</v>
      </c>
      <c r="AX864" s="1">
        <v>1.0</v>
      </c>
      <c r="AY864" s="1">
        <v>1.0</v>
      </c>
    </row>
    <row r="865" spans="20:51" ht="15.75">
      <c r="T865" s="1">
        <v>386411.0</v>
      </c>
      <c r="U865" s="1"/>
      <c r="V865" s="1"/>
      <c r="W865" s="1"/>
      <c r="X865" s="1"/>
      <c r="Y865" s="1" t="s">
        <v>3992</v>
      </c>
      <c r="Z865" s="1" t="s">
        <v>3993</v>
      </c>
      <c r="AA865" s="1" t="s">
        <v>3994</v>
      </c>
      <c r="AB865" s="1"/>
      <c r="AC865" s="1"/>
      <c r="AD865" s="1"/>
      <c r="AE865" s="1"/>
      <c r="AG865" s="2" t="str">
        <f>"038533348X"</f>
        <v>038533348X</v>
      </c>
      <c r="AH865" s="2" t="str">
        <f>"9780385333481"</f>
        <v>9780385333481</v>
      </c>
      <c r="AI865" s="1">
        <v>3.0</v>
      </c>
      <c r="AJ865" s="1">
        <v>4.16</v>
      </c>
      <c r="AK865" s="1" t="s">
        <v>3995</v>
      </c>
      <c r="AL865" s="1" t="s">
        <v>28</v>
      </c>
      <c r="AM865" s="1">
        <v>287.0</v>
      </c>
      <c r="AN865" s="1">
        <v>1998.0</v>
      </c>
      <c r="AO865" s="1">
        <v>1963.0</v>
      </c>
      <c r="AP865" s="3">
        <v>41039.0</v>
      </c>
      <c r="AQ865" s="3">
        <v>41038.0</v>
      </c>
      <c r="AR865" s="1" t="s">
        <v>3574</v>
      </c>
      <c r="AS865" s="1" t="s">
        <v>3996</v>
      </c>
      <c r="AT865" s="1" t="s">
        <v>127</v>
      </c>
      <c r="AX865" s="1">
        <v>1.0</v>
      </c>
      <c r="AY865" s="1">
        <v>1.0</v>
      </c>
    </row>
    <row r="866" spans="20:51" ht="15.75" hidden="1">
      <c r="T866" s="1">
        <v>203853.0</v>
      </c>
      <c r="U866" s="1"/>
      <c r="V866" s="1"/>
      <c r="W866" s="1"/>
      <c r="X866" s="1"/>
      <c r="Y866" s="1" t="s">
        <v>3997</v>
      </c>
      <c r="Z866" s="1" t="s">
        <v>3998</v>
      </c>
      <c r="AA866" s="1" t="s">
        <v>3999</v>
      </c>
      <c r="AB866" s="1"/>
      <c r="AC866" s="1"/>
      <c r="AD866" s="1"/>
      <c r="AE866" s="1"/>
      <c r="AF866" s="1" t="s">
        <v>4000</v>
      </c>
      <c r="AG866" s="2" t="str">
        <f>"0393924513"</f>
        <v>0393924513</v>
      </c>
      <c r="AH866" s="2" t="str">
        <f>"9780393924510"</f>
        <v>9780393924510</v>
      </c>
      <c r="AI866" s="1">
        <v>0.0</v>
      </c>
      <c r="AJ866" s="1">
        <v>4.03</v>
      </c>
      <c r="AK866" s="1" t="s">
        <v>113</v>
      </c>
      <c r="AL866" s="1" t="s">
        <v>28</v>
      </c>
      <c r="AM866" s="1">
        <v>1264.0</v>
      </c>
      <c r="AN866" s="1">
        <v>2003.0</v>
      </c>
      <c r="AO866" s="1">
        <v>2001.0</v>
      </c>
      <c r="AQ866" s="3">
        <v>45163.0</v>
      </c>
      <c r="AR866" s="1" t="s">
        <v>3137</v>
      </c>
      <c r="AS866" s="1" t="s">
        <v>4001</v>
      </c>
      <c r="AT866" s="1" t="s">
        <v>31</v>
      </c>
      <c r="AX866" s="1">
        <v>0.0</v>
      </c>
      <c r="AY866" s="1">
        <v>1.0</v>
      </c>
    </row>
    <row r="867" spans="20:51" ht="15.75" hidden="1">
      <c r="T867" s="1">
        <v>111734.0</v>
      </c>
      <c r="U867" s="1"/>
      <c r="V867" s="1"/>
      <c r="W867" s="1"/>
      <c r="X867" s="1"/>
      <c r="Y867" s="1" t="s">
        <v>4002</v>
      </c>
      <c r="Z867" s="1" t="s">
        <v>3125</v>
      </c>
      <c r="AA867" s="1" t="s">
        <v>3126</v>
      </c>
      <c r="AB867" s="1"/>
      <c r="AC867" s="1"/>
      <c r="AD867" s="1"/>
      <c r="AE867" s="1"/>
      <c r="AF867" s="1" t="s">
        <v>297</v>
      </c>
      <c r="AG867" s="2" t="str">
        <f>"0300117434"</f>
        <v>0300117434</v>
      </c>
      <c r="AH867" s="2" t="str">
        <f>"9780300117431"</f>
        <v>9780300117431</v>
      </c>
      <c r="AI867" s="1">
        <v>0.0</v>
      </c>
      <c r="AJ867" s="1">
        <v>3.9</v>
      </c>
      <c r="AK867" s="1" t="s">
        <v>545</v>
      </c>
      <c r="AL867" s="1" t="s">
        <v>28</v>
      </c>
      <c r="AM867" s="1">
        <v>236.0</v>
      </c>
      <c r="AN867" s="1">
        <v>2006.0</v>
      </c>
      <c r="AO867" s="1">
        <v>1946.0</v>
      </c>
      <c r="AQ867" s="3">
        <v>45163.0</v>
      </c>
      <c r="AR867" s="1" t="s">
        <v>4003</v>
      </c>
      <c r="AS867" s="1" t="s">
        <v>4004</v>
      </c>
      <c r="AT867" s="1" t="s">
        <v>31</v>
      </c>
      <c r="AX867" s="1">
        <v>0.0</v>
      </c>
      <c r="AY867" s="1">
        <v>1.0</v>
      </c>
    </row>
    <row r="868" spans="20:51" ht="15.75">
      <c r="T868" s="1">
        <v>235815.0</v>
      </c>
      <c r="U868" s="1"/>
      <c r="V868" s="1"/>
      <c r="W868" s="1"/>
      <c r="X868" s="1"/>
      <c r="Y868" s="1" t="s">
        <v>4005</v>
      </c>
      <c r="Z868" s="1" t="s">
        <v>4006</v>
      </c>
      <c r="AA868" s="1" t="s">
        <v>4007</v>
      </c>
      <c r="AB868" s="1"/>
      <c r="AC868" s="1"/>
      <c r="AD868" s="1"/>
      <c r="AE868" s="1"/>
      <c r="AG868" s="2" t="str">
        <f>"0918273986"</f>
        <v>0918273986</v>
      </c>
      <c r="AH868" s="2" t="str">
        <f>"9780918273987"</f>
        <v>9780918273987</v>
      </c>
      <c r="AI868" s="1">
        <v>0.0</v>
      </c>
      <c r="AJ868" s="1">
        <v>4.0</v>
      </c>
      <c r="AK868" s="1" t="s">
        <v>4008</v>
      </c>
      <c r="AL868" s="1" t="s">
        <v>28</v>
      </c>
      <c r="AM868" s="1">
        <v>128.0</v>
      </c>
      <c r="AN868" s="1">
        <v>1992.0</v>
      </c>
      <c r="AO868" s="1">
        <v>1992.0</v>
      </c>
      <c r="AQ868" s="3">
        <v>45163.0</v>
      </c>
      <c r="AR868" s="1" t="s">
        <v>2433</v>
      </c>
      <c r="AS868" s="1" t="s">
        <v>4009</v>
      </c>
      <c r="AT868" s="1" t="s">
        <v>31</v>
      </c>
      <c r="AX868" s="1">
        <v>0.0</v>
      </c>
      <c r="AY868" s="1">
        <v>1.0</v>
      </c>
    </row>
    <row r="869" spans="20:51" ht="15.75" hidden="1">
      <c r="T869" s="1">
        <v>1.27774117E8</v>
      </c>
      <c r="U869" s="1"/>
      <c r="V869" s="1"/>
      <c r="W869" s="1"/>
      <c r="X869" s="1"/>
      <c r="Y869" s="1" t="s">
        <v>4010</v>
      </c>
      <c r="Z869" s="1" t="s">
        <v>4011</v>
      </c>
      <c r="AA869" s="1" t="s">
        <v>4012</v>
      </c>
      <c r="AB869" s="1"/>
      <c r="AC869" s="1"/>
      <c r="AD869" s="1"/>
      <c r="AE869" s="1"/>
      <c r="AG869" s="2" t="str">
        <f t="shared" si="58" ref="AG869:AH869">""</f>
        <v/>
      </c>
      <c r="AH869" s="2" t="str">
        <f t="shared" si="58"/>
        <v/>
      </c>
      <c r="AI869" s="1">
        <v>0.0</v>
      </c>
      <c r="AJ869" s="1">
        <v>3.71</v>
      </c>
      <c r="AK869" s="1" t="s">
        <v>658</v>
      </c>
      <c r="AL869" s="1" t="s">
        <v>28</v>
      </c>
      <c r="AN869" s="1">
        <v>1970.0</v>
      </c>
      <c r="AO869" s="1">
        <v>1947.0</v>
      </c>
      <c r="AQ869" s="3">
        <v>45163.0</v>
      </c>
      <c r="AR869" s="1" t="s">
        <v>3137</v>
      </c>
      <c r="AS869" s="1" t="s">
        <v>4013</v>
      </c>
      <c r="AT869" s="1" t="s">
        <v>31</v>
      </c>
      <c r="AW869" s="1" t="s">
        <v>2435</v>
      </c>
      <c r="AX869" s="1">
        <v>0.0</v>
      </c>
      <c r="AY869" s="1">
        <v>1.0</v>
      </c>
    </row>
    <row r="870" spans="20:51" ht="15.75" hidden="1">
      <c r="T870" s="1">
        <v>5.786274E7</v>
      </c>
      <c r="U870" s="1"/>
      <c r="V870" s="1"/>
      <c r="W870" s="1"/>
      <c r="X870" s="1"/>
      <c r="Y870" s="1" t="s">
        <v>4014</v>
      </c>
      <c r="Z870" s="1" t="s">
        <v>4015</v>
      </c>
      <c r="AA870" s="1" t="s">
        <v>4016</v>
      </c>
      <c r="AB870" s="1"/>
      <c r="AC870" s="1"/>
      <c r="AD870" s="1"/>
      <c r="AE870" s="1"/>
      <c r="AG870" s="2" t="str">
        <f t="shared" si="59" ref="AG870:AH870">""</f>
        <v/>
      </c>
      <c r="AH870" s="2" t="str">
        <f t="shared" si="59"/>
        <v/>
      </c>
      <c r="AI870" s="1">
        <v>0.0</v>
      </c>
      <c r="AJ870" s="1">
        <v>4.3</v>
      </c>
      <c r="AK870" s="1" t="s">
        <v>4017</v>
      </c>
      <c r="AL870" s="1" t="s">
        <v>28</v>
      </c>
      <c r="AM870" s="1">
        <v>191.0</v>
      </c>
      <c r="AN870" s="1">
        <v>1964.0</v>
      </c>
      <c r="AO870" s="1">
        <v>1961.0</v>
      </c>
      <c r="AQ870" s="3">
        <v>45163.0</v>
      </c>
      <c r="AR870" s="1" t="s">
        <v>3137</v>
      </c>
      <c r="AS870" s="1" t="s">
        <v>4018</v>
      </c>
      <c r="AT870" s="1" t="s">
        <v>31</v>
      </c>
      <c r="AX870" s="1">
        <v>0.0</v>
      </c>
      <c r="AY870" s="1">
        <v>1.0</v>
      </c>
    </row>
    <row r="871" spans="20:51" ht="15.75" hidden="1">
      <c r="T871" s="1">
        <v>8398736.0</v>
      </c>
      <c r="U871" s="1"/>
      <c r="V871" s="1"/>
      <c r="W871" s="1"/>
      <c r="X871" s="1"/>
      <c r="Y871" s="1" t="s">
        <v>4019</v>
      </c>
      <c r="Z871" s="1" t="s">
        <v>4020</v>
      </c>
      <c r="AA871" s="1" t="s">
        <v>4021</v>
      </c>
      <c r="AB871" s="1"/>
      <c r="AC871" s="1"/>
      <c r="AD871" s="1"/>
      <c r="AE871" s="1"/>
      <c r="AG871" s="2" t="str">
        <f t="shared" si="60" ref="AG871:AH871">""</f>
        <v/>
      </c>
      <c r="AH871" s="2" t="str">
        <f t="shared" si="60"/>
        <v/>
      </c>
      <c r="AI871" s="1">
        <v>0.0</v>
      </c>
      <c r="AJ871" s="1">
        <v>3.91</v>
      </c>
      <c r="AK871" s="1" t="s">
        <v>4022</v>
      </c>
      <c r="AL871" s="1" t="s">
        <v>28</v>
      </c>
      <c r="AM871" s="1">
        <v>123.0</v>
      </c>
      <c r="AN871" s="1">
        <v>1961.0</v>
      </c>
      <c r="AO871" s="1">
        <v>1944.0</v>
      </c>
      <c r="AQ871" s="3">
        <v>45160.0</v>
      </c>
      <c r="AR871" s="1" t="s">
        <v>4023</v>
      </c>
      <c r="AS871" s="1" t="s">
        <v>4024</v>
      </c>
      <c r="AT871" s="1" t="s">
        <v>31</v>
      </c>
      <c r="AX871" s="1">
        <v>0.0</v>
      </c>
      <c r="AY871" s="1">
        <v>1.0</v>
      </c>
    </row>
    <row r="872" spans="20:51" ht="15.75">
      <c r="T872" s="1">
        <v>226162.0</v>
      </c>
      <c r="U872" s="1"/>
      <c r="V872" s="1"/>
      <c r="W872" s="1"/>
      <c r="X872" s="1"/>
      <c r="Y872" s="1" t="s">
        <v>4025</v>
      </c>
      <c r="Z872" s="1" t="s">
        <v>4026</v>
      </c>
      <c r="AA872" s="1" t="s">
        <v>4027</v>
      </c>
      <c r="AB872" s="1"/>
      <c r="AC872" s="1"/>
      <c r="AD872" s="1"/>
      <c r="AE872" s="1"/>
      <c r="AG872" s="2" t="str">
        <f>"0451219422"</f>
        <v>0451219422</v>
      </c>
      <c r="AH872" s="2" t="str">
        <f>"9780451219428"</f>
        <v>9780451219428</v>
      </c>
      <c r="AI872" s="1">
        <v>0.0</v>
      </c>
      <c r="AJ872" s="1">
        <v>4.04</v>
      </c>
      <c r="AK872" s="1" t="s">
        <v>658</v>
      </c>
      <c r="AL872" s="1" t="s">
        <v>28</v>
      </c>
      <c r="AM872" s="1">
        <v>272.0</v>
      </c>
      <c r="AN872" s="1">
        <v>2006.0</v>
      </c>
      <c r="AO872" s="1">
        <v>1976.0</v>
      </c>
      <c r="AQ872" s="3">
        <v>45161.0</v>
      </c>
      <c r="AR872" s="1" t="s">
        <v>2433</v>
      </c>
      <c r="AS872" s="1" t="s">
        <v>4028</v>
      </c>
      <c r="AT872" s="1" t="s">
        <v>31</v>
      </c>
      <c r="AX872" s="1">
        <v>0.0</v>
      </c>
      <c r="AY872" s="1">
        <v>1.0</v>
      </c>
    </row>
    <row r="873" spans="20:51" ht="15.75" hidden="1">
      <c r="T873" s="1">
        <v>1.30355506E8</v>
      </c>
      <c r="U873" s="1"/>
      <c r="V873" s="1"/>
      <c r="W873" s="1"/>
      <c r="X873" s="1"/>
      <c r="Y873" s="1" t="s">
        <v>4029</v>
      </c>
      <c r="Z873" s="1" t="s">
        <v>4030</v>
      </c>
      <c r="AA873" s="1" t="s">
        <v>4031</v>
      </c>
      <c r="AB873" s="1"/>
      <c r="AC873" s="1"/>
      <c r="AD873" s="1"/>
      <c r="AE873" s="1"/>
      <c r="AG873" s="2" t="str">
        <f t="shared" si="61" ref="AG873:AH873">""</f>
        <v/>
      </c>
      <c r="AH873" s="2" t="str">
        <f t="shared" si="61"/>
        <v/>
      </c>
      <c r="AI873" s="1">
        <v>0.0</v>
      </c>
      <c r="AJ873" s="1">
        <v>3.84</v>
      </c>
      <c r="AK873" s="1" t="s">
        <v>2550</v>
      </c>
      <c r="AL873" s="1" t="s">
        <v>28</v>
      </c>
      <c r="AN873" s="1">
        <v>1969.0</v>
      </c>
      <c r="AO873" s="1">
        <v>1969.0</v>
      </c>
      <c r="AQ873" s="3">
        <v>45160.0</v>
      </c>
      <c r="AR873" s="1" t="s">
        <v>3137</v>
      </c>
      <c r="AS873" s="1" t="s">
        <v>4032</v>
      </c>
      <c r="AT873" s="1" t="s">
        <v>31</v>
      </c>
      <c r="AX873" s="1">
        <v>0.0</v>
      </c>
      <c r="AY873" s="1">
        <v>1.0</v>
      </c>
    </row>
    <row r="874" spans="20:51" ht="15.75" hidden="1">
      <c r="T874" s="1">
        <v>284516.0</v>
      </c>
      <c r="U874" s="1"/>
      <c r="V874" s="1"/>
      <c r="W874" s="1"/>
      <c r="X874" s="1"/>
      <c r="Y874" s="1" t="s">
        <v>4033</v>
      </c>
      <c r="Z874" s="1" t="s">
        <v>4034</v>
      </c>
      <c r="AA874" s="1" t="s">
        <v>4035</v>
      </c>
      <c r="AB874" s="1"/>
      <c r="AC874" s="1"/>
      <c r="AD874" s="1"/>
      <c r="AE874" s="1"/>
      <c r="AG874" s="2" t="str">
        <f>"0944854486"</f>
        <v>0944854486</v>
      </c>
      <c r="AH874" s="2" t="str">
        <f>"9780944854488"</f>
        <v>9780944854488</v>
      </c>
      <c r="AI874" s="1">
        <v>0.0</v>
      </c>
      <c r="AJ874" s="1">
        <v>3.8</v>
      </c>
      <c r="AK874" s="1" t="s">
        <v>4036</v>
      </c>
      <c r="AL874" s="1" t="s">
        <v>28</v>
      </c>
      <c r="AM874" s="1">
        <v>169.0</v>
      </c>
      <c r="AN874" s="1">
        <v>2006.0</v>
      </c>
      <c r="AO874" s="1">
        <v>2006.0</v>
      </c>
      <c r="AQ874" s="3">
        <v>45160.0</v>
      </c>
      <c r="AR874" s="1" t="s">
        <v>3137</v>
      </c>
      <c r="AS874" s="1" t="s">
        <v>4037</v>
      </c>
      <c r="AT874" s="1" t="s">
        <v>31</v>
      </c>
      <c r="AX874" s="1">
        <v>0.0</v>
      </c>
      <c r="AY874" s="1">
        <v>1.0</v>
      </c>
    </row>
    <row r="875" spans="20:51" ht="15.75">
      <c r="T875" s="1">
        <v>890229.0</v>
      </c>
      <c r="U875" s="1"/>
      <c r="V875" s="1"/>
      <c r="W875" s="1"/>
      <c r="X875" s="1"/>
      <c r="Y875" s="1" t="s">
        <v>4038</v>
      </c>
      <c r="Z875" s="1" t="s">
        <v>4039</v>
      </c>
      <c r="AA875" s="1" t="s">
        <v>4040</v>
      </c>
      <c r="AB875" s="1"/>
      <c r="AC875" s="1"/>
      <c r="AD875" s="1"/>
      <c r="AE875" s="1"/>
      <c r="AG875" s="2" t="str">
        <f>"0374183139"</f>
        <v>0374183139</v>
      </c>
      <c r="AH875" s="2" t="str">
        <f>"9780374183134"</f>
        <v>9780374183134</v>
      </c>
      <c r="AI875" s="1">
        <v>0.0</v>
      </c>
      <c r="AJ875" s="1">
        <v>3.72</v>
      </c>
      <c r="AK875" s="1" t="s">
        <v>2722</v>
      </c>
      <c r="AL875" s="1" t="s">
        <v>41</v>
      </c>
      <c r="AM875" s="1">
        <v>257.0</v>
      </c>
      <c r="AN875" s="1">
        <v>1977.0</v>
      </c>
      <c r="AO875" s="1">
        <v>1977.0</v>
      </c>
      <c r="AQ875" s="3">
        <v>45160.0</v>
      </c>
      <c r="AR875" s="1" t="s">
        <v>2433</v>
      </c>
      <c r="AS875" s="1" t="s">
        <v>4041</v>
      </c>
      <c r="AT875" s="1" t="s">
        <v>31</v>
      </c>
      <c r="AX875" s="1">
        <v>0.0</v>
      </c>
      <c r="AY875" s="1">
        <v>1.0</v>
      </c>
    </row>
    <row r="876" spans="20:51" ht="15.75" hidden="1">
      <c r="T876" s="1">
        <v>1.8551852E7</v>
      </c>
      <c r="U876" s="1"/>
      <c r="V876" s="1"/>
      <c r="W876" s="1"/>
      <c r="X876" s="1"/>
      <c r="Y876" s="1" t="s">
        <v>4042</v>
      </c>
      <c r="Z876" s="1" t="s">
        <v>4043</v>
      </c>
      <c r="AA876" s="1" t="s">
        <v>4044</v>
      </c>
      <c r="AB876" s="1"/>
      <c r="AC876" s="1"/>
      <c r="AD876" s="1"/>
      <c r="AE876" s="1"/>
      <c r="AG876" s="2" t="str">
        <f>"1299866131"</f>
        <v>1299866131</v>
      </c>
      <c r="AH876" s="2" t="str">
        <f>"9781299866133"</f>
        <v>9781299866133</v>
      </c>
      <c r="AI876" s="1">
        <v>0.0</v>
      </c>
      <c r="AJ876" s="1">
        <v>4.23</v>
      </c>
      <c r="AK876" s="1" t="s">
        <v>4045</v>
      </c>
      <c r="AL876" s="1" t="s">
        <v>41</v>
      </c>
      <c r="AM876" s="1">
        <v>113.0</v>
      </c>
      <c r="AN876" s="1">
        <v>1966.0</v>
      </c>
      <c r="AO876" s="1">
        <v>1945.0</v>
      </c>
      <c r="AQ876" s="3">
        <v>45161.0</v>
      </c>
      <c r="AR876" s="1" t="s">
        <v>3144</v>
      </c>
      <c r="AS876" s="1" t="s">
        <v>4046</v>
      </c>
      <c r="AT876" s="1" t="s">
        <v>31</v>
      </c>
      <c r="AX876" s="1">
        <v>0.0</v>
      </c>
      <c r="AY876" s="1">
        <v>1.0</v>
      </c>
    </row>
    <row r="877" spans="20:51" ht="15.75">
      <c r="T877" s="1">
        <v>3711.0</v>
      </c>
      <c r="U877" s="1"/>
      <c r="V877" s="1"/>
      <c r="W877" s="1"/>
      <c r="X877" s="1"/>
      <c r="Y877" s="1" t="s">
        <v>4047</v>
      </c>
      <c r="Z877" s="1" t="s">
        <v>4048</v>
      </c>
      <c r="AA877" s="1" t="s">
        <v>4049</v>
      </c>
      <c r="AB877" s="1"/>
      <c r="AC877" s="1"/>
      <c r="AD877" s="1"/>
      <c r="AE877" s="1"/>
      <c r="AG877" s="2" t="str">
        <f>"0375703861"</f>
        <v>0375703861</v>
      </c>
      <c r="AH877" s="2" t="str">
        <f>"9780375703867"</f>
        <v>9780375703867</v>
      </c>
      <c r="AI877" s="1">
        <v>0.0</v>
      </c>
      <c r="AJ877" s="1">
        <v>3.79</v>
      </c>
      <c r="AK877" s="1" t="s">
        <v>83</v>
      </c>
      <c r="AL877" s="1" t="s">
        <v>28</v>
      </c>
      <c r="AM877" s="1">
        <v>448.0</v>
      </c>
      <c r="AN877" s="1">
        <v>2001.0</v>
      </c>
      <c r="AO877" s="1">
        <v>2000.0</v>
      </c>
      <c r="AQ877" s="3">
        <v>45152.0</v>
      </c>
      <c r="AR877" s="1" t="s">
        <v>2433</v>
      </c>
      <c r="AS877" s="1" t="s">
        <v>4050</v>
      </c>
      <c r="AT877" s="1" t="s">
        <v>31</v>
      </c>
      <c r="AX877" s="1">
        <v>0.0</v>
      </c>
      <c r="AY877" s="1">
        <v>1.0</v>
      </c>
    </row>
    <row r="878" spans="20:51" ht="15.75" hidden="1">
      <c r="T878" s="1">
        <v>65335.0</v>
      </c>
      <c r="U878" s="1"/>
      <c r="V878" s="1"/>
      <c r="W878" s="1"/>
      <c r="X878" s="1"/>
      <c r="Y878" s="1" t="s">
        <v>1255</v>
      </c>
      <c r="Z878" s="1" t="s">
        <v>4051</v>
      </c>
      <c r="AA878" s="1" t="s">
        <v>4052</v>
      </c>
      <c r="AB878" s="1"/>
      <c r="AC878" s="1"/>
      <c r="AD878" s="1"/>
      <c r="AE878" s="1"/>
      <c r="AG878" s="2" t="str">
        <f>"067972818X"</f>
        <v>067972818X</v>
      </c>
      <c r="AH878" s="2" t="str">
        <f>"9780679728184"</f>
        <v>9780679728184</v>
      </c>
      <c r="AI878" s="1">
        <v>0.0</v>
      </c>
      <c r="AJ878" s="1">
        <v>4.31</v>
      </c>
      <c r="AK878" s="1" t="s">
        <v>83</v>
      </c>
      <c r="AL878" s="1" t="s">
        <v>28</v>
      </c>
      <c r="AM878" s="1">
        <v>297.0</v>
      </c>
      <c r="AN878" s="1">
        <v>1990.0</v>
      </c>
      <c r="AO878" s="1">
        <v>1959.0</v>
      </c>
      <c r="AQ878" s="3">
        <v>45143.0</v>
      </c>
      <c r="AR878" s="1" t="s">
        <v>3159</v>
      </c>
      <c r="AS878" s="1" t="s">
        <v>4053</v>
      </c>
      <c r="AT878" s="1" t="s">
        <v>31</v>
      </c>
      <c r="AX878" s="1">
        <v>0.0</v>
      </c>
      <c r="AY878" s="1">
        <v>1.0</v>
      </c>
    </row>
    <row r="879" spans="20:51" ht="15.75" hidden="1">
      <c r="T879" s="1">
        <v>1.30030232E8</v>
      </c>
      <c r="U879" s="1"/>
      <c r="V879" s="1"/>
      <c r="W879" s="1"/>
      <c r="X879" s="1"/>
      <c r="Y879" s="1" t="s">
        <v>4054</v>
      </c>
      <c r="Z879" s="1" t="s">
        <v>4055</v>
      </c>
      <c r="AA879" s="1" t="s">
        <v>4056</v>
      </c>
      <c r="AB879" s="1"/>
      <c r="AC879" s="1"/>
      <c r="AD879" s="1"/>
      <c r="AE879" s="1"/>
      <c r="AG879" s="2" t="str">
        <f t="shared" si="62" ref="AG879:AH879">""</f>
        <v/>
      </c>
      <c r="AH879" s="2" t="str">
        <f t="shared" si="62"/>
        <v/>
      </c>
      <c r="AI879" s="1">
        <v>0.0</v>
      </c>
      <c r="AJ879" s="1">
        <v>4.46</v>
      </c>
      <c r="AK879" s="1" t="s">
        <v>4057</v>
      </c>
      <c r="AL879" s="1" t="s">
        <v>28</v>
      </c>
      <c r="AO879" s="1">
        <v>1923.0</v>
      </c>
      <c r="AQ879" s="3">
        <v>45143.0</v>
      </c>
      <c r="AR879" s="1" t="s">
        <v>3159</v>
      </c>
      <c r="AS879" s="1" t="s">
        <v>4058</v>
      </c>
      <c r="AT879" s="1" t="s">
        <v>31</v>
      </c>
      <c r="AX879" s="1">
        <v>0.0</v>
      </c>
      <c r="AY879" s="1">
        <v>1.0</v>
      </c>
    </row>
    <row r="880" spans="20:51" ht="15.75" hidden="1">
      <c r="T880" s="1">
        <v>33313.0</v>
      </c>
      <c r="U880" s="1"/>
      <c r="V880" s="1"/>
      <c r="W880" s="1"/>
      <c r="X880" s="1"/>
      <c r="Y880" s="1" t="s">
        <v>4059</v>
      </c>
      <c r="Z880" s="1" t="s">
        <v>2996</v>
      </c>
      <c r="AA880" s="1" t="s">
        <v>2997</v>
      </c>
      <c r="AB880" s="1"/>
      <c r="AC880" s="1"/>
      <c r="AD880" s="1"/>
      <c r="AE880" s="1"/>
      <c r="AG880" s="2" t="str">
        <f>"0060899220"</f>
        <v>0060899220</v>
      </c>
      <c r="AH880" s="2" t="str">
        <f>"9780060899226"</f>
        <v>9780060899226</v>
      </c>
      <c r="AI880" s="1">
        <v>0.0</v>
      </c>
      <c r="AJ880" s="1">
        <v>4.14</v>
      </c>
      <c r="AK880" s="1" t="s">
        <v>4060</v>
      </c>
      <c r="AL880" s="1" t="s">
        <v>28</v>
      </c>
      <c r="AM880" s="1">
        <v>312.0</v>
      </c>
      <c r="AN880" s="1">
        <v>2007.0</v>
      </c>
      <c r="AO880" s="1">
        <v>2000.0</v>
      </c>
      <c r="AQ880" s="3">
        <v>45159.0</v>
      </c>
      <c r="AR880" s="1" t="s">
        <v>1988</v>
      </c>
      <c r="AS880" s="1" t="s">
        <v>4061</v>
      </c>
      <c r="AT880" s="1" t="s">
        <v>31</v>
      </c>
      <c r="AX880" s="1">
        <v>0.0</v>
      </c>
      <c r="AY880" s="1">
        <v>1.0</v>
      </c>
    </row>
    <row r="881" spans="20:51" ht="15.75" hidden="1">
      <c r="T881" s="1">
        <v>838075.0</v>
      </c>
      <c r="U881" s="1"/>
      <c r="V881" s="1"/>
      <c r="W881" s="1"/>
      <c r="X881" s="1"/>
      <c r="Y881" s="1" t="s">
        <v>4062</v>
      </c>
      <c r="Z881" s="1" t="s">
        <v>4063</v>
      </c>
      <c r="AA881" s="1" t="s">
        <v>4064</v>
      </c>
      <c r="AB881" s="1"/>
      <c r="AC881" s="1"/>
      <c r="AD881" s="1"/>
      <c r="AE881" s="1"/>
      <c r="AG881" s="2" t="str">
        <f>"0060586532"</f>
        <v>0060586532</v>
      </c>
      <c r="AH881" s="2" t="str">
        <f>"9780060586539"</f>
        <v>9780060586539</v>
      </c>
      <c r="AI881" s="1">
        <v>0.0</v>
      </c>
      <c r="AJ881" s="1">
        <v>4.33</v>
      </c>
      <c r="AK881" s="1" t="s">
        <v>4065</v>
      </c>
      <c r="AL881" s="1" t="s">
        <v>4066</v>
      </c>
      <c r="AM881" s="1">
        <v>192.0</v>
      </c>
      <c r="AN881" s="1">
        <v>2004.0</v>
      </c>
      <c r="AO881" s="1">
        <v>1974.0</v>
      </c>
      <c r="AQ881" s="3">
        <v>45143.0</v>
      </c>
      <c r="AR881" s="1" t="s">
        <v>3159</v>
      </c>
      <c r="AS881" s="1" t="s">
        <v>4067</v>
      </c>
      <c r="AT881" s="1" t="s">
        <v>31</v>
      </c>
      <c r="AX881" s="1">
        <v>0.0</v>
      </c>
      <c r="AY881" s="1">
        <v>1.0</v>
      </c>
    </row>
    <row r="882" spans="20:51" ht="15.75" hidden="1">
      <c r="T882" s="1">
        <v>13233.0</v>
      </c>
      <c r="U882" s="1"/>
      <c r="V882" s="1"/>
      <c r="W882" s="1"/>
      <c r="X882" s="1"/>
      <c r="Y882" s="1" t="s">
        <v>4068</v>
      </c>
      <c r="Z882" s="1" t="s">
        <v>4069</v>
      </c>
      <c r="AA882" s="1" t="s">
        <v>4070</v>
      </c>
      <c r="AB882" s="1"/>
      <c r="AC882" s="1"/>
      <c r="AD882" s="1"/>
      <c r="AE882" s="1"/>
      <c r="AG882" s="2" t="str">
        <f>"0486204928"</f>
        <v>0486204928</v>
      </c>
      <c r="AH882" s="2" t="str">
        <f>"9780486204925"</f>
        <v>9780486204925</v>
      </c>
      <c r="AI882" s="1">
        <v>0.0</v>
      </c>
      <c r="AJ882" s="1">
        <v>3.98</v>
      </c>
      <c r="AK882" s="1" t="s">
        <v>540</v>
      </c>
      <c r="AL882" s="1" t="s">
        <v>28</v>
      </c>
      <c r="AM882" s="1">
        <v>352.0</v>
      </c>
      <c r="AN882" s="1">
        <v>1958.0</v>
      </c>
      <c r="AO882" s="1">
        <v>1958.0</v>
      </c>
      <c r="AQ882" s="3">
        <v>45143.0</v>
      </c>
      <c r="AR882" s="1" t="s">
        <v>3332</v>
      </c>
      <c r="AS882" s="1" t="s">
        <v>4071</v>
      </c>
      <c r="AT882" s="1" t="s">
        <v>31</v>
      </c>
      <c r="AX882" s="1">
        <v>0.0</v>
      </c>
      <c r="AY882" s="1">
        <v>1.0</v>
      </c>
    </row>
    <row r="883" spans="20:51" ht="15.75">
      <c r="T883" s="1">
        <v>249.0</v>
      </c>
      <c r="U883" s="1"/>
      <c r="V883" s="1"/>
      <c r="W883" s="1"/>
      <c r="X883" s="1"/>
      <c r="Y883" s="1" t="s">
        <v>4072</v>
      </c>
      <c r="Z883" s="1" t="s">
        <v>4073</v>
      </c>
      <c r="AA883" s="1" t="s">
        <v>4074</v>
      </c>
      <c r="AB883" s="1"/>
      <c r="AC883" s="1"/>
      <c r="AD883" s="1"/>
      <c r="AE883" s="1"/>
      <c r="AF883" s="1" t="s">
        <v>4075</v>
      </c>
      <c r="AG883" s="2" t="str">
        <f>"0802131786"</f>
        <v>0802131786</v>
      </c>
      <c r="AH883" s="2" t="str">
        <f>"9780802131782"</f>
        <v>9780802131782</v>
      </c>
      <c r="AI883" s="1">
        <v>0.0</v>
      </c>
      <c r="AJ883" s="1">
        <v>3.67</v>
      </c>
      <c r="AK883" s="1" t="s">
        <v>35</v>
      </c>
      <c r="AL883" s="1" t="s">
        <v>28</v>
      </c>
      <c r="AM883" s="1">
        <v>318.0</v>
      </c>
      <c r="AN883" s="1">
        <v>1994.0</v>
      </c>
      <c r="AO883" s="1">
        <v>1934.0</v>
      </c>
      <c r="AQ883" s="3">
        <v>45143.0</v>
      </c>
      <c r="AR883" s="1" t="s">
        <v>2433</v>
      </c>
      <c r="AS883" s="1" t="s">
        <v>4076</v>
      </c>
      <c r="AT883" s="1" t="s">
        <v>31</v>
      </c>
      <c r="AX883" s="1">
        <v>0.0</v>
      </c>
      <c r="AY883" s="1">
        <v>1.0</v>
      </c>
    </row>
    <row r="884" spans="20:51" ht="15.75">
      <c r="T884" s="1">
        <v>1.23188548E8</v>
      </c>
      <c r="U884" s="1"/>
      <c r="V884" s="1"/>
      <c r="W884" s="1"/>
      <c r="X884" s="1"/>
      <c r="Y884" s="1" t="s">
        <v>4077</v>
      </c>
      <c r="Z884" s="1" t="s">
        <v>4078</v>
      </c>
      <c r="AA884" s="1" t="s">
        <v>4079</v>
      </c>
      <c r="AB884" s="1"/>
      <c r="AC884" s="1"/>
      <c r="AD884" s="1"/>
      <c r="AE884" s="1"/>
      <c r="AG884" s="2" t="str">
        <f>"153873219X"</f>
        <v>153873219X</v>
      </c>
      <c r="AH884" s="2" t="str">
        <f>"9781538732199"</f>
        <v>9781538732199</v>
      </c>
      <c r="AI884" s="1">
        <v>0.0</v>
      </c>
      <c r="AJ884" s="1">
        <v>4.31</v>
      </c>
      <c r="AK884" s="1" t="s">
        <v>2248</v>
      </c>
      <c r="AL884" s="1" t="s">
        <v>28</v>
      </c>
      <c r="AM884" s="1">
        <v>423.0</v>
      </c>
      <c r="AN884" s="1">
        <v>2020.0</v>
      </c>
      <c r="AO884" s="1">
        <v>1998.0</v>
      </c>
      <c r="AQ884" s="3">
        <v>45143.0</v>
      </c>
      <c r="AR884" s="1" t="s">
        <v>2433</v>
      </c>
      <c r="AS884" s="1" t="s">
        <v>4080</v>
      </c>
      <c r="AT884" s="1" t="s">
        <v>31</v>
      </c>
      <c r="AX884" s="1">
        <v>0.0</v>
      </c>
      <c r="AY884" s="1">
        <v>1.0</v>
      </c>
    </row>
    <row r="885" spans="20:51" ht="15.75" hidden="1">
      <c r="T885" s="1">
        <v>440704.0</v>
      </c>
      <c r="U885" s="1"/>
      <c r="V885" s="1"/>
      <c r="W885" s="1"/>
      <c r="X885" s="1"/>
      <c r="Y885" s="1" t="s">
        <v>4081</v>
      </c>
      <c r="Z885" s="1" t="s">
        <v>4082</v>
      </c>
      <c r="AA885" s="1" t="s">
        <v>4083</v>
      </c>
      <c r="AB885" s="1"/>
      <c r="AC885" s="1"/>
      <c r="AD885" s="1"/>
      <c r="AE885" s="1"/>
      <c r="AG885" s="2" t="str">
        <f>"0801484634"</f>
        <v>0801484634</v>
      </c>
      <c r="AH885" s="2" t="str">
        <f>"9780801484636"</f>
        <v>9780801484636</v>
      </c>
      <c r="AI885" s="1">
        <v>0.0</v>
      </c>
      <c r="AJ885" s="1">
        <v>4.37</v>
      </c>
      <c r="AK885" s="1" t="s">
        <v>2533</v>
      </c>
      <c r="AL885" s="1" t="s">
        <v>28</v>
      </c>
      <c r="AM885" s="1">
        <v>192.0</v>
      </c>
      <c r="AN885" s="1">
        <v>1999.0</v>
      </c>
      <c r="AO885" s="1">
        <v>1997.0</v>
      </c>
      <c r="AQ885" s="3">
        <v>45143.0</v>
      </c>
      <c r="AR885" s="1" t="s">
        <v>3332</v>
      </c>
      <c r="AS885" s="1" t="s">
        <v>4084</v>
      </c>
      <c r="AT885" s="1" t="s">
        <v>31</v>
      </c>
      <c r="AX885" s="1">
        <v>0.0</v>
      </c>
      <c r="AY885" s="1">
        <v>1.0</v>
      </c>
    </row>
    <row r="886" spans="20:51" ht="15.75" hidden="1">
      <c r="T886" s="1">
        <v>4594564.0</v>
      </c>
      <c r="U886" s="1"/>
      <c r="V886" s="1"/>
      <c r="W886" s="1"/>
      <c r="X886" s="1"/>
      <c r="Y886" s="1" t="s">
        <v>4085</v>
      </c>
      <c r="Z886" s="1" t="s">
        <v>4086</v>
      </c>
      <c r="AA886" s="1" t="s">
        <v>4087</v>
      </c>
      <c r="AB886" s="1"/>
      <c r="AC886" s="1"/>
      <c r="AD886" s="1"/>
      <c r="AE886" s="1"/>
      <c r="AG886" s="2" t="str">
        <f>"0471180947"</f>
        <v>0471180947</v>
      </c>
      <c r="AH886" s="2" t="str">
        <f>"9780471180944"</f>
        <v>9780471180944</v>
      </c>
      <c r="AI886" s="1">
        <v>0.0</v>
      </c>
      <c r="AJ886" s="1">
        <v>3.33</v>
      </c>
      <c r="AK886" s="1" t="s">
        <v>2617</v>
      </c>
      <c r="AL886" s="1" t="s">
        <v>28</v>
      </c>
      <c r="AM886" s="1">
        <v>240.0</v>
      </c>
      <c r="AN886" s="1">
        <v>1997.0</v>
      </c>
      <c r="AO886" s="1">
        <v>1988.0</v>
      </c>
      <c r="AQ886" s="3">
        <v>45143.0</v>
      </c>
      <c r="AR886" s="1" t="s">
        <v>3189</v>
      </c>
      <c r="AS886" s="1" t="s">
        <v>4088</v>
      </c>
      <c r="AT886" s="1" t="s">
        <v>31</v>
      </c>
      <c r="AX886" s="1">
        <v>0.0</v>
      </c>
      <c r="AY886" s="1">
        <v>1.0</v>
      </c>
    </row>
    <row r="887" spans="20:51" ht="15.75" hidden="1">
      <c r="T887" s="1">
        <v>1081213.0</v>
      </c>
      <c r="U887" s="1"/>
      <c r="V887" s="1"/>
      <c r="W887" s="1"/>
      <c r="X887" s="1"/>
      <c r="Y887" s="1" t="s">
        <v>4089</v>
      </c>
      <c r="Z887" s="1" t="s">
        <v>4090</v>
      </c>
      <c r="AA887" s="1" t="s">
        <v>4091</v>
      </c>
      <c r="AB887" s="1"/>
      <c r="AC887" s="1"/>
      <c r="AD887" s="1"/>
      <c r="AE887" s="1"/>
      <c r="AG887" s="2" t="str">
        <f>"0070510989"</f>
        <v>0070510989</v>
      </c>
      <c r="AH887" s="2" t="str">
        <f>"9780070510982"</f>
        <v>9780070510982</v>
      </c>
      <c r="AI887" s="1">
        <v>0.0</v>
      </c>
      <c r="AJ887" s="1">
        <v>3.73</v>
      </c>
      <c r="AK887" s="1" t="s">
        <v>4092</v>
      </c>
      <c r="AL887" s="1" t="s">
        <v>28</v>
      </c>
      <c r="AM887" s="1">
        <v>169.0</v>
      </c>
      <c r="AN887" s="1">
        <v>1994.0</v>
      </c>
      <c r="AO887" s="1">
        <v>2003.0</v>
      </c>
      <c r="AQ887" s="3">
        <v>45132.0</v>
      </c>
      <c r="AR887" s="1" t="s">
        <v>3332</v>
      </c>
      <c r="AS887" s="1" t="s">
        <v>4093</v>
      </c>
      <c r="AT887" s="1" t="s">
        <v>31</v>
      </c>
      <c r="AX887" s="1">
        <v>0.0</v>
      </c>
      <c r="AY887" s="1">
        <v>1.0</v>
      </c>
    </row>
    <row r="888" spans="20:51" ht="15.75" hidden="1">
      <c r="T888" s="1">
        <v>74640.0</v>
      </c>
      <c r="U888" s="1"/>
      <c r="V888" s="1"/>
      <c r="W888" s="1"/>
      <c r="X888" s="1"/>
      <c r="Y888" s="1" t="s">
        <v>4094</v>
      </c>
      <c r="Z888" s="1" t="s">
        <v>4095</v>
      </c>
      <c r="AA888" s="1" t="s">
        <v>4096</v>
      </c>
      <c r="AB888" s="1"/>
      <c r="AC888" s="1"/>
      <c r="AD888" s="1"/>
      <c r="AE888" s="1"/>
      <c r="AG888" s="2" t="str">
        <f>"0192805576"</f>
        <v>0192805576</v>
      </c>
      <c r="AH888" s="2" t="str">
        <f>"9780192805577"</f>
        <v>9780192805577</v>
      </c>
      <c r="AI888" s="1">
        <v>0.0</v>
      </c>
      <c r="AJ888" s="1">
        <v>3.72</v>
      </c>
      <c r="AK888" s="1" t="s">
        <v>214</v>
      </c>
      <c r="AL888" s="1" t="s">
        <v>28</v>
      </c>
      <c r="AM888" s="1">
        <v>135.0</v>
      </c>
      <c r="AN888" s="1">
        <v>2005.0</v>
      </c>
      <c r="AO888" s="1">
        <v>2005.0</v>
      </c>
      <c r="AQ888" s="3">
        <v>45129.0</v>
      </c>
      <c r="AR888" s="1" t="s">
        <v>3332</v>
      </c>
      <c r="AS888" s="1" t="s">
        <v>4097</v>
      </c>
      <c r="AT888" s="1" t="s">
        <v>31</v>
      </c>
      <c r="AX888" s="1">
        <v>0.0</v>
      </c>
      <c r="AY888" s="1">
        <v>1.0</v>
      </c>
    </row>
    <row r="889" spans="20:51" ht="15.75" hidden="1">
      <c r="T889" s="1">
        <v>321538.0</v>
      </c>
      <c r="U889" s="1"/>
      <c r="V889" s="1"/>
      <c r="W889" s="1"/>
      <c r="X889" s="1"/>
      <c r="Y889" s="1" t="s">
        <v>1228</v>
      </c>
      <c r="Z889" s="1" t="s">
        <v>1070</v>
      </c>
      <c r="AA889" s="1" t="s">
        <v>4098</v>
      </c>
      <c r="AB889" s="1"/>
      <c r="AC889" s="1"/>
      <c r="AD889" s="1"/>
      <c r="AE889" s="1"/>
      <c r="AF889" s="1" t="s">
        <v>4099</v>
      </c>
      <c r="AG889" s="2" t="str">
        <f>"0679731970"</f>
        <v>0679731970</v>
      </c>
      <c r="AH889" s="2" t="str">
        <f>"9780679731979"</f>
        <v>9780679731979</v>
      </c>
      <c r="AI889" s="1">
        <v>0.0</v>
      </c>
      <c r="AJ889" s="1">
        <v>4.27</v>
      </c>
      <c r="AK889" s="1" t="s">
        <v>83</v>
      </c>
      <c r="AL889" s="1" t="s">
        <v>28</v>
      </c>
      <c r="AM889" s="1">
        <v>960.0</v>
      </c>
      <c r="AN889" s="1">
        <v>1991.0</v>
      </c>
      <c r="AO889" s="1">
        <v>1976.0</v>
      </c>
      <c r="AQ889" s="3">
        <v>45129.0</v>
      </c>
      <c r="AR889" s="1" t="s">
        <v>3159</v>
      </c>
      <c r="AS889" s="1" t="s">
        <v>4100</v>
      </c>
      <c r="AT889" s="1" t="s">
        <v>31</v>
      </c>
      <c r="AX889" s="1">
        <v>0.0</v>
      </c>
      <c r="AY889" s="1">
        <v>1.0</v>
      </c>
    </row>
    <row r="890" spans="20:51" ht="15.75" hidden="1">
      <c r="T890" s="1">
        <v>1.38691236E8</v>
      </c>
      <c r="U890" s="1"/>
      <c r="V890" s="1"/>
      <c r="W890" s="1"/>
      <c r="X890" s="1"/>
      <c r="Y890" s="1" t="s">
        <v>4101</v>
      </c>
      <c r="Z890" s="1" t="s">
        <v>4102</v>
      </c>
      <c r="AA890" s="1" t="s">
        <v>4103</v>
      </c>
      <c r="AB890" s="1"/>
      <c r="AC890" s="1"/>
      <c r="AD890" s="1"/>
      <c r="AE890" s="1"/>
      <c r="AF890" s="1" t="s">
        <v>4104</v>
      </c>
      <c r="AG890" s="2" t="str">
        <f t="shared" si="63" ref="AG890:AH890">""</f>
        <v/>
      </c>
      <c r="AH890" s="2" t="str">
        <f t="shared" si="63"/>
        <v/>
      </c>
      <c r="AI890" s="1">
        <v>0.0</v>
      </c>
      <c r="AJ890" s="1">
        <v>4.12</v>
      </c>
      <c r="AK890" s="1" t="s">
        <v>4105</v>
      </c>
      <c r="AL890" s="1" t="s">
        <v>28</v>
      </c>
      <c r="AM890" s="1">
        <v>757.0</v>
      </c>
      <c r="AN890" s="1">
        <v>2011.0</v>
      </c>
      <c r="AO890" s="1">
        <v>1855.0</v>
      </c>
      <c r="AQ890" s="3">
        <v>45129.0</v>
      </c>
      <c r="AR890" s="1" t="s">
        <v>3159</v>
      </c>
      <c r="AS890" s="1" t="s">
        <v>4106</v>
      </c>
      <c r="AT890" s="1" t="s">
        <v>31</v>
      </c>
      <c r="AX890" s="1">
        <v>0.0</v>
      </c>
      <c r="AY890" s="1">
        <v>1.0</v>
      </c>
    </row>
    <row r="891" spans="20:51" ht="15.75" hidden="1">
      <c r="T891" s="1">
        <v>7511949.0</v>
      </c>
      <c r="U891" s="1"/>
      <c r="V891" s="1"/>
      <c r="W891" s="1"/>
      <c r="X891" s="1"/>
      <c r="Y891" s="1" t="s">
        <v>4107</v>
      </c>
      <c r="Z891" s="1" t="s">
        <v>4108</v>
      </c>
      <c r="AA891" s="1" t="s">
        <v>4109</v>
      </c>
      <c r="AB891" s="1"/>
      <c r="AC891" s="1"/>
      <c r="AD891" s="1"/>
      <c r="AE891" s="1"/>
      <c r="AF891" s="1" t="s">
        <v>4110</v>
      </c>
      <c r="AG891" s="2" t="str">
        <f>"0872209784"</f>
        <v>0872209784</v>
      </c>
      <c r="AH891" s="2" t="str">
        <f>"9780872209787"</f>
        <v>9780872209787</v>
      </c>
      <c r="AI891" s="1">
        <v>0.0</v>
      </c>
      <c r="AJ891" s="1">
        <v>3.91</v>
      </c>
      <c r="AK891" s="1" t="s">
        <v>4111</v>
      </c>
      <c r="AL891" s="1" t="s">
        <v>28</v>
      </c>
      <c r="AM891" s="1">
        <v>848.0</v>
      </c>
      <c r="AN891" s="1">
        <v>2009.0</v>
      </c>
      <c r="AO891" s="1">
        <v>1998.0</v>
      </c>
      <c r="AQ891" s="3">
        <v>45132.0</v>
      </c>
      <c r="AR891" s="1" t="s">
        <v>3332</v>
      </c>
      <c r="AS891" s="1" t="s">
        <v>4112</v>
      </c>
      <c r="AT891" s="1" t="s">
        <v>31</v>
      </c>
      <c r="AX891" s="1">
        <v>0.0</v>
      </c>
      <c r="AY891" s="1">
        <v>1.0</v>
      </c>
    </row>
    <row r="892" spans="20:51" ht="15.75" hidden="1">
      <c r="T892" s="1">
        <v>4.5865956E7</v>
      </c>
      <c r="U892" s="1"/>
      <c r="V892" s="1"/>
      <c r="W892" s="1"/>
      <c r="X892" s="1"/>
      <c r="Y892" s="1" t="s">
        <v>4113</v>
      </c>
      <c r="Z892" s="1" t="s">
        <v>4114</v>
      </c>
      <c r="AA892" s="1" t="s">
        <v>4115</v>
      </c>
      <c r="AB892" s="1"/>
      <c r="AC892" s="1"/>
      <c r="AD892" s="1"/>
      <c r="AE892" s="1"/>
      <c r="AF892" s="1" t="s">
        <v>2955</v>
      </c>
      <c r="AG892" s="2" t="str">
        <f t="shared" si="64" ref="AG892:AH892">""</f>
        <v/>
      </c>
      <c r="AH892" s="2" t="str">
        <f t="shared" si="64"/>
        <v/>
      </c>
      <c r="AI892" s="1">
        <v>0.0</v>
      </c>
      <c r="AJ892" s="1">
        <v>4.07</v>
      </c>
      <c r="AK892" s="1" t="s">
        <v>83</v>
      </c>
      <c r="AL892" s="1" t="s">
        <v>28</v>
      </c>
      <c r="AM892" s="1">
        <v>393.0</v>
      </c>
      <c r="AN892" s="1">
        <v>2010.0</v>
      </c>
      <c r="AO892" s="1">
        <v>1984.0</v>
      </c>
      <c r="AQ892" s="3">
        <v>45129.0</v>
      </c>
      <c r="AR892" s="1" t="s">
        <v>3332</v>
      </c>
      <c r="AS892" s="1" t="s">
        <v>4116</v>
      </c>
      <c r="AT892" s="1" t="s">
        <v>31</v>
      </c>
      <c r="AX892" s="1">
        <v>0.0</v>
      </c>
      <c r="AY892" s="1">
        <v>1.0</v>
      </c>
    </row>
    <row r="893" spans="20:51" ht="15.75" hidden="1">
      <c r="T893" s="1">
        <v>926643.0</v>
      </c>
      <c r="U893" s="1"/>
      <c r="V893" s="1"/>
      <c r="W893" s="1"/>
      <c r="X893" s="1"/>
      <c r="Y893" s="1" t="s">
        <v>4117</v>
      </c>
      <c r="Z893" s="1" t="s">
        <v>4118</v>
      </c>
      <c r="AA893" s="1" t="s">
        <v>4119</v>
      </c>
      <c r="AB893" s="1"/>
      <c r="AC893" s="1"/>
      <c r="AD893" s="1"/>
      <c r="AE893" s="1"/>
      <c r="AF893" s="1" t="s">
        <v>4120</v>
      </c>
      <c r="AG893" s="2" t="str">
        <f>"0805031359"</f>
        <v>0805031359</v>
      </c>
      <c r="AH893" s="2" t="str">
        <f>"9780805031355"</f>
        <v>9780805031355</v>
      </c>
      <c r="AI893" s="1">
        <v>0.0</v>
      </c>
      <c r="AJ893" s="1">
        <v>3.84</v>
      </c>
      <c r="AK893" s="1" t="s">
        <v>4121</v>
      </c>
      <c r="AL893" s="1" t="s">
        <v>41</v>
      </c>
      <c r="AM893" s="1">
        <v>124.0</v>
      </c>
      <c r="AN893" s="1">
        <v>1994.0</v>
      </c>
      <c r="AO893" s="1">
        <v>1994.0</v>
      </c>
      <c r="AQ893" s="3">
        <v>45129.0</v>
      </c>
      <c r="AR893" s="1" t="s">
        <v>3159</v>
      </c>
      <c r="AS893" s="1" t="s">
        <v>4122</v>
      </c>
      <c r="AT893" s="1" t="s">
        <v>31</v>
      </c>
      <c r="AX893" s="1">
        <v>0.0</v>
      </c>
      <c r="AY893" s="1">
        <v>1.0</v>
      </c>
    </row>
    <row r="894" spans="20:51" ht="15.75" hidden="1">
      <c r="T894" s="1">
        <v>715551.0</v>
      </c>
      <c r="U894" s="1"/>
      <c r="V894" s="1"/>
      <c r="W894" s="1"/>
      <c r="X894" s="1"/>
      <c r="Y894" s="1" t="s">
        <v>4123</v>
      </c>
      <c r="Z894" s="1" t="s">
        <v>4124</v>
      </c>
      <c r="AA894" s="1" t="s">
        <v>4125</v>
      </c>
      <c r="AB894" s="1"/>
      <c r="AC894" s="1"/>
      <c r="AD894" s="1"/>
      <c r="AE894" s="1"/>
      <c r="AF894" s="1" t="s">
        <v>4126</v>
      </c>
      <c r="AG894" s="2" t="str">
        <f>"0155073966"</f>
        <v>0155073966</v>
      </c>
      <c r="AH894" s="2" t="str">
        <f>"9780155073968"</f>
        <v>9780155073968</v>
      </c>
      <c r="AI894" s="1">
        <v>0.0</v>
      </c>
      <c r="AJ894" s="1">
        <v>3.9</v>
      </c>
      <c r="AK894" s="1" t="s">
        <v>4127</v>
      </c>
      <c r="AL894" s="1" t="s">
        <v>28</v>
      </c>
      <c r="AM894" s="1">
        <v>434.0</v>
      </c>
      <c r="AN894" s="1">
        <v>2000.0</v>
      </c>
      <c r="AO894" s="1">
        <v>1956.0</v>
      </c>
      <c r="AQ894" s="3">
        <v>45129.0</v>
      </c>
      <c r="AR894" s="1" t="s">
        <v>3159</v>
      </c>
      <c r="AS894" s="1" t="s">
        <v>4128</v>
      </c>
      <c r="AT894" s="1" t="s">
        <v>31</v>
      </c>
      <c r="AX894" s="1">
        <v>0.0</v>
      </c>
      <c r="AY894" s="1">
        <v>1.0</v>
      </c>
    </row>
    <row r="895" spans="20:51" ht="15.75" hidden="1">
      <c r="T895" s="1">
        <v>51715.0</v>
      </c>
      <c r="U895" s="1"/>
      <c r="V895" s="1"/>
      <c r="W895" s="1"/>
      <c r="X895" s="1"/>
      <c r="Y895" s="1" t="s">
        <v>4129</v>
      </c>
      <c r="Z895" s="1" t="s">
        <v>4130</v>
      </c>
      <c r="AA895" s="1" t="s">
        <v>4131</v>
      </c>
      <c r="AB895" s="1"/>
      <c r="AC895" s="1"/>
      <c r="AD895" s="1"/>
      <c r="AE895" s="1"/>
      <c r="AG895" s="2" t="str">
        <f>"0374521506"</f>
        <v>0374521506</v>
      </c>
      <c r="AH895" s="2" t="str">
        <f>"9780374521509"</f>
        <v>9780374521509</v>
      </c>
      <c r="AI895" s="1">
        <v>0.0</v>
      </c>
      <c r="AJ895" s="1">
        <v>4.09</v>
      </c>
      <c r="AK895" s="1" t="s">
        <v>89</v>
      </c>
      <c r="AL895" s="1" t="s">
        <v>28</v>
      </c>
      <c r="AM895" s="1">
        <v>160.0</v>
      </c>
      <c r="AN895" s="1">
        <v>1972.0</v>
      </c>
      <c r="AO895" s="1">
        <v>1957.0</v>
      </c>
      <c r="AQ895" s="3">
        <v>45129.0</v>
      </c>
      <c r="AR895" s="1" t="s">
        <v>3137</v>
      </c>
      <c r="AS895" s="1" t="s">
        <v>4132</v>
      </c>
      <c r="AT895" s="1" t="s">
        <v>31</v>
      </c>
      <c r="AX895" s="1">
        <v>0.0</v>
      </c>
      <c r="AY895" s="1">
        <v>1.0</v>
      </c>
    </row>
    <row r="896" spans="20:51" ht="15.75" hidden="1">
      <c r="T896" s="1">
        <v>257146.0</v>
      </c>
      <c r="U896" s="1"/>
      <c r="V896" s="1"/>
      <c r="W896" s="1"/>
      <c r="X896" s="1"/>
      <c r="Y896" s="1" t="s">
        <v>4133</v>
      </c>
      <c r="Z896" s="1" t="s">
        <v>4134</v>
      </c>
      <c r="AA896" s="1" t="s">
        <v>4135</v>
      </c>
      <c r="AB896" s="1"/>
      <c r="AC896" s="1"/>
      <c r="AD896" s="1"/>
      <c r="AE896" s="1"/>
      <c r="AG896" s="2" t="str">
        <f>"006090528X"</f>
        <v>006090528X</v>
      </c>
      <c r="AH896" s="2" t="str">
        <f>"9780060905286"</f>
        <v>9780060905286</v>
      </c>
      <c r="AI896" s="1">
        <v>0.0</v>
      </c>
      <c r="AJ896" s="1">
        <v>4.12</v>
      </c>
      <c r="AK896" s="1" t="s">
        <v>474</v>
      </c>
      <c r="AL896" s="1" t="s">
        <v>28</v>
      </c>
      <c r="AM896" s="1">
        <v>252.0</v>
      </c>
      <c r="AN896" s="1">
        <v>1968.0</v>
      </c>
      <c r="AO896" s="1">
        <v>1952.0</v>
      </c>
      <c r="AQ896" s="3">
        <v>45129.0</v>
      </c>
      <c r="AR896" s="1" t="s">
        <v>3332</v>
      </c>
      <c r="AS896" s="1" t="s">
        <v>4136</v>
      </c>
      <c r="AT896" s="1" t="s">
        <v>31</v>
      </c>
      <c r="AX896" s="1">
        <v>0.0</v>
      </c>
      <c r="AY896" s="1">
        <v>1.0</v>
      </c>
    </row>
    <row r="897" spans="20:51" ht="15.75" hidden="1">
      <c r="T897" s="1">
        <v>461959.0</v>
      </c>
      <c r="U897" s="1"/>
      <c r="V897" s="1"/>
      <c r="W897" s="1"/>
      <c r="X897" s="1"/>
      <c r="Y897" s="1" t="s">
        <v>4137</v>
      </c>
      <c r="Z897" s="1" t="s">
        <v>4138</v>
      </c>
      <c r="AA897" s="1" t="s">
        <v>4139</v>
      </c>
      <c r="AB897" s="1"/>
      <c r="AC897" s="1"/>
      <c r="AD897" s="1"/>
      <c r="AE897" s="1"/>
      <c r="AG897" s="2" t="str">
        <f>"1555971652"</f>
        <v>1555971652</v>
      </c>
      <c r="AH897" s="2" t="str">
        <f>"9781555971656"</f>
        <v>9781555971656</v>
      </c>
      <c r="AI897" s="1">
        <v>0.0</v>
      </c>
      <c r="AJ897" s="1">
        <v>4.32</v>
      </c>
      <c r="AK897" s="1" t="s">
        <v>971</v>
      </c>
      <c r="AL897" s="1" t="s">
        <v>28</v>
      </c>
      <c r="AM897" s="1">
        <v>222.0</v>
      </c>
      <c r="AN897" s="1">
        <v>1992.0</v>
      </c>
      <c r="AO897" s="1">
        <v>1992.0</v>
      </c>
      <c r="AQ897" s="3">
        <v>45129.0</v>
      </c>
      <c r="AR897" s="1" t="s">
        <v>3159</v>
      </c>
      <c r="AS897" s="1" t="s">
        <v>4140</v>
      </c>
      <c r="AT897" s="1" t="s">
        <v>31</v>
      </c>
      <c r="AX897" s="1">
        <v>0.0</v>
      </c>
      <c r="AY897" s="1">
        <v>1.0</v>
      </c>
    </row>
    <row r="898" spans="20:51" ht="15.75" hidden="1">
      <c r="T898" s="1">
        <v>6313553.0</v>
      </c>
      <c r="U898" s="1"/>
      <c r="V898" s="1"/>
      <c r="W898" s="1"/>
      <c r="X898" s="1"/>
      <c r="Y898" s="1" t="s">
        <v>4141</v>
      </c>
      <c r="Z898" s="1" t="s">
        <v>4142</v>
      </c>
      <c r="AA898" s="1" t="s">
        <v>4143</v>
      </c>
      <c r="AB898" s="1"/>
      <c r="AC898" s="1"/>
      <c r="AD898" s="1"/>
      <c r="AE898" s="1"/>
      <c r="AG898" s="2" t="str">
        <f>"1598801872"</f>
        <v>1598801872</v>
      </c>
      <c r="AH898" s="2" t="str">
        <f>"9781598801873"</f>
        <v>9781598801873</v>
      </c>
      <c r="AI898" s="1">
        <v>0.0</v>
      </c>
      <c r="AJ898" s="1">
        <v>3.97</v>
      </c>
      <c r="AK898" s="1" t="s">
        <v>4142</v>
      </c>
      <c r="AL898" s="1" t="s">
        <v>28</v>
      </c>
      <c r="AM898" s="1">
        <v>544.0</v>
      </c>
      <c r="AN898" s="1">
        <v>2008.0</v>
      </c>
      <c r="AO898" s="1">
        <v>1995.0</v>
      </c>
      <c r="AQ898" s="3">
        <v>45116.0</v>
      </c>
      <c r="AR898" s="1" t="s">
        <v>3189</v>
      </c>
      <c r="AS898" s="1" t="s">
        <v>4144</v>
      </c>
      <c r="AT898" s="1" t="s">
        <v>31</v>
      </c>
      <c r="AX898" s="1">
        <v>0.0</v>
      </c>
      <c r="AY898" s="1">
        <v>1.0</v>
      </c>
    </row>
    <row r="899" spans="20:51" ht="15.75" hidden="1">
      <c r="T899" s="1">
        <v>795929.0</v>
      </c>
      <c r="U899" s="1"/>
      <c r="V899" s="1"/>
      <c r="W899" s="1"/>
      <c r="X899" s="1"/>
      <c r="Y899" s="1" t="s">
        <v>4145</v>
      </c>
      <c r="Z899" s="1" t="s">
        <v>4146</v>
      </c>
      <c r="AA899" s="1" t="s">
        <v>4147</v>
      </c>
      <c r="AB899" s="1"/>
      <c r="AC899" s="1"/>
      <c r="AD899" s="1"/>
      <c r="AE899" s="1"/>
      <c r="AF899" s="1" t="s">
        <v>4148</v>
      </c>
      <c r="AG899" s="2" t="str">
        <f>"0717800539"</f>
        <v>0717800539</v>
      </c>
      <c r="AH899" s="2" t="str">
        <f>"9780717800537"</f>
        <v>9780717800537</v>
      </c>
      <c r="AI899" s="1">
        <v>0.0</v>
      </c>
      <c r="AJ899" s="1">
        <v>4.15</v>
      </c>
      <c r="AK899" s="1" t="s">
        <v>4149</v>
      </c>
      <c r="AL899" s="1" t="s">
        <v>28</v>
      </c>
      <c r="AM899" s="1">
        <v>192.0</v>
      </c>
      <c r="AN899" s="1">
        <v>1980.0</v>
      </c>
      <c r="AO899" s="1">
        <v>1844.0</v>
      </c>
      <c r="AQ899" s="3">
        <v>45129.0</v>
      </c>
      <c r="AR899" s="1" t="s">
        <v>3332</v>
      </c>
      <c r="AS899" s="1" t="s">
        <v>4150</v>
      </c>
      <c r="AT899" s="1" t="s">
        <v>31</v>
      </c>
      <c r="AX899" s="1">
        <v>0.0</v>
      </c>
      <c r="AY899" s="1">
        <v>1.0</v>
      </c>
    </row>
    <row r="900" spans="20:51" ht="15.75">
      <c r="T900" s="1">
        <v>109395.0</v>
      </c>
      <c r="U900" s="1"/>
      <c r="V900" s="1"/>
      <c r="W900" s="1"/>
      <c r="X900" s="1"/>
      <c r="Y900" s="1" t="s">
        <v>4151</v>
      </c>
      <c r="Z900" s="1" t="s">
        <v>4152</v>
      </c>
      <c r="AA900" s="1" t="s">
        <v>4153</v>
      </c>
      <c r="AB900" s="1"/>
      <c r="AC900" s="1"/>
      <c r="AD900" s="1"/>
      <c r="AE900" s="1"/>
      <c r="AF900" s="1" t="s">
        <v>4154</v>
      </c>
      <c r="AG900" s="2" t="str">
        <f>"0802136915"</f>
        <v>0802136915</v>
      </c>
      <c r="AH900" s="2" t="str">
        <f>"9780802136916"</f>
        <v>9780802136916</v>
      </c>
      <c r="AI900" s="1">
        <v>0.0</v>
      </c>
      <c r="AJ900" s="1">
        <v>3.64</v>
      </c>
      <c r="AK900" s="1" t="s">
        <v>35</v>
      </c>
      <c r="AL900" s="1" t="s">
        <v>28</v>
      </c>
      <c r="AM900" s="1">
        <v>363.0</v>
      </c>
      <c r="AN900" s="1">
        <v>2000.0</v>
      </c>
      <c r="AO900" s="1">
        <v>1978.0</v>
      </c>
      <c r="AQ900" s="3">
        <v>45114.0</v>
      </c>
      <c r="AR900" s="1" t="s">
        <v>2433</v>
      </c>
      <c r="AS900" s="1" t="s">
        <v>4155</v>
      </c>
      <c r="AT900" s="1" t="s">
        <v>31</v>
      </c>
      <c r="AX900" s="1">
        <v>0.0</v>
      </c>
      <c r="AY900" s="1">
        <v>1.0</v>
      </c>
    </row>
    <row r="901" spans="20:51" ht="15.75">
      <c r="T901" s="1">
        <v>4.8582344E7</v>
      </c>
      <c r="U901" s="1"/>
      <c r="V901" s="1"/>
      <c r="W901" s="1"/>
      <c r="X901" s="1"/>
      <c r="Y901" s="1" t="s">
        <v>4156</v>
      </c>
      <c r="Z901" s="1" t="s">
        <v>4157</v>
      </c>
      <c r="AA901" s="1" t="s">
        <v>4158</v>
      </c>
      <c r="AB901" s="1"/>
      <c r="AC901" s="1"/>
      <c r="AD901" s="1"/>
      <c r="AE901" s="1"/>
      <c r="AF901" s="1" t="s">
        <v>4159</v>
      </c>
      <c r="AG901" s="2" t="str">
        <f>"0099470454"</f>
        <v>0099470454</v>
      </c>
      <c r="AH901" s="2" t="str">
        <f>"9780099470458"</f>
        <v>9780099470458</v>
      </c>
      <c r="AI901" s="1">
        <v>0.0</v>
      </c>
      <c r="AJ901" s="1">
        <v>3.79</v>
      </c>
      <c r="AK901" s="1" t="s">
        <v>83</v>
      </c>
      <c r="AL901" s="1" t="s">
        <v>28</v>
      </c>
      <c r="AM901" s="1">
        <v>172.0</v>
      </c>
      <c r="AN901" s="1">
        <v>2004.0</v>
      </c>
      <c r="AO901" s="1">
        <v>1925.0</v>
      </c>
      <c r="AQ901" s="3">
        <v>45114.0</v>
      </c>
      <c r="AR901" s="1" t="s">
        <v>2433</v>
      </c>
      <c r="AS901" s="1" t="s">
        <v>4160</v>
      </c>
      <c r="AT901" s="1" t="s">
        <v>31</v>
      </c>
      <c r="AX901" s="1">
        <v>0.0</v>
      </c>
      <c r="AY901" s="1">
        <v>1.0</v>
      </c>
    </row>
    <row r="902" spans="20:51" ht="15.75" hidden="1">
      <c r="T902" s="1">
        <v>3804239.0</v>
      </c>
      <c r="U902" s="1"/>
      <c r="V902" s="1"/>
      <c r="W902" s="1"/>
      <c r="X902" s="1"/>
      <c r="Y902" s="1" t="s">
        <v>4161</v>
      </c>
      <c r="Z902" s="1" t="s">
        <v>4162</v>
      </c>
      <c r="AA902" s="1" t="s">
        <v>4163</v>
      </c>
      <c r="AB902" s="1"/>
      <c r="AC902" s="1"/>
      <c r="AD902" s="1"/>
      <c r="AE902" s="1"/>
      <c r="AG902" s="2" t="str">
        <f>"9509122432"</f>
        <v>9509122432</v>
      </c>
      <c r="AH902" s="2" t="str">
        <f>"9789509122437"</f>
        <v>9789509122437</v>
      </c>
      <c r="AI902" s="1">
        <v>0.0</v>
      </c>
      <c r="AJ902" s="1">
        <v>3.64</v>
      </c>
      <c r="AK902" s="1" t="s">
        <v>4164</v>
      </c>
      <c r="AL902" s="1" t="s">
        <v>28</v>
      </c>
      <c r="AM902" s="1">
        <v>144.0</v>
      </c>
      <c r="AN902" s="1">
        <v>2008.0</v>
      </c>
      <c r="AO902" s="1">
        <v>1991.0</v>
      </c>
      <c r="AQ902" s="3">
        <v>45113.0</v>
      </c>
      <c r="AR902" s="1" t="s">
        <v>3137</v>
      </c>
      <c r="AS902" s="1" t="s">
        <v>4165</v>
      </c>
      <c r="AT902" s="1" t="s">
        <v>31</v>
      </c>
      <c r="AX902" s="1">
        <v>0.0</v>
      </c>
      <c r="AY902" s="1">
        <v>1.0</v>
      </c>
    </row>
    <row r="903" spans="20:51" ht="15.75" hidden="1">
      <c r="T903" s="1">
        <v>1681593.0</v>
      </c>
      <c r="U903" s="1"/>
      <c r="V903" s="1"/>
      <c r="W903" s="1"/>
      <c r="X903" s="1"/>
      <c r="Y903" s="1" t="s">
        <v>4166</v>
      </c>
      <c r="Z903" s="1" t="s">
        <v>4167</v>
      </c>
      <c r="AA903" s="1" t="s">
        <v>4168</v>
      </c>
      <c r="AB903" s="1"/>
      <c r="AC903" s="1"/>
      <c r="AD903" s="1"/>
      <c r="AE903" s="1"/>
      <c r="AF903" s="1" t="s">
        <v>4169</v>
      </c>
      <c r="AG903" s="2" t="str">
        <f>"0143105132"</f>
        <v>0143105132</v>
      </c>
      <c r="AH903" s="2" t="str">
        <f>"9780143105138"</f>
        <v>9780143105138</v>
      </c>
      <c r="AI903" s="1">
        <v>0.0</v>
      </c>
      <c r="AJ903" s="1">
        <v>3.86</v>
      </c>
      <c r="AK903" s="1" t="s">
        <v>232</v>
      </c>
      <c r="AL903" s="1" t="s">
        <v>28</v>
      </c>
      <c r="AM903" s="1">
        <v>484.0</v>
      </c>
      <c r="AN903" s="1">
        <v>2008.0</v>
      </c>
      <c r="AO903" s="1">
        <v>-19.0</v>
      </c>
      <c r="AQ903" s="3">
        <v>45113.0</v>
      </c>
      <c r="AR903" s="1" t="s">
        <v>3927</v>
      </c>
      <c r="AS903" s="1" t="s">
        <v>4170</v>
      </c>
      <c r="AT903" s="1" t="s">
        <v>31</v>
      </c>
      <c r="AX903" s="1">
        <v>0.0</v>
      </c>
      <c r="AY903" s="1">
        <v>1.0</v>
      </c>
    </row>
    <row r="904" spans="20:51" ht="15.75" hidden="1">
      <c r="T904" s="1">
        <v>119226.0</v>
      </c>
      <c r="U904" s="1"/>
      <c r="V904" s="1"/>
      <c r="W904" s="1"/>
      <c r="X904" s="1"/>
      <c r="Y904" s="1" t="s">
        <v>4171</v>
      </c>
      <c r="Z904" s="1" t="s">
        <v>4172</v>
      </c>
      <c r="AA904" s="1" t="s">
        <v>4173</v>
      </c>
      <c r="AB904" s="1"/>
      <c r="AC904" s="1"/>
      <c r="AD904" s="1"/>
      <c r="AE904" s="1"/>
      <c r="AG904" s="2" t="str">
        <f>"0571105483"</f>
        <v>0571105483</v>
      </c>
      <c r="AH904" s="2" t="str">
        <f>"9780571105489"</f>
        <v>9780571105489</v>
      </c>
      <c r="AI904" s="1">
        <v>0.0</v>
      </c>
      <c r="AJ904" s="1">
        <v>4.29</v>
      </c>
      <c r="AK904" s="1" t="s">
        <v>285</v>
      </c>
      <c r="AL904" s="1" t="s">
        <v>28</v>
      </c>
      <c r="AM904" s="1">
        <v>238.0</v>
      </c>
      <c r="AN904" s="1">
        <v>2002.0</v>
      </c>
      <c r="AO904" s="1">
        <v>1963.0</v>
      </c>
      <c r="AQ904" s="3">
        <v>45113.0</v>
      </c>
      <c r="AR904" s="1" t="s">
        <v>3159</v>
      </c>
      <c r="AS904" s="1" t="s">
        <v>4174</v>
      </c>
      <c r="AT904" s="1" t="s">
        <v>31</v>
      </c>
      <c r="AX904" s="1">
        <v>0.0</v>
      </c>
      <c r="AY904" s="1">
        <v>1.0</v>
      </c>
    </row>
    <row r="905" spans="20:51" ht="15.75" hidden="1">
      <c r="T905" s="1">
        <v>150251.0</v>
      </c>
      <c r="U905" s="1"/>
      <c r="V905" s="1"/>
      <c r="W905" s="1"/>
      <c r="X905" s="1"/>
      <c r="Y905" s="1" t="s">
        <v>4175</v>
      </c>
      <c r="Z905" s="1" t="s">
        <v>638</v>
      </c>
      <c r="AA905" s="1" t="s">
        <v>639</v>
      </c>
      <c r="AB905" s="1"/>
      <c r="AC905" s="1"/>
      <c r="AD905" s="1"/>
      <c r="AE905" s="1"/>
      <c r="AG905" s="2" t="str">
        <f>"0375708421"</f>
        <v>0375708421</v>
      </c>
      <c r="AH905" s="2" t="str">
        <f>"9780375708428"</f>
        <v>9780375708428</v>
      </c>
      <c r="AI905" s="1">
        <v>0.0</v>
      </c>
      <c r="AJ905" s="1">
        <v>4.27</v>
      </c>
      <c r="AK905" s="1" t="s">
        <v>83</v>
      </c>
      <c r="AL905" s="1" t="s">
        <v>28</v>
      </c>
      <c r="AM905" s="1">
        <v>260.0</v>
      </c>
      <c r="AN905" s="1">
        <v>2000.0</v>
      </c>
      <c r="AO905" s="1">
        <v>1995.0</v>
      </c>
      <c r="AQ905" s="3">
        <v>45113.0</v>
      </c>
      <c r="AR905" s="1" t="s">
        <v>3164</v>
      </c>
      <c r="AS905" s="1" t="s">
        <v>4176</v>
      </c>
      <c r="AT905" s="1" t="s">
        <v>31</v>
      </c>
      <c r="AX905" s="1">
        <v>0.0</v>
      </c>
      <c r="AY905" s="1">
        <v>1.0</v>
      </c>
    </row>
    <row r="906" spans="20:51" ht="15.75" hidden="1">
      <c r="T906" s="1">
        <v>32560.0</v>
      </c>
      <c r="U906" s="1"/>
      <c r="V906" s="1"/>
      <c r="W906" s="1"/>
      <c r="X906" s="1"/>
      <c r="Y906" s="1" t="s">
        <v>4177</v>
      </c>
      <c r="Z906" s="1" t="s">
        <v>164</v>
      </c>
      <c r="AA906" s="1" t="s">
        <v>165</v>
      </c>
      <c r="AB906" s="1"/>
      <c r="AC906" s="1"/>
      <c r="AD906" s="1"/>
      <c r="AE906" s="1"/>
      <c r="AF906" s="1" t="s">
        <v>4178</v>
      </c>
      <c r="AG906" s="2" t="str">
        <f>"0805208739"</f>
        <v>0805208739</v>
      </c>
      <c r="AH906" s="2" t="str">
        <f>"9780805208733"</f>
        <v>9780805208733</v>
      </c>
      <c r="AI906" s="1">
        <v>0.0</v>
      </c>
      <c r="AJ906" s="1">
        <v>4.34</v>
      </c>
      <c r="AK906" s="1" t="s">
        <v>4179</v>
      </c>
      <c r="AL906" s="1" t="s">
        <v>28</v>
      </c>
      <c r="AM906" s="1">
        <v>488.0</v>
      </c>
      <c r="AN906" s="1">
        <v>1988.0</v>
      </c>
      <c r="AO906" s="1">
        <v>1946.0</v>
      </c>
      <c r="AQ906" s="3">
        <v>45114.0</v>
      </c>
      <c r="AR906" s="1" t="s">
        <v>3231</v>
      </c>
      <c r="AS906" s="1" t="s">
        <v>4180</v>
      </c>
      <c r="AT906" s="1" t="s">
        <v>31</v>
      </c>
      <c r="AX906" s="1">
        <v>0.0</v>
      </c>
      <c r="AY906" s="1">
        <v>1.0</v>
      </c>
    </row>
    <row r="907" spans="20:51" ht="15.75" hidden="1">
      <c r="T907" s="1">
        <v>2.1874691E7</v>
      </c>
      <c r="U907" s="1"/>
      <c r="V907" s="1"/>
      <c r="W907" s="1"/>
      <c r="X907" s="1"/>
      <c r="Y907" s="1" t="s">
        <v>4181</v>
      </c>
      <c r="Z907" s="1" t="s">
        <v>4104</v>
      </c>
      <c r="AA907" s="1" t="s">
        <v>4182</v>
      </c>
      <c r="AB907" s="1"/>
      <c r="AC907" s="1"/>
      <c r="AD907" s="1"/>
      <c r="AE907" s="1"/>
      <c r="AF907" s="1" t="s">
        <v>4183</v>
      </c>
      <c r="AG907" s="2" t="str">
        <f>"0300206291"</f>
        <v>0300206291</v>
      </c>
      <c r="AH907" s="2" t="str">
        <f>"9780300206296"</f>
        <v>9780300206296</v>
      </c>
      <c r="AI907" s="1">
        <v>0.0</v>
      </c>
      <c r="AJ907" s="1">
        <v>3.78</v>
      </c>
      <c r="AK907" s="1" t="s">
        <v>545</v>
      </c>
      <c r="AL907" s="1" t="s">
        <v>28</v>
      </c>
      <c r="AM907" s="1">
        <v>176.0</v>
      </c>
      <c r="AN907" s="1">
        <v>2014.0</v>
      </c>
      <c r="AO907" s="1">
        <v>1981.0</v>
      </c>
      <c r="AQ907" s="3">
        <v>45113.0</v>
      </c>
      <c r="AR907" s="1" t="s">
        <v>3159</v>
      </c>
      <c r="AS907" s="1" t="s">
        <v>4184</v>
      </c>
      <c r="AT907" s="1" t="s">
        <v>31</v>
      </c>
      <c r="AX907" s="1">
        <v>0.0</v>
      </c>
      <c r="AY907" s="1">
        <v>1.0</v>
      </c>
    </row>
    <row r="908" spans="20:51" ht="15.75" hidden="1">
      <c r="T908" s="1">
        <v>1.8904171E7</v>
      </c>
      <c r="U908" s="1"/>
      <c r="V908" s="1"/>
      <c r="W908" s="1"/>
      <c r="X908" s="1"/>
      <c r="Y908" s="1" t="s">
        <v>4185</v>
      </c>
      <c r="Z908" s="1" t="s">
        <v>4186</v>
      </c>
      <c r="AA908" s="1" t="s">
        <v>4187</v>
      </c>
      <c r="AB908" s="1"/>
      <c r="AC908" s="1"/>
      <c r="AD908" s="1"/>
      <c r="AE908" s="1"/>
      <c r="AF908" s="1" t="s">
        <v>4188</v>
      </c>
      <c r="AG908" s="2" t="str">
        <f>"0872201880"</f>
        <v>0872201880</v>
      </c>
      <c r="AH908" s="2" t="str">
        <f>""</f>
        <v/>
      </c>
      <c r="AI908" s="1">
        <v>0.0</v>
      </c>
      <c r="AJ908" s="1">
        <v>3.93</v>
      </c>
      <c r="AK908" s="1" t="s">
        <v>3747</v>
      </c>
      <c r="AL908" s="1" t="s">
        <v>28</v>
      </c>
      <c r="AM908" s="1">
        <v>192.0</v>
      </c>
      <c r="AN908" s="1">
        <v>1993.0</v>
      </c>
      <c r="AO908" s="1">
        <v>395.0</v>
      </c>
      <c r="AQ908" s="3">
        <v>45113.0</v>
      </c>
      <c r="AR908" s="1" t="s">
        <v>3409</v>
      </c>
      <c r="AS908" s="1" t="s">
        <v>4189</v>
      </c>
      <c r="AT908" s="1" t="s">
        <v>31</v>
      </c>
      <c r="AX908" s="1">
        <v>1.0</v>
      </c>
      <c r="AY908" s="1">
        <v>1.0</v>
      </c>
    </row>
    <row r="909" spans="20:51" ht="15.75" hidden="1">
      <c r="T909" s="1">
        <v>2285578.0</v>
      </c>
      <c r="U909" s="1"/>
      <c r="V909" s="1"/>
      <c r="W909" s="1"/>
      <c r="X909" s="1"/>
      <c r="Y909" s="1" t="s">
        <v>4190</v>
      </c>
      <c r="Z909" s="1" t="s">
        <v>4191</v>
      </c>
      <c r="AA909" s="1" t="s">
        <v>4192</v>
      </c>
      <c r="AB909" s="1"/>
      <c r="AC909" s="1"/>
      <c r="AD909" s="1"/>
      <c r="AE909" s="1"/>
      <c r="AG909" s="2" t="str">
        <f>"0872201562"</f>
        <v>0872201562</v>
      </c>
      <c r="AH909" s="2" t="str">
        <f>"9780872201569"</f>
        <v>9780872201569</v>
      </c>
      <c r="AI909" s="1">
        <v>0.0</v>
      </c>
      <c r="AJ909" s="1">
        <v>3.83</v>
      </c>
      <c r="AK909" s="1" t="s">
        <v>4193</v>
      </c>
      <c r="AL909" s="1" t="s">
        <v>28</v>
      </c>
      <c r="AM909" s="1">
        <v>112.0</v>
      </c>
      <c r="AN909" s="1">
        <v>1992.0</v>
      </c>
      <c r="AO909" s="1">
        <v>1986.0</v>
      </c>
      <c r="AQ909" s="3">
        <v>45113.0</v>
      </c>
      <c r="AR909" s="1" t="s">
        <v>3189</v>
      </c>
      <c r="AS909" s="1" t="s">
        <v>4194</v>
      </c>
      <c r="AT909" s="1" t="s">
        <v>31</v>
      </c>
      <c r="AX909" s="1">
        <v>0.0</v>
      </c>
      <c r="AY909" s="1">
        <v>1.0</v>
      </c>
    </row>
    <row r="910" spans="20:51" ht="15.75" hidden="1">
      <c r="T910" s="1">
        <v>5.6213251E7</v>
      </c>
      <c r="U910" s="1"/>
      <c r="V910" s="1"/>
      <c r="W910" s="1"/>
      <c r="X910" s="1"/>
      <c r="Y910" s="1" t="s">
        <v>4195</v>
      </c>
      <c r="Z910" s="1" t="s">
        <v>4196</v>
      </c>
      <c r="AA910" s="1" t="s">
        <v>4197</v>
      </c>
      <c r="AB910" s="1"/>
      <c r="AC910" s="1"/>
      <c r="AD910" s="1"/>
      <c r="AE910" s="1"/>
      <c r="AG910" s="2" t="str">
        <f>"0691226032"</f>
        <v>0691226032</v>
      </c>
      <c r="AH910" s="2" t="str">
        <f>"9780691226033"</f>
        <v>9780691226033</v>
      </c>
      <c r="AI910" s="1">
        <v>0.0</v>
      </c>
      <c r="AJ910" s="1">
        <v>3.59</v>
      </c>
      <c r="AK910" s="1" t="s">
        <v>141</v>
      </c>
      <c r="AL910" s="1" t="s">
        <v>41</v>
      </c>
      <c r="AM910" s="1">
        <v>80.0</v>
      </c>
      <c r="AN910" s="1">
        <v>2021.0</v>
      </c>
      <c r="AO910" s="1">
        <v>1986.0</v>
      </c>
      <c r="AQ910" s="3">
        <v>45113.0</v>
      </c>
      <c r="AR910" s="1" t="s">
        <v>3332</v>
      </c>
      <c r="AS910" s="1" t="s">
        <v>4198</v>
      </c>
      <c r="AT910" s="1" t="s">
        <v>31</v>
      </c>
      <c r="AX910" s="1">
        <v>0.0</v>
      </c>
      <c r="AY910" s="1">
        <v>1.0</v>
      </c>
    </row>
    <row r="911" spans="20:51" ht="15.75" hidden="1">
      <c r="T911" s="1">
        <v>150250.0</v>
      </c>
      <c r="U911" s="1"/>
      <c r="V911" s="1"/>
      <c r="W911" s="1"/>
      <c r="X911" s="1"/>
      <c r="Y911" s="1" t="s">
        <v>4199</v>
      </c>
      <c r="Z911" s="1" t="s">
        <v>638</v>
      </c>
      <c r="AA911" s="1" t="s">
        <v>639</v>
      </c>
      <c r="AB911" s="1"/>
      <c r="AC911" s="1"/>
      <c r="AD911" s="1"/>
      <c r="AE911" s="1"/>
      <c r="AG911" s="2" t="str">
        <f>"0811213021"</f>
        <v>0811213021</v>
      </c>
      <c r="AH911" s="2" t="str">
        <f>"9780811213028"</f>
        <v>9780811213028</v>
      </c>
      <c r="AI911" s="1">
        <v>0.0</v>
      </c>
      <c r="AJ911" s="1">
        <v>4.32</v>
      </c>
      <c r="AK911" s="1" t="s">
        <v>95</v>
      </c>
      <c r="AL911" s="1" t="s">
        <v>28</v>
      </c>
      <c r="AM911" s="1">
        <v>142.0</v>
      </c>
      <c r="AN911" s="1">
        <v>1995.0</v>
      </c>
      <c r="AO911" s="1">
        <v>1995.0</v>
      </c>
      <c r="AQ911" s="3">
        <v>45113.0</v>
      </c>
      <c r="AR911" s="1" t="s">
        <v>648</v>
      </c>
      <c r="AS911" s="1" t="s">
        <v>4200</v>
      </c>
      <c r="AT911" s="1" t="s">
        <v>31</v>
      </c>
      <c r="AX911" s="1">
        <v>0.0</v>
      </c>
      <c r="AY911" s="1">
        <v>1.0</v>
      </c>
    </row>
    <row r="912" spans="20:51" ht="15.75" hidden="1">
      <c r="T912" s="1">
        <v>2.0626006E7</v>
      </c>
      <c r="U912" s="1"/>
      <c r="V912" s="1"/>
      <c r="W912" s="1"/>
      <c r="X912" s="1"/>
      <c r="Y912" s="1" t="s">
        <v>4201</v>
      </c>
      <c r="Z912" s="1" t="s">
        <v>4202</v>
      </c>
      <c r="AA912" s="1" t="s">
        <v>4203</v>
      </c>
      <c r="AB912" s="1"/>
      <c r="AC912" s="1"/>
      <c r="AD912" s="1"/>
      <c r="AE912" s="1"/>
      <c r="AG912" s="2" t="str">
        <f t="shared" si="65" ref="AG912:AH912">""</f>
        <v/>
      </c>
      <c r="AH912" s="2" t="str">
        <f t="shared" si="65"/>
        <v/>
      </c>
      <c r="AI912" s="1">
        <v>0.0</v>
      </c>
      <c r="AJ912" s="1">
        <v>3.71</v>
      </c>
      <c r="AK912" s="1" t="s">
        <v>232</v>
      </c>
      <c r="AL912" s="1" t="s">
        <v>28</v>
      </c>
      <c r="AM912" s="1">
        <v>728.0</v>
      </c>
      <c r="AN912" s="1">
        <v>1985.0</v>
      </c>
      <c r="AO912" s="1">
        <v>1651.0</v>
      </c>
      <c r="AQ912" s="3">
        <v>45113.0</v>
      </c>
      <c r="AR912" s="1" t="s">
        <v>3332</v>
      </c>
      <c r="AS912" s="1" t="s">
        <v>4204</v>
      </c>
      <c r="AT912" s="1" t="s">
        <v>31</v>
      </c>
      <c r="AX912" s="1">
        <v>0.0</v>
      </c>
      <c r="AY912" s="1">
        <v>1.0</v>
      </c>
    </row>
    <row r="913" spans="20:51" ht="15.75" hidden="1">
      <c r="T913" s="1">
        <v>1.8687491E7</v>
      </c>
      <c r="U913" s="1"/>
      <c r="V913" s="1"/>
      <c r="W913" s="1"/>
      <c r="X913" s="1"/>
      <c r="Y913" s="1" t="s">
        <v>4205</v>
      </c>
      <c r="Z913" s="1" t="s">
        <v>1028</v>
      </c>
      <c r="AA913" s="1" t="s">
        <v>1029</v>
      </c>
      <c r="AB913" s="1"/>
      <c r="AC913" s="1"/>
      <c r="AD913" s="1"/>
      <c r="AE913" s="1"/>
      <c r="AF913" s="1" t="s">
        <v>4206</v>
      </c>
      <c r="AG913" s="2" t="str">
        <f t="shared" si="66" ref="AG913:AH913">""</f>
        <v/>
      </c>
      <c r="AH913" s="2" t="str">
        <f t="shared" si="66"/>
        <v/>
      </c>
      <c r="AI913" s="1">
        <v>0.0</v>
      </c>
      <c r="AJ913" s="1">
        <v>4.16</v>
      </c>
      <c r="AK913" s="1" t="s">
        <v>83</v>
      </c>
      <c r="AL913" s="1" t="s">
        <v>59</v>
      </c>
      <c r="AM913" s="1">
        <v>836.0</v>
      </c>
      <c r="AN913" s="1">
        <v>2012.0</v>
      </c>
      <c r="AO913" s="1">
        <v>1949.0</v>
      </c>
      <c r="AQ913" s="3">
        <v>45113.0</v>
      </c>
      <c r="AR913" s="1" t="s">
        <v>4207</v>
      </c>
      <c r="AS913" s="1" t="s">
        <v>4208</v>
      </c>
      <c r="AT913" s="1" t="s">
        <v>31</v>
      </c>
      <c r="AX913" s="1">
        <v>0.0</v>
      </c>
      <c r="AY913" s="1">
        <v>1.0</v>
      </c>
    </row>
    <row r="914" spans="20:51" ht="15.75" hidden="1">
      <c r="T914" s="1">
        <v>762359.0</v>
      </c>
      <c r="U914" s="1"/>
      <c r="V914" s="1"/>
      <c r="W914" s="1"/>
      <c r="X914" s="1"/>
      <c r="Y914" s="1" t="s">
        <v>4209</v>
      </c>
      <c r="Z914" s="1" t="s">
        <v>4210</v>
      </c>
      <c r="AA914" s="1" t="s">
        <v>4211</v>
      </c>
      <c r="AB914" s="1"/>
      <c r="AC914" s="1"/>
      <c r="AD914" s="1"/>
      <c r="AE914" s="1"/>
      <c r="AF914" s="1" t="s">
        <v>4212</v>
      </c>
      <c r="AG914" s="2" t="str">
        <f>"0192832719"</f>
        <v>0192832719</v>
      </c>
      <c r="AH914" s="2" t="str">
        <f>"9780192832719"</f>
        <v>9780192832719</v>
      </c>
      <c r="AI914" s="1">
        <v>0.0</v>
      </c>
      <c r="AJ914" s="1">
        <v>4.01</v>
      </c>
      <c r="AK914" s="1" t="s">
        <v>214</v>
      </c>
      <c r="AL914" s="1" t="s">
        <v>28</v>
      </c>
      <c r="AM914" s="1">
        <v>448.0</v>
      </c>
      <c r="AN914" s="1">
        <v>2001.0</v>
      </c>
      <c r="AO914" s="1">
        <v>121.0</v>
      </c>
      <c r="AQ914" s="3">
        <v>45113.0</v>
      </c>
      <c r="AR914" s="1" t="s">
        <v>3474</v>
      </c>
      <c r="AS914" s="1" t="s">
        <v>4213</v>
      </c>
      <c r="AT914" s="1" t="s">
        <v>31</v>
      </c>
      <c r="AX914" s="1">
        <v>0.0</v>
      </c>
      <c r="AY914" s="1">
        <v>1.0</v>
      </c>
    </row>
    <row r="915" spans="20:51" ht="15.75" hidden="1">
      <c r="T915" s="1">
        <v>54017.0</v>
      </c>
      <c r="U915" s="1"/>
      <c r="V915" s="1"/>
      <c r="W915" s="1"/>
      <c r="X915" s="1"/>
      <c r="Y915" s="1" t="s">
        <v>4214</v>
      </c>
      <c r="Z915" s="1" t="s">
        <v>3440</v>
      </c>
      <c r="AA915" s="1" t="s">
        <v>3441</v>
      </c>
      <c r="AB915" s="1"/>
      <c r="AC915" s="1"/>
      <c r="AD915" s="1"/>
      <c r="AE915" s="1"/>
      <c r="AG915" s="2" t="str">
        <f>"9500702029"</f>
        <v>9500702029</v>
      </c>
      <c r="AH915" s="2" t="str">
        <f>"9789500702027"</f>
        <v>9789500702027</v>
      </c>
      <c r="AI915" s="1">
        <v>0.0</v>
      </c>
      <c r="AJ915" s="1">
        <v>4.3</v>
      </c>
      <c r="AK915" s="1" t="s">
        <v>4215</v>
      </c>
      <c r="AL915" s="1" t="s">
        <v>28</v>
      </c>
      <c r="AM915" s="1">
        <v>200.0</v>
      </c>
      <c r="AN915" s="1">
        <v>1966.0</v>
      </c>
      <c r="AO915" s="1">
        <v>1966.0</v>
      </c>
      <c r="AQ915" s="3">
        <v>44814.0</v>
      </c>
      <c r="AR915" s="1" t="s">
        <v>3231</v>
      </c>
      <c r="AS915" s="1" t="s">
        <v>4216</v>
      </c>
      <c r="AT915" s="1" t="s">
        <v>31</v>
      </c>
      <c r="AX915" s="1">
        <v>0.0</v>
      </c>
      <c r="AY915" s="1">
        <v>1.0</v>
      </c>
    </row>
    <row r="916" spans="20:51" ht="15.75" hidden="1">
      <c r="T916" s="1">
        <v>526929.0</v>
      </c>
      <c r="U916" s="1"/>
      <c r="V916" s="1"/>
      <c r="W916" s="1"/>
      <c r="X916" s="1"/>
      <c r="Y916" s="1" t="s">
        <v>4217</v>
      </c>
      <c r="Z916" s="1" t="s">
        <v>1256</v>
      </c>
      <c r="AA916" s="1" t="s">
        <v>1257</v>
      </c>
      <c r="AB916" s="1"/>
      <c r="AC916" s="1"/>
      <c r="AD916" s="1"/>
      <c r="AE916" s="1"/>
      <c r="AF916" s="1" t="s">
        <v>4218</v>
      </c>
      <c r="AG916" s="2" t="str">
        <f>"0394172701"</f>
        <v>0394172701</v>
      </c>
      <c r="AH916" s="2" t="str">
        <f>"9780394172705"</f>
        <v>9780394172705</v>
      </c>
      <c r="AI916" s="1">
        <v>0.0</v>
      </c>
      <c r="AJ916" s="1">
        <v>4.36</v>
      </c>
      <c r="AK916" s="1" t="s">
        <v>4219</v>
      </c>
      <c r="AL916" s="1" t="s">
        <v>28</v>
      </c>
      <c r="AM916" s="1">
        <v>210.0</v>
      </c>
      <c r="AN916" s="1">
        <v>1967.0</v>
      </c>
      <c r="AO916" s="1">
        <v>1961.0</v>
      </c>
      <c r="AQ916" s="3">
        <v>44814.0</v>
      </c>
      <c r="AR916" s="1" t="s">
        <v>3164</v>
      </c>
      <c r="AS916" s="1" t="s">
        <v>4220</v>
      </c>
      <c r="AT916" s="1" t="s">
        <v>31</v>
      </c>
      <c r="AX916" s="1">
        <v>0.0</v>
      </c>
      <c r="AY916" s="1">
        <v>1.0</v>
      </c>
    </row>
    <row r="917" spans="20:51" ht="15.75">
      <c r="T917" s="1">
        <v>9777.0</v>
      </c>
      <c r="U917" s="1"/>
      <c r="V917" s="1"/>
      <c r="W917" s="1"/>
      <c r="X917" s="1"/>
      <c r="Y917" s="1" t="s">
        <v>4221</v>
      </c>
      <c r="Z917" s="1" t="s">
        <v>4222</v>
      </c>
      <c r="AA917" s="1" t="s">
        <v>4223</v>
      </c>
      <c r="AB917" s="1"/>
      <c r="AC917" s="1"/>
      <c r="AD917" s="1"/>
      <c r="AE917" s="1"/>
      <c r="AG917" s="2" t="str">
        <f>"0679457313"</f>
        <v>0679457313</v>
      </c>
      <c r="AH917" s="2" t="str">
        <f>"9780679457312"</f>
        <v>9780679457312</v>
      </c>
      <c r="AI917" s="1">
        <v>0.0</v>
      </c>
      <c r="AJ917" s="1">
        <v>3.95</v>
      </c>
      <c r="AK917" s="1" t="s">
        <v>988</v>
      </c>
      <c r="AL917" s="1" t="s">
        <v>28</v>
      </c>
      <c r="AM917" s="1">
        <v>321.0</v>
      </c>
      <c r="AN917" s="1">
        <v>1997.0</v>
      </c>
      <c r="AO917" s="1">
        <v>1997.0</v>
      </c>
      <c r="AQ917" s="3">
        <v>45111.0</v>
      </c>
      <c r="AR917" s="1" t="s">
        <v>4224</v>
      </c>
      <c r="AS917" s="1" t="s">
        <v>4225</v>
      </c>
      <c r="AT917" s="1" t="s">
        <v>31</v>
      </c>
      <c r="AX917" s="1">
        <v>0.0</v>
      </c>
      <c r="AY917" s="1">
        <v>1.0</v>
      </c>
    </row>
    <row r="918" spans="20:51" ht="15.75">
      <c r="T918" s="1">
        <v>5.181548E7</v>
      </c>
      <c r="U918" s="1"/>
      <c r="V918" s="1"/>
      <c r="W918" s="1"/>
      <c r="X918" s="1"/>
      <c r="Y918" s="1" t="s">
        <v>4226</v>
      </c>
      <c r="Z918" s="1" t="s">
        <v>4227</v>
      </c>
      <c r="AA918" s="1" t="s">
        <v>4228</v>
      </c>
      <c r="AB918" s="1"/>
      <c r="AC918" s="1"/>
      <c r="AD918" s="1"/>
      <c r="AE918" s="1"/>
      <c r="AG918" s="2" t="str">
        <f>"0312924585"</f>
        <v>0312924585</v>
      </c>
      <c r="AH918" s="2" t="str">
        <f>"9780312924584"</f>
        <v>9780312924584</v>
      </c>
      <c r="AI918" s="1">
        <v>0.0</v>
      </c>
      <c r="AJ918" s="1">
        <v>4.24</v>
      </c>
      <c r="AK918" s="1" t="s">
        <v>4229</v>
      </c>
      <c r="AL918" s="1" t="s">
        <v>315</v>
      </c>
      <c r="AM918" s="1">
        <v>367.0</v>
      </c>
      <c r="AN918" s="1">
        <v>1989.0</v>
      </c>
      <c r="AO918" s="1">
        <v>1988.0</v>
      </c>
      <c r="AQ918" s="3">
        <v>45113.0</v>
      </c>
      <c r="AR918" s="1" t="s">
        <v>2433</v>
      </c>
      <c r="AS918" s="1" t="s">
        <v>4230</v>
      </c>
      <c r="AT918" s="1" t="s">
        <v>31</v>
      </c>
      <c r="AX918" s="1">
        <v>0.0</v>
      </c>
      <c r="AY918" s="1">
        <v>1.0</v>
      </c>
    </row>
    <row r="919" spans="20:51" ht="15.75" hidden="1">
      <c r="T919" s="1">
        <v>753252.0</v>
      </c>
      <c r="U919" s="1"/>
      <c r="V919" s="1"/>
      <c r="W919" s="1"/>
      <c r="X919" s="1"/>
      <c r="Y919" s="1" t="s">
        <v>4231</v>
      </c>
      <c r="Z919" s="1" t="s">
        <v>489</v>
      </c>
      <c r="AA919" s="1" t="s">
        <v>490</v>
      </c>
      <c r="AB919" s="1"/>
      <c r="AC919" s="1"/>
      <c r="AD919" s="1"/>
      <c r="AE919" s="1"/>
      <c r="AG919" s="2" t="str">
        <f>"0679733485"</f>
        <v>0679733485</v>
      </c>
      <c r="AH919" s="2" t="str">
        <f>"9780679733485"</f>
        <v>9780679733485</v>
      </c>
      <c r="AI919" s="1">
        <v>0.0</v>
      </c>
      <c r="AJ919" s="1">
        <v>4.24</v>
      </c>
      <c r="AK919" s="1" t="s">
        <v>83</v>
      </c>
      <c r="AL919" s="1" t="s">
        <v>28</v>
      </c>
      <c r="AM919" s="1">
        <v>416.0</v>
      </c>
      <c r="AN919" s="1">
        <v>1994.0</v>
      </c>
      <c r="AO919" s="1">
        <v>1988.0</v>
      </c>
      <c r="AQ919" s="3">
        <v>44965.0</v>
      </c>
      <c r="AR919" s="1" t="s">
        <v>4232</v>
      </c>
      <c r="AS919" s="1" t="s">
        <v>4233</v>
      </c>
      <c r="AT919" s="1" t="s">
        <v>31</v>
      </c>
      <c r="AX919" s="1">
        <v>0.0</v>
      </c>
      <c r="AY919" s="1">
        <v>1.0</v>
      </c>
    </row>
    <row r="920" spans="20:51" ht="15.75">
      <c r="T920" s="1">
        <v>1.1904658E7</v>
      </c>
      <c r="U920" s="1"/>
      <c r="V920" s="1"/>
      <c r="W920" s="1"/>
      <c r="X920" s="1"/>
      <c r="Y920" s="1">
        <v>1984.0</v>
      </c>
      <c r="Z920" s="1" t="s">
        <v>2089</v>
      </c>
      <c r="AA920" s="1" t="s">
        <v>2090</v>
      </c>
      <c r="AB920" s="1"/>
      <c r="AC920" s="1"/>
      <c r="AD920" s="1"/>
      <c r="AE920" s="1"/>
      <c r="AF920" s="1" t="s">
        <v>4234</v>
      </c>
      <c r="AG920" s="2" t="str">
        <f>"0451518004"</f>
        <v>0451518004</v>
      </c>
      <c r="AH920" s="2" t="str">
        <f>"9780451518002"</f>
        <v>9780451518002</v>
      </c>
      <c r="AI920" s="1">
        <v>0.0</v>
      </c>
      <c r="AJ920" s="1">
        <v>4.19</v>
      </c>
      <c r="AK920" s="1" t="s">
        <v>4235</v>
      </c>
      <c r="AL920" s="1" t="s">
        <v>315</v>
      </c>
      <c r="AM920" s="1">
        <v>268.0</v>
      </c>
      <c r="AN920" s="1">
        <v>1983.0</v>
      </c>
      <c r="AO920" s="1">
        <v>1949.0</v>
      </c>
      <c r="AQ920" s="3">
        <v>45113.0</v>
      </c>
      <c r="AR920" s="1" t="s">
        <v>2433</v>
      </c>
      <c r="AS920" s="1" t="s">
        <v>4236</v>
      </c>
      <c r="AT920" s="1" t="s">
        <v>31</v>
      </c>
      <c r="AX920" s="1">
        <v>0.0</v>
      </c>
      <c r="AY920" s="1">
        <v>1.0</v>
      </c>
    </row>
    <row r="921" spans="20:51" ht="15.75" hidden="1">
      <c r="T921" s="1">
        <v>1.3284053E7</v>
      </c>
      <c r="U921" s="1"/>
      <c r="V921" s="1"/>
      <c r="W921" s="1"/>
      <c r="X921" s="1"/>
      <c r="Y921" s="1" t="s">
        <v>4237</v>
      </c>
      <c r="Z921" s="1" t="s">
        <v>4238</v>
      </c>
      <c r="AA921" s="1" t="s">
        <v>4239</v>
      </c>
      <c r="AB921" s="1"/>
      <c r="AC921" s="1"/>
      <c r="AD921" s="1"/>
      <c r="AE921" s="1"/>
      <c r="AF921" s="1" t="s">
        <v>4240</v>
      </c>
      <c r="AG921" s="2" t="str">
        <f>"1844677125"</f>
        <v>1844677125</v>
      </c>
      <c r="AH921" s="2" t="str">
        <f>"9781844677122"</f>
        <v>9781844677122</v>
      </c>
      <c r="AI921" s="1">
        <v>0.0</v>
      </c>
      <c r="AJ921" s="1">
        <v>3.49</v>
      </c>
      <c r="AK921" s="1" t="s">
        <v>1125</v>
      </c>
      <c r="AL921" s="1" t="s">
        <v>28</v>
      </c>
      <c r="AM921" s="1">
        <v>240.0</v>
      </c>
      <c r="AN921" s="1">
        <v>2012.0</v>
      </c>
      <c r="AO921" s="1">
        <v>1992.0</v>
      </c>
      <c r="AQ921" s="3">
        <v>44814.0</v>
      </c>
      <c r="AR921" s="1" t="s">
        <v>3342</v>
      </c>
      <c r="AS921" s="1" t="s">
        <v>4241</v>
      </c>
      <c r="AT921" s="1" t="s">
        <v>31</v>
      </c>
      <c r="AX921" s="1">
        <v>0.0</v>
      </c>
      <c r="AY921" s="1">
        <v>1.0</v>
      </c>
    </row>
    <row r="922" spans="20:51" ht="15.75">
      <c r="T922" s="1">
        <v>1.38028985E8</v>
      </c>
      <c r="U922" s="1"/>
      <c r="V922" s="1"/>
      <c r="W922" s="1"/>
      <c r="X922" s="1"/>
      <c r="Y922" s="1" t="s">
        <v>4242</v>
      </c>
      <c r="Z922" s="1" t="s">
        <v>3912</v>
      </c>
      <c r="AA922" s="1" t="s">
        <v>3913</v>
      </c>
      <c r="AB922" s="1"/>
      <c r="AC922" s="1"/>
      <c r="AD922" s="1"/>
      <c r="AE922" s="1"/>
      <c r="AG922" s="2" t="str">
        <f t="shared" si="67" ref="AG922:AH922">""</f>
        <v/>
      </c>
      <c r="AH922" s="2" t="str">
        <f t="shared" si="67"/>
        <v/>
      </c>
      <c r="AI922" s="1">
        <v>0.0</v>
      </c>
      <c r="AJ922" s="1">
        <v>3.74</v>
      </c>
      <c r="AK922" s="1" t="s">
        <v>4243</v>
      </c>
      <c r="AL922" s="1" t="s">
        <v>41</v>
      </c>
      <c r="AN922" s="1">
        <v>1973.0</v>
      </c>
      <c r="AO922" s="1">
        <v>1969.0</v>
      </c>
      <c r="AQ922" s="3">
        <v>44814.0</v>
      </c>
      <c r="AR922" s="1" t="s">
        <v>2433</v>
      </c>
      <c r="AS922" s="1" t="s">
        <v>4244</v>
      </c>
      <c r="AT922" s="1" t="s">
        <v>31</v>
      </c>
      <c r="AX922" s="1">
        <v>0.0</v>
      </c>
      <c r="AY922" s="1">
        <v>1.0</v>
      </c>
    </row>
    <row r="923" spans="20:51" ht="15.75" hidden="1">
      <c r="T923" s="1">
        <v>33418.0</v>
      </c>
      <c r="U923" s="1"/>
      <c r="V923" s="1"/>
      <c r="W923" s="1"/>
      <c r="X923" s="1"/>
      <c r="Y923" s="1" t="s">
        <v>4245</v>
      </c>
      <c r="Z923" s="1" t="s">
        <v>4246</v>
      </c>
      <c r="AA923" s="1" t="s">
        <v>4247</v>
      </c>
      <c r="AB923" s="1"/>
      <c r="AC923" s="1"/>
      <c r="AD923" s="1"/>
      <c r="AE923" s="1"/>
      <c r="AG923" s="2" t="str">
        <f>"1400033721"</f>
        <v>1400033721</v>
      </c>
      <c r="AH923" s="2" t="str">
        <f>"9781400033720"</f>
        <v>9781400033720</v>
      </c>
      <c r="AI923" s="1">
        <v>0.0</v>
      </c>
      <c r="AJ923" s="1">
        <v>4.21</v>
      </c>
      <c r="AK923" s="1" t="s">
        <v>2017</v>
      </c>
      <c r="AL923" s="1" t="s">
        <v>28</v>
      </c>
      <c r="AM923" s="1">
        <v>361.0</v>
      </c>
      <c r="AN923" s="1">
        <v>2006.0</v>
      </c>
      <c r="AO923" s="1">
        <v>2004.0</v>
      </c>
      <c r="AQ923" s="3">
        <v>44814.0</v>
      </c>
      <c r="AR923" s="1" t="s">
        <v>3137</v>
      </c>
      <c r="AS923" s="1" t="s">
        <v>4248</v>
      </c>
      <c r="AT923" s="1" t="s">
        <v>31</v>
      </c>
      <c r="AX923" s="1">
        <v>0.0</v>
      </c>
      <c r="AY923" s="1">
        <v>1.0</v>
      </c>
    </row>
    <row r="924" spans="20:51" ht="15.75" hidden="1">
      <c r="T924" s="1">
        <v>5.7002466E7</v>
      </c>
      <c r="U924" s="1"/>
      <c r="V924" s="1"/>
      <c r="W924" s="1"/>
      <c r="X924" s="1"/>
      <c r="Y924" s="1" t="s">
        <v>4249</v>
      </c>
      <c r="Z924" s="1" t="s">
        <v>4250</v>
      </c>
      <c r="AA924" s="1" t="s">
        <v>4251</v>
      </c>
      <c r="AB924" s="1"/>
      <c r="AC924" s="1"/>
      <c r="AD924" s="1"/>
      <c r="AE924" s="1"/>
      <c r="AG924" s="2" t="str">
        <f t="shared" si="68" ref="AG924:AH924">""</f>
        <v/>
      </c>
      <c r="AH924" s="2" t="str">
        <f t="shared" si="68"/>
        <v/>
      </c>
      <c r="AI924" s="1">
        <v>0.0</v>
      </c>
      <c r="AJ924" s="1">
        <v>3.87</v>
      </c>
      <c r="AK924" s="1" t="s">
        <v>3169</v>
      </c>
      <c r="AL924" s="1" t="s">
        <v>41</v>
      </c>
      <c r="AM924" s="1">
        <v>376.0</v>
      </c>
      <c r="AN924" s="1">
        <v>1981.0</v>
      </c>
      <c r="AO924" s="1">
        <v>1977.0</v>
      </c>
      <c r="AQ924" s="3">
        <v>44814.0</v>
      </c>
      <c r="AR924" s="1" t="s">
        <v>3137</v>
      </c>
      <c r="AS924" s="1" t="s">
        <v>4252</v>
      </c>
      <c r="AT924" s="1" t="s">
        <v>31</v>
      </c>
      <c r="AX924" s="1">
        <v>0.0</v>
      </c>
      <c r="AY924" s="1">
        <v>1.0</v>
      </c>
    </row>
    <row r="925" spans="20:51" ht="15.75">
      <c r="T925" s="1">
        <v>3.4629308E7</v>
      </c>
      <c r="U925" s="1"/>
      <c r="V925" s="1"/>
      <c r="W925" s="1"/>
      <c r="X925" s="1"/>
      <c r="Y925" s="1" t="s">
        <v>4253</v>
      </c>
      <c r="Z925" s="1" t="s">
        <v>4254</v>
      </c>
      <c r="AA925" s="1" t="s">
        <v>4255</v>
      </c>
      <c r="AB925" s="1"/>
      <c r="AC925" s="1"/>
      <c r="AD925" s="1"/>
      <c r="AE925" s="1"/>
      <c r="AG925" s="2" t="str">
        <f t="shared" si="69" ref="AG925:AH925">""</f>
        <v/>
      </c>
      <c r="AH925" s="2" t="str">
        <f t="shared" si="69"/>
        <v/>
      </c>
      <c r="AI925" s="1">
        <v>0.0</v>
      </c>
      <c r="AJ925" s="1">
        <v>3.85</v>
      </c>
      <c r="AK925" s="1" t="s">
        <v>4256</v>
      </c>
      <c r="AM925" s="1">
        <v>140.0</v>
      </c>
      <c r="AN925" s="1">
        <v>1966.0</v>
      </c>
      <c r="AO925" s="1">
        <v>1965.0</v>
      </c>
      <c r="AQ925" s="3">
        <v>44814.0</v>
      </c>
      <c r="AR925" s="1" t="s">
        <v>2433</v>
      </c>
      <c r="AS925" s="1" t="s">
        <v>4257</v>
      </c>
      <c r="AT925" s="1" t="s">
        <v>31</v>
      </c>
      <c r="AX925" s="1">
        <v>0.0</v>
      </c>
      <c r="AY925" s="1">
        <v>1.0</v>
      </c>
    </row>
    <row r="926" spans="20:51" ht="15.75" hidden="1">
      <c r="T926" s="1">
        <v>17961.0</v>
      </c>
      <c r="U926" s="1"/>
      <c r="V926" s="1"/>
      <c r="W926" s="1"/>
      <c r="X926" s="1"/>
      <c r="Y926" s="1" t="s">
        <v>4258</v>
      </c>
      <c r="Z926" s="1" t="s">
        <v>1256</v>
      </c>
      <c r="AA926" s="1" t="s">
        <v>1257</v>
      </c>
      <c r="AB926" s="1"/>
      <c r="AC926" s="1"/>
      <c r="AD926" s="1"/>
      <c r="AE926" s="1"/>
      <c r="AG926" s="2" t="str">
        <f>"0140286802"</f>
        <v>0140286802</v>
      </c>
      <c r="AH926" s="2" t="str">
        <f>"9780140286809"</f>
        <v>9780140286809</v>
      </c>
      <c r="AI926" s="1">
        <v>0.0</v>
      </c>
      <c r="AJ926" s="1">
        <v>4.57</v>
      </c>
      <c r="AK926" s="1" t="s">
        <v>4259</v>
      </c>
      <c r="AL926" s="1" t="s">
        <v>28</v>
      </c>
      <c r="AM926" s="1">
        <v>565.0</v>
      </c>
      <c r="AN926" s="1">
        <v>1999.0</v>
      </c>
      <c r="AO926" s="1">
        <v>1998.0</v>
      </c>
      <c r="AQ926" s="3">
        <v>44814.0</v>
      </c>
      <c r="AR926" s="1" t="s">
        <v>3164</v>
      </c>
      <c r="AS926" s="1" t="s">
        <v>4260</v>
      </c>
      <c r="AT926" s="1" t="s">
        <v>31</v>
      </c>
      <c r="AX926" s="1">
        <v>0.0</v>
      </c>
      <c r="AY926" s="1">
        <v>1.0</v>
      </c>
    </row>
    <row r="927" spans="20:51" ht="15.75" hidden="1">
      <c r="T927" s="1">
        <v>3.4927404E7</v>
      </c>
      <c r="U927" s="1"/>
      <c r="V927" s="1"/>
      <c r="W927" s="1"/>
      <c r="X927" s="1"/>
      <c r="Y927" s="1" t="s">
        <v>4261</v>
      </c>
      <c r="Z927" s="1" t="s">
        <v>4262</v>
      </c>
      <c r="AA927" s="1" t="s">
        <v>4263</v>
      </c>
      <c r="AB927" s="1"/>
      <c r="AC927" s="1"/>
      <c r="AD927" s="1"/>
      <c r="AE927" s="1"/>
      <c r="AG927" s="2" t="str">
        <f>"0134685997"</f>
        <v>0134685997</v>
      </c>
      <c r="AH927" s="2" t="str">
        <f>"9780134685991"</f>
        <v>9780134685991</v>
      </c>
      <c r="AI927" s="1">
        <v>0.0</v>
      </c>
      <c r="AJ927" s="1">
        <v>4.51</v>
      </c>
      <c r="AK927" s="1" t="s">
        <v>2911</v>
      </c>
      <c r="AL927" s="1" t="s">
        <v>28</v>
      </c>
      <c r="AM927" s="1">
        <v>412.0</v>
      </c>
      <c r="AN927" s="1">
        <v>2017.0</v>
      </c>
      <c r="AO927" s="1">
        <v>2001.0</v>
      </c>
      <c r="AQ927" s="3">
        <v>44814.0</v>
      </c>
      <c r="AR927" s="1" t="s">
        <v>3137</v>
      </c>
      <c r="AS927" s="1" t="s">
        <v>4264</v>
      </c>
      <c r="AT927" s="1" t="s">
        <v>31</v>
      </c>
      <c r="AX927" s="1">
        <v>0.0</v>
      </c>
      <c r="AY927" s="1">
        <v>1.0</v>
      </c>
    </row>
    <row r="928" spans="20:51" ht="15.75" hidden="1">
      <c r="T928" s="1">
        <v>3.7912479E7</v>
      </c>
      <c r="U928" s="1"/>
      <c r="V928" s="1"/>
      <c r="W928" s="1"/>
      <c r="X928" s="1"/>
      <c r="Y928" s="1" t="s">
        <v>4265</v>
      </c>
      <c r="Z928" s="1" t="s">
        <v>4266</v>
      </c>
      <c r="AA928" s="1" t="s">
        <v>4267</v>
      </c>
      <c r="AB928" s="1"/>
      <c r="AC928" s="1"/>
      <c r="AD928" s="1"/>
      <c r="AE928" s="1"/>
      <c r="AG928" s="2" t="str">
        <f>"1617294942"</f>
        <v>1617294942</v>
      </c>
      <c r="AH928" s="2" t="str">
        <f>"9781617294945"</f>
        <v>9781617294945</v>
      </c>
      <c r="AI928" s="1">
        <v>0.0</v>
      </c>
      <c r="AJ928" s="1">
        <v>3.94</v>
      </c>
      <c r="AK928" s="1" t="s">
        <v>4268</v>
      </c>
      <c r="AL928" s="1" t="s">
        <v>28</v>
      </c>
      <c r="AM928" s="1">
        <v>520.0</v>
      </c>
      <c r="AN928" s="1">
        <v>2018.0</v>
      </c>
      <c r="AQ928" s="3">
        <v>44814.0</v>
      </c>
      <c r="AR928" s="1" t="s">
        <v>3189</v>
      </c>
      <c r="AS928" s="1" t="s">
        <v>4269</v>
      </c>
      <c r="AT928" s="1" t="s">
        <v>31</v>
      </c>
      <c r="AX928" s="1">
        <v>0.0</v>
      </c>
      <c r="AY928" s="1">
        <v>1.0</v>
      </c>
    </row>
    <row r="929" spans="20:51" ht="15.75" hidden="1">
      <c r="T929" s="1">
        <v>436053.0</v>
      </c>
      <c r="U929" s="1"/>
      <c r="V929" s="1"/>
      <c r="W929" s="1"/>
      <c r="X929" s="1"/>
      <c r="Y929" s="1" t="s">
        <v>4270</v>
      </c>
      <c r="Z929" s="1" t="s">
        <v>4271</v>
      </c>
      <c r="AA929" s="1" t="s">
        <v>4272</v>
      </c>
      <c r="AB929" s="1"/>
      <c r="AC929" s="1"/>
      <c r="AD929" s="1"/>
      <c r="AE929" s="1"/>
      <c r="AG929" s="2" t="str">
        <f>"0971646678"</f>
        <v>0971646678</v>
      </c>
      <c r="AH929" s="2" t="str">
        <f>"9780971646674"</f>
        <v>9780971646674</v>
      </c>
      <c r="AI929" s="1">
        <v>0.0</v>
      </c>
      <c r="AJ929" s="1">
        <v>4.06</v>
      </c>
      <c r="AK929" s="5" t="s">
        <v>4273</v>
      </c>
      <c r="AL929" s="1" t="s">
        <v>28</v>
      </c>
      <c r="AM929" s="1">
        <v>224.0</v>
      </c>
      <c r="AN929" s="1">
        <v>2012.0</v>
      </c>
      <c r="AO929" s="1">
        <v>2007.0</v>
      </c>
      <c r="AQ929" s="3">
        <v>44814.0</v>
      </c>
      <c r="AR929" s="1">
        <v>0.0</v>
      </c>
      <c r="AS929" s="1" t="s">
        <v>4274</v>
      </c>
      <c r="AT929" s="1" t="s">
        <v>127</v>
      </c>
      <c r="AX929" s="1">
        <v>1.0</v>
      </c>
      <c r="AY929" s="1">
        <v>1.0</v>
      </c>
    </row>
    <row r="930" spans="20:51" ht="15.75" hidden="1">
      <c r="T930" s="1">
        <v>51330.0</v>
      </c>
      <c r="U930" s="1"/>
      <c r="V930" s="1"/>
      <c r="W930" s="1"/>
      <c r="X930" s="1"/>
      <c r="Y930" s="1" t="s">
        <v>4275</v>
      </c>
      <c r="Z930" s="1" t="s">
        <v>4276</v>
      </c>
      <c r="AA930" s="1" t="s">
        <v>4277</v>
      </c>
      <c r="AB930" s="1"/>
      <c r="AC930" s="1"/>
      <c r="AD930" s="1"/>
      <c r="AE930" s="1"/>
      <c r="AG930" s="2" t="str">
        <f>"0385260326"</f>
        <v>0385260326</v>
      </c>
      <c r="AH930" s="2" t="str">
        <f>"9780385260329"</f>
        <v>9780385260329</v>
      </c>
      <c r="AI930" s="1">
        <v>4.0</v>
      </c>
      <c r="AJ930" s="1">
        <v>3.97</v>
      </c>
      <c r="AK930" s="1" t="s">
        <v>2017</v>
      </c>
      <c r="AL930" s="1" t="s">
        <v>28</v>
      </c>
      <c r="AM930" s="1">
        <v>282.0</v>
      </c>
      <c r="AN930" s="1">
        <v>1989.0</v>
      </c>
      <c r="AO930" s="1">
        <v>1988.0</v>
      </c>
      <c r="AP930" s="4">
        <v>44510.0</v>
      </c>
      <c r="AQ930" s="3">
        <v>44508.0</v>
      </c>
      <c r="AR930" s="1" t="s">
        <v>3474</v>
      </c>
      <c r="AS930" s="1" t="s">
        <v>4278</v>
      </c>
      <c r="AT930" s="1" t="s">
        <v>31</v>
      </c>
      <c r="AX930" s="1">
        <v>1.0</v>
      </c>
      <c r="AY930" s="1">
        <v>1.0</v>
      </c>
    </row>
    <row r="931" spans="20:51" ht="15.75" hidden="1">
      <c r="T931" s="1">
        <v>584019.0</v>
      </c>
      <c r="U931" s="1"/>
      <c r="V931" s="1"/>
      <c r="W931" s="1"/>
      <c r="X931" s="1"/>
      <c r="Y931" s="1" t="s">
        <v>4279</v>
      </c>
      <c r="Z931" s="1" t="s">
        <v>4280</v>
      </c>
      <c r="AA931" s="1" t="s">
        <v>4281</v>
      </c>
      <c r="AB931" s="1"/>
      <c r="AC931" s="1"/>
      <c r="AD931" s="1"/>
      <c r="AE931" s="1"/>
      <c r="AF931" s="1" t="s">
        <v>4282</v>
      </c>
      <c r="AG931" s="2" t="str">
        <f>"0670875279"</f>
        <v>0670875279</v>
      </c>
      <c r="AH931" s="2" t="str">
        <f>"9780670875276"</f>
        <v>9780670875276</v>
      </c>
      <c r="AI931" s="1">
        <v>0.0</v>
      </c>
      <c r="AJ931" s="1">
        <v>4.24</v>
      </c>
      <c r="AK931" s="1" t="s">
        <v>4283</v>
      </c>
      <c r="AL931" s="1" t="s">
        <v>41</v>
      </c>
      <c r="AM931" s="1">
        <v>819.0</v>
      </c>
      <c r="AN931" s="1">
        <v>1997.0</v>
      </c>
      <c r="AO931" s="1">
        <v>1997.0</v>
      </c>
      <c r="AQ931" s="3">
        <v>44814.0</v>
      </c>
      <c r="AR931" s="1" t="s">
        <v>3137</v>
      </c>
      <c r="AS931" s="1" t="s">
        <v>4284</v>
      </c>
      <c r="AT931" s="1" t="s">
        <v>31</v>
      </c>
      <c r="AX931" s="1">
        <v>0.0</v>
      </c>
      <c r="AY931" s="1">
        <v>1.0</v>
      </c>
    </row>
    <row r="932" spans="20:51" ht="15.75">
      <c r="T932" s="1">
        <v>114872.0</v>
      </c>
      <c r="U932" s="1"/>
      <c r="V932" s="1"/>
      <c r="W932" s="1"/>
      <c r="X932" s="1"/>
      <c r="Y932" s="1" t="s">
        <v>4285</v>
      </c>
      <c r="Z932" s="1" t="s">
        <v>918</v>
      </c>
      <c r="AA932" s="1" t="s">
        <v>919</v>
      </c>
      <c r="AB932" s="1"/>
      <c r="AC932" s="1"/>
      <c r="AD932" s="1"/>
      <c r="AE932" s="1"/>
      <c r="AG932" s="2" t="str">
        <f>"0880014296"</f>
        <v>0880014296</v>
      </c>
      <c r="AH932" s="2" t="str">
        <f>"9780880014298"</f>
        <v>9780880014298</v>
      </c>
      <c r="AI932" s="1">
        <v>0.0</v>
      </c>
      <c r="AJ932" s="1">
        <v>3.59</v>
      </c>
      <c r="AK932" s="1" t="s">
        <v>187</v>
      </c>
      <c r="AL932" s="1" t="s">
        <v>28</v>
      </c>
      <c r="AM932" s="1">
        <v>112.0</v>
      </c>
      <c r="AN932" s="1">
        <v>1995.0</v>
      </c>
      <c r="AO932" s="1">
        <v>1929.0</v>
      </c>
      <c r="AQ932" s="3">
        <v>44810.0</v>
      </c>
      <c r="AR932" s="1" t="s">
        <v>2433</v>
      </c>
      <c r="AS932" s="1" t="s">
        <v>4286</v>
      </c>
      <c r="AT932" s="1" t="s">
        <v>31</v>
      </c>
      <c r="AX932" s="1">
        <v>0.0</v>
      </c>
      <c r="AY932" s="1">
        <v>1.0</v>
      </c>
    </row>
    <row r="933" spans="20:51" ht="15.75" hidden="1">
      <c r="T933" s="1">
        <v>126811.0</v>
      </c>
      <c r="U933" s="1"/>
      <c r="V933" s="1"/>
      <c r="W933" s="1"/>
      <c r="X933" s="1"/>
      <c r="Y933" s="1" t="s">
        <v>4287</v>
      </c>
      <c r="Z933" s="1" t="s">
        <v>4280</v>
      </c>
      <c r="AA933" s="1" t="s">
        <v>4281</v>
      </c>
      <c r="AB933" s="1"/>
      <c r="AC933" s="1"/>
      <c r="AD933" s="1"/>
      <c r="AE933" s="1"/>
      <c r="AF933" s="1" t="s">
        <v>4288</v>
      </c>
      <c r="AG933" s="2" t="str">
        <f>"0670858579"</f>
        <v>0670858579</v>
      </c>
      <c r="AH933" s="2" t="str">
        <f>"9780670858576"</f>
        <v>9780670858576</v>
      </c>
      <c r="AI933" s="1">
        <v>0.0</v>
      </c>
      <c r="AJ933" s="1">
        <v>4.24</v>
      </c>
      <c r="AK933" s="1" t="s">
        <v>4289</v>
      </c>
      <c r="AL933" s="1" t="s">
        <v>41</v>
      </c>
      <c r="AM933" s="1">
        <v>832.0</v>
      </c>
      <c r="AN933" s="1">
        <v>1994.0</v>
      </c>
      <c r="AO933" s="1">
        <v>1994.0</v>
      </c>
      <c r="AQ933" s="3">
        <v>44814.0</v>
      </c>
      <c r="AR933" s="1" t="s">
        <v>3137</v>
      </c>
      <c r="AS933" s="1" t="s">
        <v>4290</v>
      </c>
      <c r="AT933" s="1" t="s">
        <v>31</v>
      </c>
      <c r="AX933" s="1">
        <v>0.0</v>
      </c>
      <c r="AY933" s="1">
        <v>1.0</v>
      </c>
    </row>
    <row r="934" spans="20:51" ht="15.75" hidden="1">
      <c r="T934" s="1">
        <v>4.1964822E7</v>
      </c>
      <c r="U934" s="1"/>
      <c r="V934" s="1"/>
      <c r="W934" s="1"/>
      <c r="X934" s="1"/>
      <c r="Y934" s="1" t="s">
        <v>4291</v>
      </c>
      <c r="Z934" s="1" t="s">
        <v>4292</v>
      </c>
      <c r="AA934" s="1" t="s">
        <v>4293</v>
      </c>
      <c r="AB934" s="1"/>
      <c r="AC934" s="1"/>
      <c r="AD934" s="1"/>
      <c r="AE934" s="1"/>
      <c r="AG934" s="2" t="str">
        <f>"1585421618"</f>
        <v>1585421618</v>
      </c>
      <c r="AH934" s="2" t="str">
        <f>""</f>
        <v/>
      </c>
      <c r="AI934" s="1">
        <v>0.0</v>
      </c>
      <c r="AJ934" s="1">
        <v>4.51</v>
      </c>
      <c r="AK934" s="1" t="s">
        <v>4294</v>
      </c>
      <c r="AL934" s="1" t="s">
        <v>28</v>
      </c>
      <c r="AM934" s="1">
        <v>670.0</v>
      </c>
      <c r="AN934" s="1">
        <v>2002.0</v>
      </c>
      <c r="AO934" s="1">
        <v>1980.0</v>
      </c>
      <c r="AQ934" s="3">
        <v>44800.0</v>
      </c>
      <c r="AR934" s="1" t="s">
        <v>3238</v>
      </c>
      <c r="AS934" s="1" t="s">
        <v>4295</v>
      </c>
      <c r="AT934" s="1" t="s">
        <v>31</v>
      </c>
      <c r="AX934" s="1">
        <v>0.0</v>
      </c>
      <c r="AY934" s="1">
        <v>1.0</v>
      </c>
    </row>
    <row r="935" spans="20:51" ht="15.75" hidden="1">
      <c r="T935" s="1">
        <v>544021.0</v>
      </c>
      <c r="U935" s="1"/>
      <c r="V935" s="1"/>
      <c r="W935" s="1"/>
      <c r="X935" s="1"/>
      <c r="Y935" s="1" t="s">
        <v>4296</v>
      </c>
      <c r="Z935" s="1" t="s">
        <v>4297</v>
      </c>
      <c r="AA935" s="1" t="s">
        <v>4298</v>
      </c>
      <c r="AB935" s="1"/>
      <c r="AC935" s="1"/>
      <c r="AD935" s="1"/>
      <c r="AE935" s="1"/>
      <c r="AG935" s="2" t="str">
        <f>"052148328X"</f>
        <v>052148328X</v>
      </c>
      <c r="AH935" s="2" t="str">
        <f>"9780521483285"</f>
        <v>9780521483285</v>
      </c>
      <c r="AI935" s="1">
        <v>0.0</v>
      </c>
      <c r="AJ935" s="1">
        <v>4.24</v>
      </c>
      <c r="AK935" s="1" t="s">
        <v>605</v>
      </c>
      <c r="AL935" s="1" t="s">
        <v>28</v>
      </c>
      <c r="AM935" s="1">
        <v>912.0</v>
      </c>
      <c r="AN935" s="1">
        <v>1995.0</v>
      </c>
      <c r="AO935" s="1">
        <v>1995.0</v>
      </c>
      <c r="AQ935" s="3">
        <v>44444.0</v>
      </c>
      <c r="AR935" s="1" t="s">
        <v>3332</v>
      </c>
      <c r="AS935" s="1" t="s">
        <v>4299</v>
      </c>
      <c r="AT935" s="1" t="s">
        <v>31</v>
      </c>
      <c r="AX935" s="1">
        <v>0.0</v>
      </c>
      <c r="AY935" s="1">
        <v>1.0</v>
      </c>
    </row>
    <row r="936" spans="20:51" ht="15.75">
      <c r="T936" s="1">
        <v>5.3388537E7</v>
      </c>
      <c r="U936" s="1"/>
      <c r="V936" s="1"/>
      <c r="W936" s="1"/>
      <c r="X936" s="1"/>
      <c r="Y936" s="1" t="s">
        <v>4300</v>
      </c>
      <c r="Z936" s="1" t="s">
        <v>4301</v>
      </c>
      <c r="AA936" s="1" t="s">
        <v>4302</v>
      </c>
      <c r="AB936" s="1"/>
      <c r="AC936" s="1"/>
      <c r="AD936" s="1"/>
      <c r="AE936" s="1"/>
      <c r="AG936" s="2" t="str">
        <f t="shared" si="70" ref="AG936:AH936">""</f>
        <v/>
      </c>
      <c r="AH936" s="2" t="str">
        <f t="shared" si="70"/>
        <v/>
      </c>
      <c r="AI936" s="1">
        <v>0.0</v>
      </c>
      <c r="AJ936" s="1">
        <v>4.06</v>
      </c>
      <c r="AK936" s="1" t="s">
        <v>4303</v>
      </c>
      <c r="AL936" s="1" t="s">
        <v>28</v>
      </c>
      <c r="AM936" s="1">
        <v>460.0</v>
      </c>
      <c r="AN936" s="1">
        <v>1977.0</v>
      </c>
      <c r="AO936" s="1">
        <v>1958.0</v>
      </c>
      <c r="AQ936" s="3">
        <v>44097.0</v>
      </c>
      <c r="AR936" s="1" t="s">
        <v>2433</v>
      </c>
      <c r="AS936" s="1" t="s">
        <v>4304</v>
      </c>
      <c r="AT936" s="1" t="s">
        <v>31</v>
      </c>
      <c r="AX936" s="1">
        <v>0.0</v>
      </c>
      <c r="AY936" s="1">
        <v>1.0</v>
      </c>
    </row>
    <row r="937" spans="20:51" ht="15.75">
      <c r="T937" s="1">
        <v>938816.0</v>
      </c>
      <c r="U937" s="1"/>
      <c r="V937" s="1"/>
      <c r="W937" s="1"/>
      <c r="X937" s="1"/>
      <c r="Y937" s="1" t="s">
        <v>4305</v>
      </c>
      <c r="Z937" s="1" t="s">
        <v>4306</v>
      </c>
      <c r="AA937" s="1" t="s">
        <v>4307</v>
      </c>
      <c r="AB937" s="1"/>
      <c r="AC937" s="1"/>
      <c r="AD937" s="1"/>
      <c r="AE937" s="1"/>
      <c r="AF937" s="1" t="s">
        <v>4308</v>
      </c>
      <c r="AG937" s="2" t="str">
        <f t="shared" si="71" ref="AG937:AH937">""</f>
        <v/>
      </c>
      <c r="AH937" s="2" t="str">
        <f t="shared" si="71"/>
        <v/>
      </c>
      <c r="AI937" s="1">
        <v>0.0</v>
      </c>
      <c r="AJ937" s="1">
        <v>3.89</v>
      </c>
      <c r="AK937" s="1" t="s">
        <v>4309</v>
      </c>
      <c r="AL937" s="1" t="s">
        <v>28</v>
      </c>
      <c r="AM937" s="1">
        <v>256.0</v>
      </c>
      <c r="AN937" s="1">
        <v>1964.0</v>
      </c>
      <c r="AO937" s="1">
        <v>1964.0</v>
      </c>
      <c r="AQ937" s="3">
        <v>43939.0</v>
      </c>
      <c r="AR937" s="1" t="s">
        <v>2433</v>
      </c>
      <c r="AS937" s="1" t="s">
        <v>4310</v>
      </c>
      <c r="AT937" s="1" t="s">
        <v>31</v>
      </c>
      <c r="AX937" s="1">
        <v>0.0</v>
      </c>
      <c r="AY937" s="1">
        <v>1.0</v>
      </c>
    </row>
    <row r="938" spans="20:51" ht="15.75" hidden="1">
      <c r="T938" s="1">
        <v>1.7799243E7</v>
      </c>
      <c r="U938" s="1"/>
      <c r="V938" s="1"/>
      <c r="W938" s="1"/>
      <c r="X938" s="1"/>
      <c r="Y938" s="1" t="s">
        <v>4311</v>
      </c>
      <c r="Z938" s="1" t="s">
        <v>1048</v>
      </c>
      <c r="AA938" s="1" t="s">
        <v>1049</v>
      </c>
      <c r="AB938" s="1"/>
      <c r="AC938" s="1"/>
      <c r="AD938" s="1"/>
      <c r="AE938" s="1"/>
      <c r="AG938" s="2" t="str">
        <f t="shared" si="72" ref="AG938:AH938">""</f>
        <v/>
      </c>
      <c r="AH938" s="2" t="str">
        <f t="shared" si="72"/>
        <v/>
      </c>
      <c r="AI938" s="1">
        <v>0.0</v>
      </c>
      <c r="AJ938" s="1">
        <v>3.83</v>
      </c>
      <c r="AK938" s="1" t="s">
        <v>4312</v>
      </c>
      <c r="AL938" s="1" t="s">
        <v>41</v>
      </c>
      <c r="AM938" s="1">
        <v>411.0</v>
      </c>
      <c r="AN938" s="1">
        <v>1936.0</v>
      </c>
      <c r="AO938" s="1">
        <v>1936.0</v>
      </c>
      <c r="AQ938" s="3">
        <v>43922.0</v>
      </c>
      <c r="AR938" s="1" t="s">
        <v>3137</v>
      </c>
      <c r="AS938" s="1" t="s">
        <v>4313</v>
      </c>
      <c r="AT938" s="1" t="s">
        <v>31</v>
      </c>
      <c r="AX938" s="1">
        <v>0.0</v>
      </c>
      <c r="AY938" s="1">
        <v>1.0</v>
      </c>
    </row>
    <row r="939" spans="20:51" ht="15.75" hidden="1">
      <c r="T939" s="1">
        <v>833885.0</v>
      </c>
      <c r="U939" s="1"/>
      <c r="V939" s="1"/>
      <c r="W939" s="1"/>
      <c r="X939" s="1"/>
      <c r="Y939" s="1" t="s">
        <v>4314</v>
      </c>
      <c r="Z939" s="1" t="s">
        <v>4315</v>
      </c>
      <c r="AA939" s="1" t="s">
        <v>4316</v>
      </c>
      <c r="AB939" s="1"/>
      <c r="AC939" s="1"/>
      <c r="AD939" s="1"/>
      <c r="AE939" s="1"/>
      <c r="AG939" s="2" t="str">
        <f>"0802220835"</f>
        <v>0802220835</v>
      </c>
      <c r="AH939" s="2" t="str">
        <f>"9780802220837"</f>
        <v>9780802220837</v>
      </c>
      <c r="AI939" s="1">
        <v>0.0</v>
      </c>
      <c r="AJ939" s="1">
        <v>4.14</v>
      </c>
      <c r="AK939" s="1" t="s">
        <v>4317</v>
      </c>
      <c r="AL939" s="1" t="s">
        <v>41</v>
      </c>
      <c r="AM939" s="1">
        <v>419.0</v>
      </c>
      <c r="AN939" s="1">
        <v>1971.0</v>
      </c>
      <c r="AO939" s="1">
        <v>1958.0</v>
      </c>
      <c r="AQ939" s="3">
        <v>43934.0</v>
      </c>
      <c r="AR939" s="1" t="s">
        <v>3560</v>
      </c>
      <c r="AS939" s="1" t="s">
        <v>4318</v>
      </c>
      <c r="AT939" s="1" t="s">
        <v>31</v>
      </c>
      <c r="AX939" s="1">
        <v>0.0</v>
      </c>
      <c r="AY939" s="1">
        <v>1.0</v>
      </c>
    </row>
    <row r="940" spans="20:51" ht="15.75" hidden="1">
      <c r="T940" s="1">
        <v>53159.0</v>
      </c>
      <c r="U940" s="1"/>
      <c r="V940" s="1"/>
      <c r="W940" s="1"/>
      <c r="X940" s="1"/>
      <c r="Y940" s="1" t="s">
        <v>4319</v>
      </c>
      <c r="Z940" s="1" t="s">
        <v>1229</v>
      </c>
      <c r="AA940" s="1" t="s">
        <v>1230</v>
      </c>
      <c r="AB940" s="1"/>
      <c r="AC940" s="1"/>
      <c r="AD940" s="1"/>
      <c r="AE940" s="1"/>
      <c r="AG940" s="2" t="str">
        <f>"0374523819"</f>
        <v>0374523819</v>
      </c>
      <c r="AH940" s="2" t="str">
        <f>"9780374523817"</f>
        <v>9780374523817</v>
      </c>
      <c r="AI940" s="1">
        <v>4.0</v>
      </c>
      <c r="AJ940" s="1">
        <v>4.09</v>
      </c>
      <c r="AK940" s="1" t="s">
        <v>89</v>
      </c>
      <c r="AL940" s="1" t="s">
        <v>28</v>
      </c>
      <c r="AM940" s="1">
        <v>96.0</v>
      </c>
      <c r="AN940" s="1">
        <v>1993.0</v>
      </c>
      <c r="AO940" s="1">
        <v>1992.0</v>
      </c>
      <c r="AP940" s="3">
        <v>43967.0</v>
      </c>
      <c r="AQ940" s="3">
        <v>43180.0</v>
      </c>
      <c r="AR940" s="1" t="s">
        <v>3268</v>
      </c>
      <c r="AS940" s="1" t="s">
        <v>4320</v>
      </c>
      <c r="AT940" s="1" t="s">
        <v>127</v>
      </c>
      <c r="AX940" s="1">
        <v>1.0</v>
      </c>
      <c r="AY940" s="1">
        <v>1.0</v>
      </c>
    </row>
    <row r="941" spans="20:51" ht="15.75" hidden="1">
      <c r="T941" s="1">
        <v>118287.0</v>
      </c>
      <c r="U941" s="1"/>
      <c r="V941" s="1"/>
      <c r="W941" s="1"/>
      <c r="X941" s="1"/>
      <c r="Y941" s="1" t="s">
        <v>4321</v>
      </c>
      <c r="Z941" s="1" t="s">
        <v>4322</v>
      </c>
      <c r="AA941" s="1" t="s">
        <v>4323</v>
      </c>
      <c r="AB941" s="1"/>
      <c r="AC941" s="1"/>
      <c r="AD941" s="1"/>
      <c r="AE941" s="1"/>
      <c r="AG941" s="2" t="str">
        <f>"0195049969"</f>
        <v>0195049969</v>
      </c>
      <c r="AH941" s="2" t="str">
        <f>"9780195049961"</f>
        <v>9780195049961</v>
      </c>
      <c r="AI941" s="1">
        <v>0.0</v>
      </c>
      <c r="AJ941" s="1">
        <v>4.13</v>
      </c>
      <c r="AK941" s="1" t="s">
        <v>214</v>
      </c>
      <c r="AL941" s="1" t="s">
        <v>28</v>
      </c>
      <c r="AM941" s="1">
        <v>400.0</v>
      </c>
      <c r="AN941" s="1">
        <v>1987.0</v>
      </c>
      <c r="AO941" s="1">
        <v>1985.0</v>
      </c>
      <c r="AQ941" s="3">
        <v>42816.0</v>
      </c>
      <c r="AR941" s="1" t="s">
        <v>3332</v>
      </c>
      <c r="AS941" s="1" t="s">
        <v>4324</v>
      </c>
      <c r="AT941" s="1" t="s">
        <v>31</v>
      </c>
      <c r="AX941" s="1">
        <v>0.0</v>
      </c>
      <c r="AY941" s="1">
        <v>1.0</v>
      </c>
    </row>
    <row r="942" spans="20:51" ht="15.75">
      <c r="T942" s="1">
        <v>24800.0</v>
      </c>
      <c r="U942" s="1"/>
      <c r="V942" s="1"/>
      <c r="W942" s="1"/>
      <c r="X942" s="1"/>
      <c r="Y942" s="1" t="s">
        <v>4325</v>
      </c>
      <c r="Z942" s="1" t="s">
        <v>4326</v>
      </c>
      <c r="AA942" s="1" t="s">
        <v>4327</v>
      </c>
      <c r="AB942" s="1"/>
      <c r="AC942" s="1"/>
      <c r="AD942" s="1"/>
      <c r="AE942" s="1"/>
      <c r="AG942" s="2" t="str">
        <f>"038560310X"</f>
        <v>038560310X</v>
      </c>
      <c r="AH942" s="2" t="str">
        <f>"9780385603102"</f>
        <v>9780385603102</v>
      </c>
      <c r="AI942" s="1">
        <v>0.0</v>
      </c>
      <c r="AJ942" s="1">
        <v>4.09</v>
      </c>
      <c r="AK942" s="1" t="s">
        <v>988</v>
      </c>
      <c r="AL942" s="1" t="s">
        <v>28</v>
      </c>
      <c r="AM942" s="1">
        <v>710.0</v>
      </c>
      <c r="AN942" s="1">
        <v>2000.0</v>
      </c>
      <c r="AO942" s="1">
        <v>2000.0</v>
      </c>
      <c r="AQ942" s="3">
        <v>41663.0</v>
      </c>
      <c r="AR942" s="1" t="s">
        <v>2433</v>
      </c>
      <c r="AS942" s="1" t="s">
        <v>4328</v>
      </c>
      <c r="AT942" s="1" t="s">
        <v>31</v>
      </c>
      <c r="AX942" s="1">
        <v>0.0</v>
      </c>
      <c r="AY942" s="1">
        <v>1.0</v>
      </c>
    </row>
    <row r="943" spans="20:51" ht="15.75">
      <c r="T943" s="1">
        <v>1.8594486E7</v>
      </c>
      <c r="U943" s="1"/>
      <c r="V943" s="1"/>
      <c r="W943" s="1"/>
      <c r="X943" s="1"/>
      <c r="Y943" s="1" t="s">
        <v>4329</v>
      </c>
      <c r="Z943" s="1" t="s">
        <v>4330</v>
      </c>
      <c r="AA943" s="1" t="s">
        <v>4331</v>
      </c>
      <c r="AB943" s="1"/>
      <c r="AC943" s="1"/>
      <c r="AD943" s="1"/>
      <c r="AE943" s="1"/>
      <c r="AG943" s="2" t="str">
        <f>"1620407086"</f>
        <v>1620407086</v>
      </c>
      <c r="AH943" s="2" t="str">
        <f>"9781620407080"</f>
        <v>9781620407080</v>
      </c>
      <c r="AI943" s="1">
        <v>0.0</v>
      </c>
      <c r="AJ943" s="1">
        <v>3.95</v>
      </c>
      <c r="AK943" s="1" t="s">
        <v>851</v>
      </c>
      <c r="AL943" s="1" t="s">
        <v>28</v>
      </c>
      <c r="AM943" s="1">
        <v>272.0</v>
      </c>
      <c r="AN943" s="1">
        <v>2014.0</v>
      </c>
      <c r="AO943" s="1">
        <v>1993.0</v>
      </c>
      <c r="AQ943" s="3">
        <v>42041.0</v>
      </c>
      <c r="AR943" s="1" t="s">
        <v>2433</v>
      </c>
      <c r="AS943" s="1" t="s">
        <v>4332</v>
      </c>
      <c r="AT943" s="1" t="s">
        <v>31</v>
      </c>
      <c r="AX943" s="1">
        <v>0.0</v>
      </c>
      <c r="AY943" s="1">
        <v>1.0</v>
      </c>
    </row>
    <row r="944" spans="20:51" ht="15.75">
      <c r="T944" s="1">
        <v>1.7288631E7</v>
      </c>
      <c r="U944" s="1"/>
      <c r="V944" s="1"/>
      <c r="W944" s="1"/>
      <c r="X944" s="1"/>
      <c r="Y944" s="1" t="s">
        <v>4333</v>
      </c>
      <c r="Z944" s="1" t="s">
        <v>965</v>
      </c>
      <c r="AA944" s="1" t="s">
        <v>966</v>
      </c>
      <c r="AB944" s="1"/>
      <c r="AC944" s="1"/>
      <c r="AD944" s="1"/>
      <c r="AE944" s="1"/>
      <c r="AG944" s="2" t="str">
        <f>"0345806565"</f>
        <v>0345806565</v>
      </c>
      <c r="AH944" s="2" t="str">
        <f>"9780345806567"</f>
        <v>9780345806567</v>
      </c>
      <c r="AI944" s="1">
        <v>5.0</v>
      </c>
      <c r="AJ944" s="1">
        <v>4.31</v>
      </c>
      <c r="AK944" s="1" t="s">
        <v>263</v>
      </c>
      <c r="AL944" s="1" t="s">
        <v>28</v>
      </c>
      <c r="AM944" s="1">
        <v>169.0</v>
      </c>
      <c r="AN944" s="1">
        <v>2013.0</v>
      </c>
      <c r="AO944" s="1">
        <v>1956.0</v>
      </c>
      <c r="AP944" s="3">
        <v>42115.0</v>
      </c>
      <c r="AQ944" s="3">
        <v>42105.0</v>
      </c>
      <c r="AR944" s="1" t="s">
        <v>3964</v>
      </c>
      <c r="AS944" s="1" t="s">
        <v>4334</v>
      </c>
      <c r="AT944" s="1" t="s">
        <v>127</v>
      </c>
      <c r="AX944" s="1">
        <v>1.0</v>
      </c>
      <c r="AY944" s="1">
        <v>1.0</v>
      </c>
    </row>
    <row r="945" spans="20:51" ht="15.75">
      <c r="T945" s="1">
        <v>9995541.0</v>
      </c>
      <c r="U945" s="1"/>
      <c r="V945" s="1"/>
      <c r="W945" s="1"/>
      <c r="X945" s="1"/>
      <c r="Y945" s="1" t="s">
        <v>4335</v>
      </c>
      <c r="Z945" s="1" t="s">
        <v>4336</v>
      </c>
      <c r="AA945" s="1" t="s">
        <v>4337</v>
      </c>
      <c r="AB945" s="1"/>
      <c r="AC945" s="1"/>
      <c r="AD945" s="1"/>
      <c r="AE945" s="1"/>
      <c r="AG945" s="2" t="str">
        <f>"1451626657"</f>
        <v>1451626657</v>
      </c>
      <c r="AH945" s="2" t="str">
        <f>"9781451626650"</f>
        <v>9781451626650</v>
      </c>
      <c r="AI945" s="1">
        <v>0.0</v>
      </c>
      <c r="AJ945" s="1">
        <v>3.99</v>
      </c>
      <c r="AK945" s="1" t="s">
        <v>345</v>
      </c>
      <c r="AL945" s="1" t="s">
        <v>28</v>
      </c>
      <c r="AM945" s="1">
        <v>524.0</v>
      </c>
      <c r="AN945" s="1">
        <v>2011.0</v>
      </c>
      <c r="AO945" s="1">
        <v>1961.0</v>
      </c>
      <c r="AQ945" s="3">
        <v>42134.0</v>
      </c>
      <c r="AR945" s="1" t="s">
        <v>2433</v>
      </c>
      <c r="AS945" s="1" t="s">
        <v>4338</v>
      </c>
      <c r="AT945" s="1" t="s">
        <v>31</v>
      </c>
      <c r="AX945" s="1">
        <v>0.0</v>
      </c>
      <c r="AY945" s="1">
        <v>1.0</v>
      </c>
    </row>
    <row r="946" spans="20:51" ht="15.75">
      <c r="T946" s="1">
        <v>415.0</v>
      </c>
      <c r="U946" s="1"/>
      <c r="V946" s="1"/>
      <c r="W946" s="1"/>
      <c r="X946" s="1"/>
      <c r="Y946" s="1" t="s">
        <v>4339</v>
      </c>
      <c r="Z946" s="1" t="s">
        <v>4340</v>
      </c>
      <c r="AA946" s="1" t="s">
        <v>4341</v>
      </c>
      <c r="AB946" s="1"/>
      <c r="AC946" s="1"/>
      <c r="AD946" s="1"/>
      <c r="AE946" s="1"/>
      <c r="AG946" s="2" t="str">
        <f>"0143039946"</f>
        <v>0143039946</v>
      </c>
      <c r="AH946" s="2" t="str">
        <f>"9780143039945"</f>
        <v>9780143039945</v>
      </c>
      <c r="AI946" s="1">
        <v>0.0</v>
      </c>
      <c r="AJ946" s="1">
        <v>4.0</v>
      </c>
      <c r="AK946" s="1" t="s">
        <v>460</v>
      </c>
      <c r="AL946" s="1" t="s">
        <v>28</v>
      </c>
      <c r="AM946" s="1">
        <v>776.0</v>
      </c>
      <c r="AN946" s="1">
        <v>2006.0</v>
      </c>
      <c r="AO946" s="1">
        <v>1973.0</v>
      </c>
      <c r="AQ946" s="3">
        <v>41529.0</v>
      </c>
      <c r="AR946" s="1" t="s">
        <v>2433</v>
      </c>
      <c r="AS946" s="1" t="s">
        <v>4342</v>
      </c>
      <c r="AT946" s="1" t="s">
        <v>31</v>
      </c>
      <c r="AX946" s="1">
        <v>0.0</v>
      </c>
      <c r="AY946" s="1">
        <v>1.0</v>
      </c>
    </row>
    <row r="947" spans="20:51" ht="15.75" hidden="1">
      <c r="T947" s="1">
        <v>51208.0</v>
      </c>
      <c r="U947" s="1"/>
      <c r="V947" s="1"/>
      <c r="W947" s="1"/>
      <c r="X947" s="1"/>
      <c r="Y947" s="1" t="s">
        <v>4343</v>
      </c>
      <c r="Z947" s="1" t="s">
        <v>4344</v>
      </c>
      <c r="AA947" s="1" t="s">
        <v>4345</v>
      </c>
      <c r="AB947" s="1"/>
      <c r="AC947" s="1"/>
      <c r="AD947" s="1"/>
      <c r="AE947" s="1"/>
      <c r="AG947" s="2" t="str">
        <f>"0451163168"</f>
        <v>0451163168</v>
      </c>
      <c r="AH947" s="2" t="str">
        <f>"9780451163165"</f>
        <v>9780451163165</v>
      </c>
      <c r="AI947" s="1">
        <v>4.0</v>
      </c>
      <c r="AJ947" s="1">
        <v>3.98</v>
      </c>
      <c r="AK947" s="1" t="s">
        <v>4309</v>
      </c>
      <c r="AL947" s="1" t="s">
        <v>315</v>
      </c>
      <c r="AM947" s="1">
        <v>142.0</v>
      </c>
      <c r="AN947" s="1">
        <v>1974.0</v>
      </c>
      <c r="AO947" s="1">
        <v>1947.0</v>
      </c>
      <c r="AP947" s="3">
        <v>41407.0</v>
      </c>
      <c r="AQ947" s="3">
        <v>41396.0</v>
      </c>
      <c r="AR947" s="1" t="s">
        <v>3976</v>
      </c>
      <c r="AS947" s="1" t="s">
        <v>4346</v>
      </c>
      <c r="AT947" s="1" t="s">
        <v>127</v>
      </c>
      <c r="AX947" s="1">
        <v>1.0</v>
      </c>
      <c r="AY947" s="1">
        <v>1.0</v>
      </c>
    </row>
    <row r="948" spans="20:51" ht="15.75" hidden="1">
      <c r="T948" s="1">
        <v>9362.0</v>
      </c>
      <c r="U948" s="1"/>
      <c r="V948" s="1"/>
      <c r="W948" s="1"/>
      <c r="X948" s="1"/>
      <c r="Y948" s="1" t="s">
        <v>4347</v>
      </c>
      <c r="Z948" s="1" t="s">
        <v>656</v>
      </c>
      <c r="AA948" s="1" t="s">
        <v>657</v>
      </c>
      <c r="AB948" s="1"/>
      <c r="AC948" s="1"/>
      <c r="AD948" s="1"/>
      <c r="AE948" s="1"/>
      <c r="AF948" s="1" t="s">
        <v>4348</v>
      </c>
      <c r="AG948" s="2" t="str">
        <f>"0452286360"</f>
        <v>0452286360</v>
      </c>
      <c r="AH948" s="2" t="str">
        <f>"9780452286368"</f>
        <v>9780452286368</v>
      </c>
      <c r="AI948" s="1">
        <v>0.0</v>
      </c>
      <c r="AJ948" s="1">
        <v>3.69</v>
      </c>
      <c r="AK948" s="1" t="s">
        <v>4349</v>
      </c>
      <c r="AL948" s="1" t="s">
        <v>28</v>
      </c>
      <c r="AM948" s="1">
        <v>1192.0</v>
      </c>
      <c r="AN948" s="1">
        <v>2004.0</v>
      </c>
      <c r="AO948" s="1">
        <v>1957.0</v>
      </c>
      <c r="AP948" s="3">
        <v>41552.0</v>
      </c>
      <c r="AQ948" s="3">
        <v>41517.0</v>
      </c>
      <c r="AR948" s="1">
        <v>0.0</v>
      </c>
      <c r="AS948" s="1" t="s">
        <v>4350</v>
      </c>
      <c r="AT948" s="1" t="s">
        <v>127</v>
      </c>
      <c r="AX948" s="1">
        <v>1.0</v>
      </c>
      <c r="AY948" s="1">
        <v>1.0</v>
      </c>
    </row>
    <row r="949" spans="20:51" ht="15.75">
      <c r="T949" s="1">
        <v>563798.0</v>
      </c>
      <c r="U949" s="1"/>
      <c r="V949" s="1"/>
      <c r="W949" s="1"/>
      <c r="X949" s="1"/>
      <c r="Y949" s="1" t="s">
        <v>4351</v>
      </c>
      <c r="Z949" s="1" t="s">
        <v>4352</v>
      </c>
      <c r="AA949" s="1" t="s">
        <v>4353</v>
      </c>
      <c r="AB949" s="1"/>
      <c r="AC949" s="1"/>
      <c r="AD949" s="1"/>
      <c r="AE949" s="1"/>
      <c r="AG949" s="2" t="str">
        <f>"0802132952"</f>
        <v>0802132952</v>
      </c>
      <c r="AH949" s="2" t="str">
        <f>"9780802132956"</f>
        <v>9780802132956</v>
      </c>
      <c r="AI949" s="1">
        <v>0.0</v>
      </c>
      <c r="AJ949" s="1">
        <v>3.46</v>
      </c>
      <c r="AK949" s="1" t="s">
        <v>4354</v>
      </c>
      <c r="AL949" s="1" t="s">
        <v>28</v>
      </c>
      <c r="AM949" s="1">
        <v>255.0</v>
      </c>
      <c r="AN949" s="1">
        <v>1992.0</v>
      </c>
      <c r="AO949" s="1">
        <v>1959.0</v>
      </c>
      <c r="AQ949" s="3">
        <v>40986.0</v>
      </c>
      <c r="AR949" s="1" t="s">
        <v>3574</v>
      </c>
      <c r="AS949" s="1" t="s">
        <v>4355</v>
      </c>
      <c r="AT949" s="1" t="s">
        <v>127</v>
      </c>
      <c r="AX949" s="1">
        <v>1.0</v>
      </c>
      <c r="AY949" s="1">
        <v>1.0</v>
      </c>
    </row>
    <row r="950" spans="20:51" ht="15.75">
      <c r="T950" s="1">
        <v>248704.0</v>
      </c>
      <c r="U950" s="1"/>
      <c r="V950" s="1"/>
      <c r="W950" s="1"/>
      <c r="X950" s="1"/>
      <c r="Y950" s="1" t="s">
        <v>4356</v>
      </c>
      <c r="Z950" s="1" t="s">
        <v>4357</v>
      </c>
      <c r="AA950" s="1" t="s">
        <v>4358</v>
      </c>
      <c r="AB950" s="1"/>
      <c r="AC950" s="1"/>
      <c r="AD950" s="1"/>
      <c r="AE950" s="1"/>
      <c r="AG950" s="2" t="str">
        <f>"078685197X"</f>
        <v>078685197X</v>
      </c>
      <c r="AH950" s="2" t="str">
        <f>"9780786851973"</f>
        <v>9780786851973</v>
      </c>
      <c r="AI950" s="1">
        <v>3.0</v>
      </c>
      <c r="AJ950" s="1">
        <v>4.09</v>
      </c>
      <c r="AK950" s="1" t="s">
        <v>4359</v>
      </c>
      <c r="AL950" s="1" t="s">
        <v>28</v>
      </c>
      <c r="AM950" s="1">
        <v>444.0</v>
      </c>
      <c r="AN950" s="1">
        <v>2007.0</v>
      </c>
      <c r="AO950" s="1">
        <v>2006.0</v>
      </c>
      <c r="AP950" s="3">
        <v>41026.0</v>
      </c>
      <c r="AQ950" s="4">
        <v>40894.0</v>
      </c>
      <c r="AR950" s="1" t="s">
        <v>3574</v>
      </c>
      <c r="AS950" s="1" t="s">
        <v>4360</v>
      </c>
      <c r="AT950" s="1" t="s">
        <v>127</v>
      </c>
      <c r="AX950" s="1">
        <v>1.0</v>
      </c>
      <c r="AY950" s="1">
        <v>1.0</v>
      </c>
    </row>
    <row r="951" spans="20:51" ht="15.75" hidden="1">
      <c r="T951" s="1">
        <v>251802.0</v>
      </c>
      <c r="U951" s="1"/>
      <c r="V951" s="1"/>
      <c r="W951" s="1"/>
      <c r="X951" s="1"/>
      <c r="Y951" s="1" t="s">
        <v>4361</v>
      </c>
      <c r="Z951" s="1" t="s">
        <v>4362</v>
      </c>
      <c r="AA951" s="1" t="s">
        <v>4363</v>
      </c>
      <c r="AB951" s="1"/>
      <c r="AC951" s="1"/>
      <c r="AD951" s="1"/>
      <c r="AE951" s="1"/>
      <c r="AF951" s="1" t="s">
        <v>4364</v>
      </c>
      <c r="AG951" s="2" t="str">
        <f>"0435072374"</f>
        <v>0435072374</v>
      </c>
      <c r="AH951" s="2" t="str">
        <f>"9780435072377"</f>
        <v>9780435072377</v>
      </c>
      <c r="AI951" s="1">
        <v>0.0</v>
      </c>
      <c r="AJ951" s="1">
        <v>4.16</v>
      </c>
      <c r="AK951" s="1" t="s">
        <v>4365</v>
      </c>
      <c r="AL951" s="1" t="s">
        <v>28</v>
      </c>
      <c r="AM951" s="1">
        <v>255.0</v>
      </c>
      <c r="AN951" s="1">
        <v>1997.0</v>
      </c>
      <c r="AO951" s="1">
        <v>1997.0</v>
      </c>
      <c r="AQ951" s="3">
        <v>45164.0</v>
      </c>
      <c r="AR951" s="1" t="s">
        <v>31</v>
      </c>
      <c r="AS951" s="1" t="s">
        <v>4366</v>
      </c>
      <c r="AT951" s="1" t="s">
        <v>31</v>
      </c>
      <c r="AX951" s="1">
        <v>0.0</v>
      </c>
      <c r="AY951" s="1">
        <v>0.0</v>
      </c>
    </row>
    <row r="952" spans="20:51" ht="15.75" hidden="1">
      <c r="T952" s="1">
        <v>91686.0</v>
      </c>
      <c r="U952" s="1"/>
      <c r="V952" s="1"/>
      <c r="W952" s="1"/>
      <c r="X952" s="1"/>
      <c r="Y952" s="1" t="s">
        <v>4367</v>
      </c>
      <c r="Z952" s="1" t="s">
        <v>4368</v>
      </c>
      <c r="AA952" s="1" t="s">
        <v>4369</v>
      </c>
      <c r="AB952" s="1"/>
      <c r="AC952" s="1"/>
      <c r="AD952" s="1"/>
      <c r="AE952" s="1"/>
      <c r="AF952" s="1" t="s">
        <v>112</v>
      </c>
      <c r="AG952" s="2" t="str">
        <f>"1590170067"</f>
        <v>1590170067</v>
      </c>
      <c r="AH952" s="2" t="str">
        <f>"9781590170069"</f>
        <v>9781590170069</v>
      </c>
      <c r="AI952" s="1">
        <v>0.0</v>
      </c>
      <c r="AJ952" s="1">
        <v>3.88</v>
      </c>
      <c r="AK952" s="1" t="s">
        <v>77</v>
      </c>
      <c r="AL952" s="1" t="s">
        <v>28</v>
      </c>
      <c r="AM952" s="1">
        <v>319.0</v>
      </c>
      <c r="AN952" s="1">
        <v>2002.0</v>
      </c>
      <c r="AO952" s="1">
        <v>1984.0</v>
      </c>
      <c r="AQ952" s="3">
        <v>45164.0</v>
      </c>
      <c r="AR952" s="1" t="s">
        <v>31</v>
      </c>
      <c r="AS952" s="1" t="s">
        <v>4370</v>
      </c>
      <c r="AT952" s="1" t="s">
        <v>31</v>
      </c>
      <c r="AX952" s="1">
        <v>0.0</v>
      </c>
      <c r="AY952" s="1">
        <v>0.0</v>
      </c>
    </row>
    <row r="953" spans="20:51" ht="15.75" hidden="1">
      <c r="T953" s="1">
        <v>2.5937937E7</v>
      </c>
      <c r="U953" s="1"/>
      <c r="V953" s="1"/>
      <c r="W953" s="1"/>
      <c r="X953" s="1"/>
      <c r="Y953" s="1" t="s">
        <v>4371</v>
      </c>
      <c r="Z953" s="1" t="s">
        <v>4372</v>
      </c>
      <c r="AA953" s="1" t="s">
        <v>4373</v>
      </c>
      <c r="AB953" s="1"/>
      <c r="AC953" s="1"/>
      <c r="AD953" s="1"/>
      <c r="AE953" s="1"/>
      <c r="AF953" s="1" t="s">
        <v>112</v>
      </c>
      <c r="AG953" s="2" t="str">
        <f>"1101902752"</f>
        <v>1101902752</v>
      </c>
      <c r="AH953" s="2" t="str">
        <f>"9781101902752"</f>
        <v>9781101902752</v>
      </c>
      <c r="AI953" s="1">
        <v>0.0</v>
      </c>
      <c r="AJ953" s="1">
        <v>4.13</v>
      </c>
      <c r="AK953" s="1" t="s">
        <v>3169</v>
      </c>
      <c r="AL953" s="1" t="s">
        <v>41</v>
      </c>
      <c r="AM953" s="1">
        <v>305.0</v>
      </c>
      <c r="AN953" s="1">
        <v>2016.0</v>
      </c>
      <c r="AO953" s="1">
        <v>2016.0</v>
      </c>
      <c r="AQ953" s="3">
        <v>45164.0</v>
      </c>
      <c r="AR953" s="1" t="s">
        <v>31</v>
      </c>
      <c r="AS953" s="1" t="s">
        <v>4374</v>
      </c>
      <c r="AT953" s="1" t="s">
        <v>31</v>
      </c>
      <c r="AX953" s="1">
        <v>0.0</v>
      </c>
      <c r="AY953" s="1">
        <v>0.0</v>
      </c>
    </row>
    <row r="954" spans="20:51" ht="15.75" hidden="1">
      <c r="T954" s="1">
        <v>2.2363242E7</v>
      </c>
      <c r="U954" s="1"/>
      <c r="V954" s="1"/>
      <c r="W954" s="1"/>
      <c r="X954" s="1"/>
      <c r="Y954" s="1" t="s">
        <v>4375</v>
      </c>
      <c r="Z954" s="1" t="s">
        <v>112</v>
      </c>
      <c r="AA954" s="1" t="s">
        <v>1980</v>
      </c>
      <c r="AB954" s="1"/>
      <c r="AC954" s="1"/>
      <c r="AD954" s="1"/>
      <c r="AE954" s="1"/>
      <c r="AG954" s="2" t="str">
        <f t="shared" si="73" ref="AG954:AH954">""</f>
        <v/>
      </c>
      <c r="AH954" s="2" t="str">
        <f t="shared" si="73"/>
        <v/>
      </c>
      <c r="AI954" s="1">
        <v>0.0</v>
      </c>
      <c r="AJ954" s="1">
        <v>3.89</v>
      </c>
      <c r="AK954" s="1" t="s">
        <v>101</v>
      </c>
      <c r="AL954" s="1" t="s">
        <v>59</v>
      </c>
      <c r="AM954" s="1">
        <v>30.0</v>
      </c>
      <c r="AN954" s="1">
        <v>2014.0</v>
      </c>
      <c r="AO954" s="1">
        <v>2014.0</v>
      </c>
      <c r="AQ954" s="3">
        <v>45164.0</v>
      </c>
      <c r="AR954" s="1" t="s">
        <v>31</v>
      </c>
      <c r="AS954" s="1" t="s">
        <v>4376</v>
      </c>
      <c r="AT954" s="1" t="s">
        <v>31</v>
      </c>
      <c r="AX954" s="1">
        <v>0.0</v>
      </c>
      <c r="AY954" s="1">
        <v>0.0</v>
      </c>
    </row>
    <row r="955" spans="20:51" ht="15.75" hidden="1">
      <c r="T955" s="1">
        <v>1.7737025E7</v>
      </c>
      <c r="U955" s="1"/>
      <c r="V955" s="1"/>
      <c r="W955" s="1"/>
      <c r="X955" s="1"/>
      <c r="Y955" s="1" t="s">
        <v>4377</v>
      </c>
      <c r="Z955" s="1" t="s">
        <v>4378</v>
      </c>
      <c r="AA955" s="1" t="s">
        <v>4379</v>
      </c>
      <c r="AB955" s="1"/>
      <c r="AC955" s="1"/>
      <c r="AD955" s="1"/>
      <c r="AE955" s="1"/>
      <c r="AG955" s="2" t="str">
        <f>"0307269876"</f>
        <v>0307269876</v>
      </c>
      <c r="AH955" s="2" t="str">
        <f>"9780307269874"</f>
        <v>9780307269874</v>
      </c>
      <c r="AI955" s="1">
        <v>0.0</v>
      </c>
      <c r="AJ955" s="1">
        <v>3.85</v>
      </c>
      <c r="AK955" s="1" t="s">
        <v>634</v>
      </c>
      <c r="AL955" s="1" t="s">
        <v>41</v>
      </c>
      <c r="AM955" s="1">
        <v>416.0</v>
      </c>
      <c r="AN955" s="1">
        <v>2014.0</v>
      </c>
      <c r="AO955" s="1">
        <v>2014.0</v>
      </c>
      <c r="AQ955" s="3">
        <v>45164.0</v>
      </c>
      <c r="AR955" s="1" t="s">
        <v>31</v>
      </c>
      <c r="AS955" s="1" t="s">
        <v>4380</v>
      </c>
      <c r="AT955" s="1" t="s">
        <v>31</v>
      </c>
      <c r="AX955" s="1">
        <v>0.0</v>
      </c>
      <c r="AY955" s="1">
        <v>0.0</v>
      </c>
    </row>
    <row r="956" spans="20:51" ht="15.75" hidden="1">
      <c r="T956" s="1">
        <v>79816.0</v>
      </c>
      <c r="U956" s="1"/>
      <c r="V956" s="1"/>
      <c r="W956" s="1"/>
      <c r="X956" s="1"/>
      <c r="Y956" s="1" t="s">
        <v>4381</v>
      </c>
      <c r="Z956" s="1" t="s">
        <v>3116</v>
      </c>
      <c r="AA956" s="1" t="s">
        <v>3117</v>
      </c>
      <c r="AB956" s="1"/>
      <c r="AC956" s="1"/>
      <c r="AD956" s="1"/>
      <c r="AE956" s="1"/>
      <c r="AG956" s="2" t="str">
        <f>"0195179862"</f>
        <v>0195179862</v>
      </c>
      <c r="AH956" s="2" t="str">
        <f>"9780195179866"</f>
        <v>9780195179866</v>
      </c>
      <c r="AI956" s="1">
        <v>0.0</v>
      </c>
      <c r="AJ956" s="1">
        <v>3.67</v>
      </c>
      <c r="AK956" s="1" t="s">
        <v>214</v>
      </c>
      <c r="AL956" s="1" t="s">
        <v>28</v>
      </c>
      <c r="AM956" s="1">
        <v>416.0</v>
      </c>
      <c r="AN956" s="1">
        <v>2005.0</v>
      </c>
      <c r="AO956" s="1">
        <v>2003.0</v>
      </c>
      <c r="AQ956" s="3">
        <v>45164.0</v>
      </c>
      <c r="AR956" s="1" t="s">
        <v>31</v>
      </c>
      <c r="AS956" s="1" t="s">
        <v>4382</v>
      </c>
      <c r="AT956" s="1" t="s">
        <v>31</v>
      </c>
      <c r="AX956" s="1">
        <v>0.0</v>
      </c>
      <c r="AY956" s="1">
        <v>0.0</v>
      </c>
    </row>
    <row r="957" spans="20:51" ht="15.75" hidden="1">
      <c r="T957" s="1">
        <v>31894.0</v>
      </c>
      <c r="U957" s="1"/>
      <c r="V957" s="1"/>
      <c r="W957" s="1"/>
      <c r="X957" s="1"/>
      <c r="Y957" s="1" t="s">
        <v>4383</v>
      </c>
      <c r="Z957" s="1" t="s">
        <v>4384</v>
      </c>
      <c r="AA957" s="1" t="s">
        <v>4385</v>
      </c>
      <c r="AB957" s="1"/>
      <c r="AC957" s="1"/>
      <c r="AD957" s="1"/>
      <c r="AE957" s="1"/>
      <c r="AG957" s="2" t="str">
        <f>"0198752725"</f>
        <v>0198752725</v>
      </c>
      <c r="AH957" s="2" t="str">
        <f>"9780198752721"</f>
        <v>9780198752721</v>
      </c>
      <c r="AI957" s="1">
        <v>0.0</v>
      </c>
      <c r="AJ957" s="1">
        <v>3.94</v>
      </c>
      <c r="AK957" s="1" t="s">
        <v>1186</v>
      </c>
      <c r="AL957" s="1" t="s">
        <v>28</v>
      </c>
      <c r="AM957" s="1">
        <v>341.0</v>
      </c>
      <c r="AN957" s="1">
        <v>2006.0</v>
      </c>
      <c r="AO957" s="1">
        <v>2004.0</v>
      </c>
      <c r="AQ957" s="3">
        <v>45163.0</v>
      </c>
      <c r="AR957" s="1" t="s">
        <v>31</v>
      </c>
      <c r="AS957" s="1" t="s">
        <v>4386</v>
      </c>
      <c r="AT957" s="1" t="s">
        <v>31</v>
      </c>
      <c r="AX957" s="1">
        <v>0.0</v>
      </c>
      <c r="AY957" s="1">
        <v>0.0</v>
      </c>
    </row>
    <row r="958" spans="20:51" ht="15.75" hidden="1">
      <c r="T958" s="1">
        <v>166547.0</v>
      </c>
      <c r="U958" s="1"/>
      <c r="V958" s="1"/>
      <c r="W958" s="1"/>
      <c r="X958" s="1"/>
      <c r="Y958" s="1" t="s">
        <v>4387</v>
      </c>
      <c r="Z958" s="1" t="s">
        <v>4384</v>
      </c>
      <c r="AA958" s="1" t="s">
        <v>4385</v>
      </c>
      <c r="AB958" s="1"/>
      <c r="AC958" s="1"/>
      <c r="AD958" s="1"/>
      <c r="AE958" s="1"/>
      <c r="AG958" s="2" t="str">
        <f>"0631201327"</f>
        <v>0631201327</v>
      </c>
      <c r="AH958" s="2" t="str">
        <f>"9780631201328"</f>
        <v>9780631201328</v>
      </c>
      <c r="AI958" s="1">
        <v>0.0</v>
      </c>
      <c r="AJ958" s="1">
        <v>3.71</v>
      </c>
      <c r="AK958" s="1" t="s">
        <v>1315</v>
      </c>
      <c r="AL958" s="1" t="s">
        <v>28</v>
      </c>
      <c r="AM958" s="1">
        <v>365.0</v>
      </c>
      <c r="AN958" s="1">
        <v>1998.0</v>
      </c>
      <c r="AO958" s="1">
        <v>1998.0</v>
      </c>
      <c r="AQ958" s="3">
        <v>45163.0</v>
      </c>
      <c r="AR958" s="1" t="s">
        <v>31</v>
      </c>
      <c r="AS958" s="1" t="s">
        <v>4388</v>
      </c>
      <c r="AT958" s="1" t="s">
        <v>31</v>
      </c>
      <c r="AX958" s="1">
        <v>0.0</v>
      </c>
      <c r="AY958" s="1">
        <v>0.0</v>
      </c>
    </row>
    <row r="959" spans="20:51" ht="15.75" hidden="1">
      <c r="T959" s="1">
        <v>162124.0</v>
      </c>
      <c r="U959" s="1"/>
      <c r="V959" s="1"/>
      <c r="W959" s="1"/>
      <c r="X959" s="1"/>
      <c r="Y959" s="1" t="s">
        <v>4389</v>
      </c>
      <c r="Z959" s="1" t="s">
        <v>3070</v>
      </c>
      <c r="AA959" s="1" t="s">
        <v>3071</v>
      </c>
      <c r="AB959" s="1"/>
      <c r="AC959" s="1"/>
      <c r="AD959" s="1"/>
      <c r="AE959" s="1"/>
      <c r="AG959" s="2" t="str">
        <f>"0192802674"</f>
        <v>0192802674</v>
      </c>
      <c r="AH959" s="2" t="str">
        <f>"9780192802675"</f>
        <v>9780192802675</v>
      </c>
      <c r="AI959" s="1">
        <v>0.0</v>
      </c>
      <c r="AJ959" s="1">
        <v>3.5</v>
      </c>
      <c r="AK959" s="1" t="s">
        <v>214</v>
      </c>
      <c r="AL959" s="1" t="s">
        <v>28</v>
      </c>
      <c r="AM959" s="1">
        <v>256.0</v>
      </c>
      <c r="AN959" s="1">
        <v>2003.0</v>
      </c>
      <c r="AO959" s="1">
        <v>2002.0</v>
      </c>
      <c r="AQ959" s="3">
        <v>45163.0</v>
      </c>
      <c r="AR959" s="1" t="s">
        <v>31</v>
      </c>
      <c r="AS959" s="1" t="s">
        <v>4390</v>
      </c>
      <c r="AT959" s="1" t="s">
        <v>31</v>
      </c>
      <c r="AX959" s="1">
        <v>0.0</v>
      </c>
      <c r="AY959" s="1">
        <v>0.0</v>
      </c>
    </row>
    <row r="960" spans="20:51" ht="15.75" hidden="1">
      <c r="T960" s="1">
        <v>3.6992441E7</v>
      </c>
      <c r="U960" s="1"/>
      <c r="V960" s="1"/>
      <c r="W960" s="1"/>
      <c r="X960" s="1"/>
      <c r="Y960" s="1" t="s">
        <v>4391</v>
      </c>
      <c r="Z960" s="1" t="s">
        <v>4392</v>
      </c>
      <c r="AA960" s="1" t="s">
        <v>4393</v>
      </c>
      <c r="AB960" s="1"/>
      <c r="AC960" s="1"/>
      <c r="AD960" s="1"/>
      <c r="AE960" s="1"/>
      <c r="AF960" s="1" t="s">
        <v>4394</v>
      </c>
      <c r="AG960" s="2" t="str">
        <f t="shared" si="74" ref="AG960:AH960">""</f>
        <v/>
      </c>
      <c r="AH960" s="2" t="str">
        <f t="shared" si="74"/>
        <v/>
      </c>
      <c r="AI960" s="1">
        <v>0.0</v>
      </c>
      <c r="AJ960" s="1">
        <v>4.12</v>
      </c>
      <c r="AK960" s="1" t="s">
        <v>4395</v>
      </c>
      <c r="AL960" s="1" t="s">
        <v>41</v>
      </c>
      <c r="AM960" s="1">
        <v>288.0</v>
      </c>
      <c r="AN960" s="1">
        <v>2018.0</v>
      </c>
      <c r="AO960" s="1">
        <v>2013.0</v>
      </c>
      <c r="AQ960" s="3">
        <v>45163.0</v>
      </c>
      <c r="AR960" s="1" t="s">
        <v>31</v>
      </c>
      <c r="AS960" s="1" t="s">
        <v>4396</v>
      </c>
      <c r="AT960" s="1" t="s">
        <v>31</v>
      </c>
      <c r="AX960" s="1">
        <v>0.0</v>
      </c>
      <c r="AY960" s="1">
        <v>0.0</v>
      </c>
    </row>
    <row r="961" spans="20:51" ht="15.75" hidden="1">
      <c r="T961" s="1">
        <v>9791.0</v>
      </c>
      <c r="U961" s="1"/>
      <c r="V961" s="1"/>
      <c r="W961" s="1"/>
      <c r="X961" s="1"/>
      <c r="Y961" s="1" t="s">
        <v>4397</v>
      </c>
      <c r="Z961" s="1" t="s">
        <v>4398</v>
      </c>
      <c r="AA961" s="1" t="s">
        <v>4399</v>
      </c>
      <c r="AB961" s="1"/>
      <c r="AC961" s="1"/>
      <c r="AD961" s="1"/>
      <c r="AE961" s="1"/>
      <c r="AG961" s="2" t="str">
        <f>"0307279464"</f>
        <v>0307279464</v>
      </c>
      <c r="AH961" s="2" t="str">
        <f>"9780307279460"</f>
        <v>9780307279460</v>
      </c>
      <c r="AI961" s="1">
        <v>0.0</v>
      </c>
      <c r="AJ961" s="1">
        <v>4.06</v>
      </c>
      <c r="AK961" s="1" t="s">
        <v>2017</v>
      </c>
      <c r="AL961" s="1" t="s">
        <v>315</v>
      </c>
      <c r="AM961" s="1">
        <v>397.0</v>
      </c>
      <c r="AN961" s="1">
        <v>2006.0</v>
      </c>
      <c r="AO961" s="1">
        <v>1998.0</v>
      </c>
      <c r="AQ961" s="3">
        <v>45163.0</v>
      </c>
      <c r="AR961" s="1" t="s">
        <v>31</v>
      </c>
      <c r="AS961" s="1" t="s">
        <v>4400</v>
      </c>
      <c r="AT961" s="1" t="s">
        <v>31</v>
      </c>
      <c r="AX961" s="1">
        <v>0.0</v>
      </c>
      <c r="AY961" s="1">
        <v>0.0</v>
      </c>
    </row>
    <row r="962" spans="20:51" ht="15.75" hidden="1">
      <c r="T962" s="1">
        <v>84737.0</v>
      </c>
      <c r="U962" s="1"/>
      <c r="V962" s="1"/>
      <c r="W962" s="1"/>
      <c r="X962" s="1"/>
      <c r="Y962" s="1" t="s">
        <v>4401</v>
      </c>
      <c r="Z962" s="1" t="s">
        <v>4402</v>
      </c>
      <c r="AA962" s="1" t="s">
        <v>4403</v>
      </c>
      <c r="AB962" s="1"/>
      <c r="AC962" s="1"/>
      <c r="AD962" s="1"/>
      <c r="AE962" s="1"/>
      <c r="AF962" s="1" t="s">
        <v>4404</v>
      </c>
      <c r="AG962" s="2" t="str">
        <f>"0375727760"</f>
        <v>0375727760</v>
      </c>
      <c r="AH962" s="2" t="str">
        <f>"9780375727764"</f>
        <v>9780375727764</v>
      </c>
      <c r="AI962" s="1">
        <v>0.0</v>
      </c>
      <c r="AJ962" s="1">
        <v>3.78</v>
      </c>
      <c r="AK962" s="1" t="s">
        <v>83</v>
      </c>
      <c r="AL962" s="1" t="s">
        <v>28</v>
      </c>
      <c r="AM962" s="1">
        <v>437.0</v>
      </c>
      <c r="AN962" s="1">
        <v>2003.0</v>
      </c>
      <c r="AO962" s="1">
        <v>1923.0</v>
      </c>
      <c r="AQ962" s="3">
        <v>45163.0</v>
      </c>
      <c r="AR962" s="1" t="s">
        <v>31</v>
      </c>
      <c r="AS962" s="1" t="s">
        <v>4405</v>
      </c>
      <c r="AT962" s="1" t="s">
        <v>31</v>
      </c>
      <c r="AX962" s="1">
        <v>0.0</v>
      </c>
      <c r="AY962" s="1">
        <v>0.0</v>
      </c>
    </row>
    <row r="963" spans="20:51" ht="15.75" hidden="1">
      <c r="T963" s="1">
        <v>1380489.0</v>
      </c>
      <c r="U963" s="1"/>
      <c r="V963" s="1"/>
      <c r="W963" s="1"/>
      <c r="X963" s="1"/>
      <c r="Y963" s="1" t="s">
        <v>4406</v>
      </c>
      <c r="Z963" s="1" t="s">
        <v>4407</v>
      </c>
      <c r="AA963" s="1" t="s">
        <v>4408</v>
      </c>
      <c r="AB963" s="1"/>
      <c r="AC963" s="1"/>
      <c r="AD963" s="1"/>
      <c r="AE963" s="1"/>
      <c r="AF963" s="1" t="s">
        <v>4409</v>
      </c>
      <c r="AG963" s="2" t="str">
        <f>"0895267136"</f>
        <v>0895267136</v>
      </c>
      <c r="AH963" s="2" t="str">
        <f>"9780895267139"</f>
        <v>9780895267139</v>
      </c>
      <c r="AI963" s="1">
        <v>0.0</v>
      </c>
      <c r="AJ963" s="1">
        <v>3.69</v>
      </c>
      <c r="AK963" s="1" t="s">
        <v>4410</v>
      </c>
      <c r="AL963" s="1" t="s">
        <v>28</v>
      </c>
      <c r="AM963" s="1">
        <v>71.0</v>
      </c>
      <c r="AN963" s="1">
        <v>1996.0</v>
      </c>
      <c r="AO963" s="1">
        <v>1486.0</v>
      </c>
      <c r="AQ963" s="3">
        <v>45163.0</v>
      </c>
      <c r="AR963" s="1" t="s">
        <v>31</v>
      </c>
      <c r="AS963" s="1" t="s">
        <v>4411</v>
      </c>
      <c r="AT963" s="1" t="s">
        <v>31</v>
      </c>
      <c r="AX963" s="1">
        <v>0.0</v>
      </c>
      <c r="AY963" s="1">
        <v>0.0</v>
      </c>
    </row>
    <row r="964" spans="20:51" ht="15.75" hidden="1">
      <c r="T964" s="1">
        <v>68039.0</v>
      </c>
      <c r="U964" s="1"/>
      <c r="V964" s="1"/>
      <c r="W964" s="1"/>
      <c r="X964" s="1"/>
      <c r="Y964" s="1" t="s">
        <v>4412</v>
      </c>
      <c r="Z964" s="1" t="s">
        <v>1583</v>
      </c>
      <c r="AA964" s="1" t="s">
        <v>1584</v>
      </c>
      <c r="AB964" s="1"/>
      <c r="AC964" s="1"/>
      <c r="AD964" s="1"/>
      <c r="AE964" s="1"/>
      <c r="AG964" s="2" t="str">
        <f>"0802135293"</f>
        <v>0802135293</v>
      </c>
      <c r="AH964" s="2" t="str">
        <f>"9780802135292"</f>
        <v>9780802135292</v>
      </c>
      <c r="AI964" s="1">
        <v>0.0</v>
      </c>
      <c r="AJ964" s="1">
        <v>4.12</v>
      </c>
      <c r="AK964" s="1" t="s">
        <v>35</v>
      </c>
      <c r="AL964" s="1" t="s">
        <v>28</v>
      </c>
      <c r="AM964" s="1">
        <v>320.0</v>
      </c>
      <c r="AN964" s="1">
        <v>1997.0</v>
      </c>
      <c r="AO964" s="1">
        <v>1989.0</v>
      </c>
      <c r="AQ964" s="3">
        <v>45163.0</v>
      </c>
      <c r="AR964" s="1" t="s">
        <v>31</v>
      </c>
      <c r="AS964" s="1" t="s">
        <v>4413</v>
      </c>
      <c r="AT964" s="1" t="s">
        <v>31</v>
      </c>
      <c r="AX964" s="1">
        <v>0.0</v>
      </c>
      <c r="AY964" s="1">
        <v>0.0</v>
      </c>
    </row>
    <row r="965" spans="20:51" ht="15.75" hidden="1">
      <c r="T965" s="1">
        <v>5.8730652E7</v>
      </c>
      <c r="U965" s="1"/>
      <c r="V965" s="1"/>
      <c r="W965" s="1"/>
      <c r="X965" s="1"/>
      <c r="Y965" s="1" t="s">
        <v>4414</v>
      </c>
      <c r="Z965" s="1" t="s">
        <v>4415</v>
      </c>
      <c r="AA965" s="1" t="s">
        <v>4416</v>
      </c>
      <c r="AB965" s="1"/>
      <c r="AC965" s="1"/>
      <c r="AD965" s="1"/>
      <c r="AE965" s="1"/>
      <c r="AF965" s="1" t="s">
        <v>4417</v>
      </c>
      <c r="AG965" s="2" t="str">
        <f>"1913097870"</f>
        <v>1913097870</v>
      </c>
      <c r="AH965" s="2" t="str">
        <f>"9781913097875"</f>
        <v>9781913097875</v>
      </c>
      <c r="AI965" s="1">
        <v>0.0</v>
      </c>
      <c r="AJ965" s="1">
        <v>3.69</v>
      </c>
      <c r="AK965" s="1" t="s">
        <v>138</v>
      </c>
      <c r="AL965" s="1" t="s">
        <v>28</v>
      </c>
      <c r="AM965" s="1">
        <v>118.0</v>
      </c>
      <c r="AN965" s="1">
        <v>2022.0</v>
      </c>
      <c r="AO965" s="1">
        <v>2021.0</v>
      </c>
      <c r="AQ965" s="3">
        <v>45163.0</v>
      </c>
      <c r="AR965" s="1" t="s">
        <v>31</v>
      </c>
      <c r="AS965" s="1" t="s">
        <v>4418</v>
      </c>
      <c r="AT965" s="1" t="s">
        <v>31</v>
      </c>
      <c r="AX965" s="1">
        <v>0.0</v>
      </c>
      <c r="AY965" s="1">
        <v>0.0</v>
      </c>
    </row>
    <row r="966" spans="20:51" ht="15.75" hidden="1">
      <c r="T966" s="1">
        <v>8524528.0</v>
      </c>
      <c r="U966" s="1"/>
      <c r="V966" s="1"/>
      <c r="W966" s="1"/>
      <c r="X966" s="1"/>
      <c r="Y966" s="1" t="s">
        <v>4419</v>
      </c>
      <c r="Z966" s="1" t="s">
        <v>4420</v>
      </c>
      <c r="AA966" s="1" t="s">
        <v>4421</v>
      </c>
      <c r="AB966" s="1"/>
      <c r="AC966" s="1"/>
      <c r="AD966" s="1"/>
      <c r="AE966" s="1"/>
      <c r="AF966" s="1" t="s">
        <v>4422</v>
      </c>
      <c r="AG966" s="2" t="str">
        <f>"098242969X"</f>
        <v>098242969X</v>
      </c>
      <c r="AH966" s="2" t="str">
        <f>"9780982429693"</f>
        <v>9780982429693</v>
      </c>
      <c r="AI966" s="1">
        <v>0.0</v>
      </c>
      <c r="AJ966" s="1">
        <v>4.05</v>
      </c>
      <c r="AK966" s="1" t="s">
        <v>4423</v>
      </c>
      <c r="AL966" s="1" t="s">
        <v>41</v>
      </c>
      <c r="AM966" s="1">
        <v>240.0</v>
      </c>
      <c r="AN966" s="1">
        <v>2010.0</v>
      </c>
      <c r="AO966" s="1">
        <v>2011.0</v>
      </c>
      <c r="AQ966" s="3">
        <v>45163.0</v>
      </c>
      <c r="AR966" s="1" t="s">
        <v>31</v>
      </c>
      <c r="AS966" s="1" t="s">
        <v>4424</v>
      </c>
      <c r="AT966" s="1" t="s">
        <v>31</v>
      </c>
      <c r="AX966" s="1">
        <v>0.0</v>
      </c>
      <c r="AY966" s="1">
        <v>0.0</v>
      </c>
    </row>
    <row r="967" spans="20:51" ht="15.75" hidden="1">
      <c r="T967" s="1">
        <v>579462.0</v>
      </c>
      <c r="U967" s="1"/>
      <c r="V967" s="1"/>
      <c r="W967" s="1"/>
      <c r="X967" s="1"/>
      <c r="Y967" s="1" t="s">
        <v>4425</v>
      </c>
      <c r="Z967" s="1" t="s">
        <v>221</v>
      </c>
      <c r="AA967" s="1" t="s">
        <v>222</v>
      </c>
      <c r="AB967" s="1"/>
      <c r="AC967" s="1"/>
      <c r="AD967" s="1"/>
      <c r="AE967" s="1"/>
      <c r="AF967" s="1" t="s">
        <v>1670</v>
      </c>
      <c r="AG967" s="2" t="str">
        <f t="shared" si="75" ref="AG967:AH967">""</f>
        <v/>
      </c>
      <c r="AH967" s="2" t="str">
        <f t="shared" si="75"/>
        <v/>
      </c>
      <c r="AI967" s="1">
        <v>0.0</v>
      </c>
      <c r="AJ967" s="1">
        <v>4.18</v>
      </c>
      <c r="AK967" s="1" t="s">
        <v>224</v>
      </c>
      <c r="AL967" s="1" t="s">
        <v>28</v>
      </c>
      <c r="AM967" s="1">
        <v>128.0</v>
      </c>
      <c r="AN967" s="1">
        <v>2013.0</v>
      </c>
      <c r="AO967" s="1">
        <v>1969.0</v>
      </c>
      <c r="AQ967" s="3">
        <v>45163.0</v>
      </c>
      <c r="AR967" s="1" t="s">
        <v>31</v>
      </c>
      <c r="AS967" s="1" t="s">
        <v>4426</v>
      </c>
      <c r="AT967" s="1" t="s">
        <v>31</v>
      </c>
      <c r="AX967" s="1">
        <v>0.0</v>
      </c>
      <c r="AY967" s="1">
        <v>0.0</v>
      </c>
    </row>
    <row r="968" spans="20:51" ht="15.75" hidden="1">
      <c r="T968" s="1">
        <v>335989.0</v>
      </c>
      <c r="U968" s="1"/>
      <c r="V968" s="1"/>
      <c r="W968" s="1"/>
      <c r="X968" s="1"/>
      <c r="Y968" s="1" t="s">
        <v>4427</v>
      </c>
      <c r="Z968" s="1" t="s">
        <v>4428</v>
      </c>
      <c r="AA968" s="1" t="s">
        <v>4429</v>
      </c>
      <c r="AB968" s="1"/>
      <c r="AC968" s="1"/>
      <c r="AD968" s="1"/>
      <c r="AE968" s="1"/>
      <c r="AF968" s="1" t="s">
        <v>4430</v>
      </c>
      <c r="AG968" s="2" t="str">
        <f>"0262730065"</f>
        <v>0262730065</v>
      </c>
      <c r="AH968" s="2" t="str">
        <f>"9780262730068"</f>
        <v>9780262730068</v>
      </c>
      <c r="AI968" s="1">
        <v>0.0</v>
      </c>
      <c r="AJ968" s="1">
        <v>3.94</v>
      </c>
      <c r="AK968" s="1" t="s">
        <v>4431</v>
      </c>
      <c r="AL968" s="1" t="s">
        <v>28</v>
      </c>
      <c r="AM968" s="1">
        <v>290.0</v>
      </c>
      <c r="AN968" s="1">
        <v>1964.0</v>
      </c>
      <c r="AO968" s="1">
        <v>1956.0</v>
      </c>
      <c r="AQ968" s="3">
        <v>45163.0</v>
      </c>
      <c r="AR968" s="1" t="s">
        <v>31</v>
      </c>
      <c r="AS968" s="1" t="s">
        <v>4432</v>
      </c>
      <c r="AT968" s="1" t="s">
        <v>31</v>
      </c>
      <c r="AX968" s="1">
        <v>0.0</v>
      </c>
      <c r="AY968" s="1">
        <v>0.0</v>
      </c>
    </row>
    <row r="969" spans="20:51" ht="15.75" hidden="1">
      <c r="T969" s="1">
        <v>64582.0</v>
      </c>
      <c r="U969" s="1"/>
      <c r="V969" s="1"/>
      <c r="W969" s="1"/>
      <c r="X969" s="1"/>
      <c r="Y969" s="1" t="s">
        <v>4433</v>
      </c>
      <c r="Z969" s="1" t="s">
        <v>4434</v>
      </c>
      <c r="AA969" s="1" t="s">
        <v>4435</v>
      </c>
      <c r="AB969" s="1"/>
      <c r="AC969" s="1"/>
      <c r="AD969" s="1"/>
      <c r="AE969" s="1"/>
      <c r="AG969" s="2" t="str">
        <f>"0140092501"</f>
        <v>0140092501</v>
      </c>
      <c r="AH969" s="2" t="str">
        <f>"9780140092509"</f>
        <v>9780140092509</v>
      </c>
      <c r="AI969" s="1">
        <v>0.0</v>
      </c>
      <c r="AJ969" s="1">
        <v>4.03</v>
      </c>
      <c r="AK969" s="1" t="s">
        <v>584</v>
      </c>
      <c r="AL969" s="1" t="s">
        <v>28</v>
      </c>
      <c r="AM969" s="1">
        <v>352.0</v>
      </c>
      <c r="AN969" s="1">
        <v>1988.0</v>
      </c>
      <c r="AO969" s="1">
        <v>1987.0</v>
      </c>
      <c r="AQ969" s="3">
        <v>45163.0</v>
      </c>
      <c r="AR969" s="1" t="s">
        <v>31</v>
      </c>
      <c r="AS969" s="1" t="s">
        <v>4436</v>
      </c>
      <c r="AT969" s="1" t="s">
        <v>31</v>
      </c>
      <c r="AX969" s="1">
        <v>0.0</v>
      </c>
      <c r="AY969" s="1">
        <v>0.0</v>
      </c>
    </row>
    <row r="970" spans="20:51" ht="15.75">
      <c r="T970" s="1">
        <v>7144.0</v>
      </c>
      <c r="U970" s="1"/>
      <c r="V970" s="1"/>
      <c r="W970" s="1"/>
      <c r="X970" s="1"/>
      <c r="Y970" s="1" t="s">
        <v>4437</v>
      </c>
      <c r="Z970" s="1" t="s">
        <v>4438</v>
      </c>
      <c r="AA970" s="1" t="s">
        <v>4439</v>
      </c>
      <c r="AB970" s="1"/>
      <c r="AC970" s="1"/>
      <c r="AD970" s="1"/>
      <c r="AE970" s="1"/>
      <c r="AF970" s="1" t="s">
        <v>4440</v>
      </c>
      <c r="AG970" s="2" t="str">
        <f>"0143058142"</f>
        <v>0143058142</v>
      </c>
      <c r="AH970" s="2" t="str">
        <f>"9780143058144"</f>
        <v>9780143058144</v>
      </c>
      <c r="AI970" s="1">
        <v>0.0</v>
      </c>
      <c r="AJ970" s="1">
        <v>4.26</v>
      </c>
      <c r="AK970" s="1" t="s">
        <v>151</v>
      </c>
      <c r="AL970" s="1" t="s">
        <v>28</v>
      </c>
      <c r="AM970" s="1">
        <v>671.0</v>
      </c>
      <c r="AN970" s="1">
        <v>2002.0</v>
      </c>
      <c r="AO970" s="1">
        <v>1866.0</v>
      </c>
      <c r="AQ970" s="3">
        <v>44814.0</v>
      </c>
      <c r="AR970" s="1" t="s">
        <v>388</v>
      </c>
      <c r="AS970" s="1" t="s">
        <v>4441</v>
      </c>
      <c r="AT970" s="1" t="s">
        <v>31</v>
      </c>
      <c r="AW970" s="1" t="s">
        <v>2435</v>
      </c>
      <c r="AX970" s="1">
        <v>0.0</v>
      </c>
      <c r="AY970" s="1">
        <v>0.0</v>
      </c>
    </row>
    <row r="971" spans="20:51" ht="15.75">
      <c r="T971" s="1">
        <v>1262916.0</v>
      </c>
      <c r="U971" s="1"/>
      <c r="V971" s="1"/>
      <c r="W971" s="1"/>
      <c r="X971" s="1"/>
      <c r="Y971" s="1" t="s">
        <v>4442</v>
      </c>
      <c r="Z971" s="1" t="s">
        <v>4443</v>
      </c>
      <c r="AA971" s="1" t="s">
        <v>4444</v>
      </c>
      <c r="AB971" s="1"/>
      <c r="AC971" s="1"/>
      <c r="AD971" s="1"/>
      <c r="AE971" s="1"/>
      <c r="AG971" s="2" t="str">
        <f>"0671727699"</f>
        <v>0671727699</v>
      </c>
      <c r="AH971" s="2" t="str">
        <f>"9780671727697"</f>
        <v>9780671727697</v>
      </c>
      <c r="AI971" s="1">
        <v>0.0</v>
      </c>
      <c r="AJ971" s="1">
        <v>3.52</v>
      </c>
      <c r="AK971" s="1" t="s">
        <v>345</v>
      </c>
      <c r="AL971" s="1" t="s">
        <v>315</v>
      </c>
      <c r="AM971" s="1">
        <v>480.0</v>
      </c>
      <c r="AN971" s="1">
        <v>1990.0</v>
      </c>
      <c r="AO971" s="1">
        <v>1400.0</v>
      </c>
      <c r="AQ971" s="3">
        <v>44814.0</v>
      </c>
      <c r="AR971" s="1" t="s">
        <v>388</v>
      </c>
      <c r="AS971" s="1" t="s">
        <v>4445</v>
      </c>
      <c r="AT971" s="1" t="s">
        <v>31</v>
      </c>
      <c r="AW971" s="1" t="s">
        <v>2435</v>
      </c>
      <c r="AX971" s="1">
        <v>0.0</v>
      </c>
      <c r="AY971" s="1">
        <v>0.0</v>
      </c>
    </row>
    <row r="972" spans="20:51" ht="15.75" hidden="1">
      <c r="T972" s="1">
        <v>1.29263635E8</v>
      </c>
      <c r="U972" s="1"/>
      <c r="V972" s="1"/>
      <c r="W972" s="1"/>
      <c r="X972" s="1"/>
      <c r="Y972" s="1" t="s">
        <v>4446</v>
      </c>
      <c r="Z972" s="1" t="s">
        <v>3861</v>
      </c>
      <c r="AA972" s="1" t="s">
        <v>3862</v>
      </c>
      <c r="AB972" s="1"/>
      <c r="AC972" s="1"/>
      <c r="AD972" s="1"/>
      <c r="AE972" s="1"/>
      <c r="AF972" s="1" t="s">
        <v>4447</v>
      </c>
      <c r="AG972" s="2" t="str">
        <f>"1609809483"</f>
        <v>1609809483</v>
      </c>
      <c r="AH972" s="2" t="str">
        <f>"9781609809485"</f>
        <v>9781609809485</v>
      </c>
      <c r="AI972" s="1">
        <v>0.0</v>
      </c>
      <c r="AJ972" s="1">
        <v>4.32</v>
      </c>
      <c r="AK972" s="1" t="s">
        <v>1956</v>
      </c>
      <c r="AL972" s="1" t="s">
        <v>28</v>
      </c>
      <c r="AM972" s="1">
        <v>96.0</v>
      </c>
      <c r="AN972" s="1">
        <v>2022.0</v>
      </c>
      <c r="AO972" s="1">
        <v>2000.0</v>
      </c>
      <c r="AQ972" s="3">
        <v>45163.0</v>
      </c>
      <c r="AR972" s="1" t="s">
        <v>31</v>
      </c>
      <c r="AS972" s="1" t="s">
        <v>4448</v>
      </c>
      <c r="AT972" s="1" t="s">
        <v>31</v>
      </c>
      <c r="AX972" s="1">
        <v>0.0</v>
      </c>
      <c r="AY972" s="1">
        <v>0.0</v>
      </c>
    </row>
    <row r="973" spans="20:51" ht="15.75" hidden="1">
      <c r="T973" s="1">
        <v>1.2609433E7</v>
      </c>
      <c r="U973" s="1"/>
      <c r="V973" s="1"/>
      <c r="W973" s="1"/>
      <c r="X973" s="1"/>
      <c r="Y973" s="1" t="s">
        <v>4449</v>
      </c>
      <c r="Z973" s="1" t="s">
        <v>4450</v>
      </c>
      <c r="AA973" s="1" t="s">
        <v>4451</v>
      </c>
      <c r="AB973" s="1"/>
      <c r="AC973" s="1"/>
      <c r="AD973" s="1"/>
      <c r="AE973" s="1"/>
      <c r="AG973" s="2" t="str">
        <f>"1400069289"</f>
        <v>1400069289</v>
      </c>
      <c r="AH973" s="2" t="str">
        <f>"9781400069286"</f>
        <v>9781400069286</v>
      </c>
      <c r="AI973" s="1">
        <v>0.0</v>
      </c>
      <c r="AJ973" s="1">
        <v>4.13</v>
      </c>
      <c r="AK973" s="1" t="s">
        <v>988</v>
      </c>
      <c r="AL973" s="1" t="s">
        <v>41</v>
      </c>
      <c r="AM973" s="1">
        <v>375.0</v>
      </c>
      <c r="AN973" s="1">
        <v>2012.0</v>
      </c>
      <c r="AO973" s="1">
        <v>2012.0</v>
      </c>
      <c r="AQ973" s="3">
        <v>45163.0</v>
      </c>
      <c r="AR973" s="1" t="s">
        <v>31</v>
      </c>
      <c r="AS973" s="1" t="s">
        <v>4452</v>
      </c>
      <c r="AT973" s="1" t="s">
        <v>31</v>
      </c>
      <c r="AX973" s="1">
        <v>0.0</v>
      </c>
      <c r="AY973" s="1">
        <v>0.0</v>
      </c>
    </row>
    <row r="974" spans="20:51" ht="15.75" hidden="1">
      <c r="T974" s="1">
        <v>50316.0</v>
      </c>
      <c r="U974" s="1"/>
      <c r="V974" s="1"/>
      <c r="W974" s="1"/>
      <c r="X974" s="1"/>
      <c r="Y974" s="1" t="s">
        <v>4453</v>
      </c>
      <c r="Z974" s="1" t="s">
        <v>1073</v>
      </c>
      <c r="AA974" s="1" t="s">
        <v>1074</v>
      </c>
      <c r="AB974" s="1"/>
      <c r="AC974" s="1"/>
      <c r="AD974" s="1"/>
      <c r="AE974" s="1"/>
      <c r="AG974" s="2" t="str">
        <f>"0061139742"</f>
        <v>0061139742</v>
      </c>
      <c r="AH974" s="2" t="str">
        <f>"9780061139741"</f>
        <v>9780061139741</v>
      </c>
      <c r="AI974" s="1">
        <v>4.0</v>
      </c>
      <c r="AJ974" s="1">
        <v>4.34</v>
      </c>
      <c r="AK974" s="1" t="s">
        <v>194</v>
      </c>
      <c r="AL974" s="1" t="s">
        <v>41</v>
      </c>
      <c r="AM974" s="1">
        <v>1216.0</v>
      </c>
      <c r="AN974" s="1">
        <v>2006.0</v>
      </c>
      <c r="AO974" s="1">
        <v>2006.0</v>
      </c>
      <c r="AP974" s="3">
        <v>41611.0</v>
      </c>
      <c r="AQ974" s="3">
        <v>41364.0</v>
      </c>
      <c r="AR974" s="1" t="s">
        <v>4454</v>
      </c>
      <c r="AS974" s="1" t="s">
        <v>4455</v>
      </c>
      <c r="AT974" s="1" t="s">
        <v>127</v>
      </c>
      <c r="AX974" s="1">
        <v>1.0</v>
      </c>
      <c r="AY974" s="1">
        <v>0.0</v>
      </c>
    </row>
    <row r="975" spans="20:51" ht="15.75" hidden="1">
      <c r="T975" s="1">
        <v>556109.0</v>
      </c>
      <c r="U975" s="1"/>
      <c r="V975" s="1"/>
      <c r="W975" s="1"/>
      <c r="X975" s="1"/>
      <c r="Y975" s="1" t="s">
        <v>4456</v>
      </c>
      <c r="Z975" s="1" t="s">
        <v>1073</v>
      </c>
      <c r="AA975" s="1" t="s">
        <v>1074</v>
      </c>
      <c r="AB975" s="1"/>
      <c r="AC975" s="1"/>
      <c r="AD975" s="1"/>
      <c r="AE975" s="1"/>
      <c r="AG975" s="2" t="str">
        <f>"0060192941"</f>
        <v>0060192941</v>
      </c>
      <c r="AH975" s="2" t="str">
        <f>"9780060192945"</f>
        <v>9780060192945</v>
      </c>
      <c r="AI975" s="1">
        <v>4.0</v>
      </c>
      <c r="AJ975" s="1">
        <v>4.12</v>
      </c>
      <c r="AK975" s="1" t="s">
        <v>194</v>
      </c>
      <c r="AL975" s="1" t="s">
        <v>4457</v>
      </c>
      <c r="AM975" s="1">
        <v>560.0</v>
      </c>
      <c r="AN975" s="1">
        <v>2000.0</v>
      </c>
      <c r="AO975" s="1">
        <v>2013.0</v>
      </c>
      <c r="AP975" s="3">
        <v>41611.0</v>
      </c>
      <c r="AQ975" s="3">
        <v>41464.0</v>
      </c>
      <c r="AR975" s="1" t="s">
        <v>1196</v>
      </c>
      <c r="AS975" s="1" t="s">
        <v>4458</v>
      </c>
      <c r="AT975" s="1" t="s">
        <v>31</v>
      </c>
      <c r="AX975" s="1">
        <v>1.0</v>
      </c>
      <c r="AY975" s="1">
        <v>0.0</v>
      </c>
    </row>
    <row r="976" spans="20:51" ht="15.75" hidden="1">
      <c r="T976" s="1">
        <v>1.3850571E8</v>
      </c>
      <c r="U976" s="1"/>
      <c r="V976" s="1"/>
      <c r="W976" s="1"/>
      <c r="X976" s="1"/>
      <c r="Y976" s="1" t="s">
        <v>4459</v>
      </c>
      <c r="Z976" s="1" t="s">
        <v>4460</v>
      </c>
      <c r="AA976" s="1" t="s">
        <v>4461</v>
      </c>
      <c r="AB976" s="1"/>
      <c r="AC976" s="1"/>
      <c r="AD976" s="1"/>
      <c r="AE976" s="1"/>
      <c r="AG976" s="2" t="str">
        <f>"0374610320"</f>
        <v>0374610320</v>
      </c>
      <c r="AH976" s="2" t="str">
        <f>"9780374610326"</f>
        <v>9780374610326</v>
      </c>
      <c r="AI976" s="1">
        <v>0.0</v>
      </c>
      <c r="AJ976" s="1">
        <v>4.41</v>
      </c>
      <c r="AK976" s="1" t="s">
        <v>89</v>
      </c>
      <c r="AL976" s="1" t="s">
        <v>41</v>
      </c>
      <c r="AM976" s="1">
        <v>416.0</v>
      </c>
      <c r="AN976" s="1">
        <v>2023.0</v>
      </c>
      <c r="AO976" s="1">
        <v>2023.0</v>
      </c>
      <c r="AQ976" s="3">
        <v>45161.0</v>
      </c>
      <c r="AR976" s="1" t="s">
        <v>31</v>
      </c>
      <c r="AS976" s="1" t="s">
        <v>4462</v>
      </c>
      <c r="AT976" s="1" t="s">
        <v>31</v>
      </c>
      <c r="AX976" s="1">
        <v>0.0</v>
      </c>
      <c r="AY976" s="1">
        <v>0.0</v>
      </c>
    </row>
    <row r="977" spans="20:51" ht="15.75" hidden="1">
      <c r="T977" s="1">
        <v>2.8114392E7</v>
      </c>
      <c r="U977" s="1"/>
      <c r="V977" s="1"/>
      <c r="W977" s="1"/>
      <c r="X977" s="1"/>
      <c r="Y977" s="1" t="s">
        <v>4463</v>
      </c>
      <c r="Z977" s="1" t="s">
        <v>4464</v>
      </c>
      <c r="AA977" s="1" t="s">
        <v>4465</v>
      </c>
      <c r="AB977" s="1"/>
      <c r="AC977" s="1"/>
      <c r="AD977" s="1"/>
      <c r="AE977" s="1"/>
      <c r="AF977" s="1" t="s">
        <v>4466</v>
      </c>
      <c r="AG977" s="2" t="str">
        <f>"0544812115"</f>
        <v>0544812115</v>
      </c>
      <c r="AH977" s="2" t="str">
        <f>"9780544812116"</f>
        <v>9780544812116</v>
      </c>
      <c r="AI977" s="1">
        <v>0.0</v>
      </c>
      <c r="AJ977" s="1">
        <v>3.85</v>
      </c>
      <c r="AK977" s="1" t="s">
        <v>403</v>
      </c>
      <c r="AL977" s="1" t="s">
        <v>28</v>
      </c>
      <c r="AM977" s="1">
        <v>432.0</v>
      </c>
      <c r="AN977" s="1">
        <v>2016.0</v>
      </c>
      <c r="AO977" s="1">
        <v>2016.0</v>
      </c>
      <c r="AQ977" s="3">
        <v>45114.0</v>
      </c>
      <c r="AR977" s="1" t="s">
        <v>3137</v>
      </c>
      <c r="AS977" s="1" t="s">
        <v>4467</v>
      </c>
      <c r="AT977" s="1" t="s">
        <v>31</v>
      </c>
      <c r="AX977" s="1">
        <v>0.0</v>
      </c>
      <c r="AY977" s="1">
        <v>0.0</v>
      </c>
    </row>
    <row r="978" spans="20:51" ht="15.75" hidden="1">
      <c r="T978" s="1">
        <v>2.5628253E7</v>
      </c>
      <c r="U978" s="1"/>
      <c r="V978" s="1"/>
      <c r="W978" s="1"/>
      <c r="X978" s="1"/>
      <c r="Y978" s="1" t="s">
        <v>4468</v>
      </c>
      <c r="Z978" s="1" t="s">
        <v>4469</v>
      </c>
      <c r="AA978" s="1" t="s">
        <v>4470</v>
      </c>
      <c r="AB978" s="1"/>
      <c r="AC978" s="1"/>
      <c r="AD978" s="1"/>
      <c r="AE978" s="1"/>
      <c r="AG978" s="2" t="str">
        <f>"0813937353"</f>
        <v>0813937353</v>
      </c>
      <c r="AH978" s="2" t="str">
        <f>"9780813937359"</f>
        <v>9780813937359</v>
      </c>
      <c r="AI978" s="1">
        <v>0.0</v>
      </c>
      <c r="AJ978" s="1">
        <v>3.63</v>
      </c>
      <c r="AK978" s="1" t="s">
        <v>4471</v>
      </c>
      <c r="AL978" s="1" t="s">
        <v>59</v>
      </c>
      <c r="AM978" s="1">
        <v>176.0</v>
      </c>
      <c r="AN978" s="1">
        <v>2015.0</v>
      </c>
      <c r="AO978" s="1">
        <v>2015.0</v>
      </c>
      <c r="AQ978" s="3">
        <v>45161.0</v>
      </c>
      <c r="AR978" s="1" t="s">
        <v>31</v>
      </c>
      <c r="AS978" s="1" t="s">
        <v>4472</v>
      </c>
      <c r="AT978" s="1" t="s">
        <v>31</v>
      </c>
      <c r="AX978" s="1">
        <v>0.0</v>
      </c>
      <c r="AY978" s="1">
        <v>0.0</v>
      </c>
    </row>
    <row r="979" spans="20:51" ht="15.75" hidden="1">
      <c r="T979" s="1">
        <v>4.0887358E7</v>
      </c>
      <c r="U979" s="1"/>
      <c r="V979" s="1"/>
      <c r="W979" s="1"/>
      <c r="X979" s="1"/>
      <c r="Y979" s="1" t="s">
        <v>4473</v>
      </c>
      <c r="Z979" s="1" t="s">
        <v>4474</v>
      </c>
      <c r="AA979" s="1" t="s">
        <v>4475</v>
      </c>
      <c r="AB979" s="1"/>
      <c r="AC979" s="1"/>
      <c r="AD979" s="1"/>
      <c r="AE979" s="1"/>
      <c r="AF979" s="1" t="s">
        <v>4476</v>
      </c>
      <c r="AG979" s="2" t="str">
        <f>"030023824X"</f>
        <v>030023824X</v>
      </c>
      <c r="AH979" s="2" t="str">
        <f>"9780300238242"</f>
        <v>9780300238242</v>
      </c>
      <c r="AI979" s="1">
        <v>0.0</v>
      </c>
      <c r="AJ979" s="1">
        <v>3.85</v>
      </c>
      <c r="AK979" s="1" t="s">
        <v>545</v>
      </c>
      <c r="AL979" s="1" t="s">
        <v>41</v>
      </c>
      <c r="AM979" s="1">
        <v>216.0</v>
      </c>
      <c r="AN979" s="1">
        <v>2019.0</v>
      </c>
      <c r="AQ979" s="3">
        <v>45161.0</v>
      </c>
      <c r="AR979" s="1" t="s">
        <v>31</v>
      </c>
      <c r="AS979" s="1" t="s">
        <v>4477</v>
      </c>
      <c r="AT979" s="1" t="s">
        <v>31</v>
      </c>
      <c r="AX979" s="1">
        <v>0.0</v>
      </c>
      <c r="AY979" s="1">
        <v>0.0</v>
      </c>
    </row>
    <row r="980" spans="20:51" ht="15.75" hidden="1">
      <c r="T980" s="1">
        <v>44953.0</v>
      </c>
      <c r="U980" s="1"/>
      <c r="V980" s="1"/>
      <c r="W980" s="1"/>
      <c r="X980" s="1"/>
      <c r="Y980" s="1" t="s">
        <v>4478</v>
      </c>
      <c r="Z980" s="1" t="s">
        <v>4479</v>
      </c>
      <c r="AA980" s="1" t="s">
        <v>4480</v>
      </c>
      <c r="AB980" s="1"/>
      <c r="AC980" s="1"/>
      <c r="AD980" s="1"/>
      <c r="AE980" s="1"/>
      <c r="AG980" s="2" t="str">
        <f>"0486247619"</f>
        <v>0486247619</v>
      </c>
      <c r="AH980" s="2" t="str">
        <f>"9780486247618"</f>
        <v>9780486247618</v>
      </c>
      <c r="AI980" s="1">
        <v>0.0</v>
      </c>
      <c r="AJ980" s="1">
        <v>3.89</v>
      </c>
      <c r="AK980" s="1" t="s">
        <v>540</v>
      </c>
      <c r="AL980" s="1" t="s">
        <v>28</v>
      </c>
      <c r="AM980" s="1">
        <v>96.0</v>
      </c>
      <c r="AN980" s="1">
        <v>1984.0</v>
      </c>
      <c r="AO980" s="1">
        <v>1972.0</v>
      </c>
      <c r="AQ980" s="3">
        <v>45160.0</v>
      </c>
      <c r="AR980" s="1" t="s">
        <v>31</v>
      </c>
      <c r="AS980" s="1" t="s">
        <v>4481</v>
      </c>
      <c r="AT980" s="1" t="s">
        <v>31</v>
      </c>
      <c r="AX980" s="1">
        <v>0.0</v>
      </c>
      <c r="AY980" s="1">
        <v>0.0</v>
      </c>
    </row>
    <row r="981" spans="20:51" ht="15.75" hidden="1">
      <c r="T981" s="1">
        <v>85766.0</v>
      </c>
      <c r="U981" s="1"/>
      <c r="V981" s="1"/>
      <c r="W981" s="1"/>
      <c r="X981" s="1"/>
      <c r="Y981" s="1" t="s">
        <v>4482</v>
      </c>
      <c r="Z981" s="1" t="s">
        <v>4483</v>
      </c>
      <c r="AA981" s="1" t="s">
        <v>4484</v>
      </c>
      <c r="AB981" s="1"/>
      <c r="AC981" s="1"/>
      <c r="AD981" s="1"/>
      <c r="AE981" s="1"/>
      <c r="AG981" s="2" t="str">
        <f>"0520078748"</f>
        <v>0520078748</v>
      </c>
      <c r="AH981" s="2" t="str">
        <f>"9780520078741"</f>
        <v>9780520078741</v>
      </c>
      <c r="AI981" s="1">
        <v>0.0</v>
      </c>
      <c r="AJ981" s="1">
        <v>4.11</v>
      </c>
      <c r="AK981" s="1" t="s">
        <v>1306</v>
      </c>
      <c r="AL981" s="1" t="s">
        <v>28</v>
      </c>
      <c r="AM981" s="1">
        <v>258.0</v>
      </c>
      <c r="AN981" s="1">
        <v>1990.0</v>
      </c>
      <c r="AO981" s="1">
        <v>1990.0</v>
      </c>
      <c r="AQ981" s="3">
        <v>45157.0</v>
      </c>
      <c r="AR981" s="1" t="s">
        <v>31</v>
      </c>
      <c r="AS981" s="1" t="s">
        <v>4485</v>
      </c>
      <c r="AT981" s="1" t="s">
        <v>31</v>
      </c>
      <c r="AX981" s="1">
        <v>0.0</v>
      </c>
      <c r="AY981" s="1">
        <v>0.0</v>
      </c>
    </row>
    <row r="982" spans="20:51" ht="15.75" hidden="1">
      <c r="T982" s="1">
        <v>39934.0</v>
      </c>
      <c r="U982" s="1"/>
      <c r="V982" s="1"/>
      <c r="W982" s="1"/>
      <c r="X982" s="1"/>
      <c r="Y982" s="1" t="s">
        <v>4486</v>
      </c>
      <c r="Z982" s="1" t="s">
        <v>1653</v>
      </c>
      <c r="AA982" s="1" t="s">
        <v>4487</v>
      </c>
      <c r="AB982" s="1"/>
      <c r="AC982" s="1"/>
      <c r="AD982" s="1"/>
      <c r="AE982" s="1"/>
      <c r="AG982" s="2" t="str">
        <f>"0060777052"</f>
        <v>0060777052</v>
      </c>
      <c r="AH982" s="2" t="str">
        <f>"9780060777050"</f>
        <v>9780060777050</v>
      </c>
      <c r="AI982" s="1">
        <v>0.0</v>
      </c>
      <c r="AJ982" s="1">
        <v>3.78</v>
      </c>
      <c r="AK982" s="1" t="s">
        <v>474</v>
      </c>
      <c r="AL982" s="1" t="s">
        <v>28</v>
      </c>
      <c r="AM982" s="1">
        <v>302.0</v>
      </c>
      <c r="AN982" s="1">
        <v>2007.0</v>
      </c>
      <c r="AO982" s="1">
        <v>2006.0</v>
      </c>
      <c r="AQ982" s="3">
        <v>45157.0</v>
      </c>
      <c r="AR982" s="1" t="s">
        <v>31</v>
      </c>
      <c r="AS982" s="1" t="s">
        <v>4488</v>
      </c>
      <c r="AT982" s="1" t="s">
        <v>31</v>
      </c>
      <c r="AX982" s="1">
        <v>0.0</v>
      </c>
      <c r="AY982" s="1">
        <v>0.0</v>
      </c>
    </row>
    <row r="983" spans="20:51" ht="15.75" hidden="1">
      <c r="T983" s="1">
        <v>228264.0</v>
      </c>
      <c r="U983" s="1"/>
      <c r="V983" s="1"/>
      <c r="W983" s="1"/>
      <c r="X983" s="1"/>
      <c r="Y983" s="1" t="s">
        <v>4489</v>
      </c>
      <c r="Z983" s="1" t="s">
        <v>4490</v>
      </c>
      <c r="AA983" s="1" t="s">
        <v>4491</v>
      </c>
      <c r="AB983" s="1"/>
      <c r="AC983" s="1"/>
      <c r="AD983" s="1"/>
      <c r="AE983" s="1"/>
      <c r="AG983" s="2" t="str">
        <f>"019285383X"</f>
        <v>019285383X</v>
      </c>
      <c r="AH983" s="2" t="str">
        <f>"9780192853837"</f>
        <v>9780192853837</v>
      </c>
      <c r="AI983" s="1">
        <v>0.0</v>
      </c>
      <c r="AJ983" s="1">
        <v>3.66</v>
      </c>
      <c r="AK983" s="1" t="s">
        <v>214</v>
      </c>
      <c r="AL983" s="1" t="s">
        <v>28</v>
      </c>
      <c r="AM983" s="1">
        <v>144.0</v>
      </c>
      <c r="AN983" s="1">
        <v>2000.0</v>
      </c>
      <c r="AO983" s="1">
        <v>1997.0</v>
      </c>
      <c r="AQ983" s="3">
        <v>45157.0</v>
      </c>
      <c r="AR983" s="1" t="s">
        <v>31</v>
      </c>
      <c r="AS983" s="1" t="s">
        <v>4492</v>
      </c>
      <c r="AT983" s="1" t="s">
        <v>31</v>
      </c>
      <c r="AX983" s="1">
        <v>0.0</v>
      </c>
      <c r="AY983" s="1">
        <v>0.0</v>
      </c>
    </row>
    <row r="984" spans="20:51" ht="15.75" hidden="1">
      <c r="T984" s="1">
        <v>39933.0</v>
      </c>
      <c r="U984" s="1"/>
      <c r="V984" s="1"/>
      <c r="W984" s="1"/>
      <c r="X984" s="1"/>
      <c r="Y984" s="1" t="s">
        <v>4493</v>
      </c>
      <c r="Z984" s="1" t="s">
        <v>4494</v>
      </c>
      <c r="AA984" s="1" t="s">
        <v>4495</v>
      </c>
      <c r="AB984" s="1"/>
      <c r="AC984" s="1"/>
      <c r="AD984" s="1"/>
      <c r="AE984" s="1"/>
      <c r="AG984" s="2" t="str">
        <f>"006000942X"</f>
        <v>006000942X</v>
      </c>
      <c r="AH984" s="2" t="str">
        <f>"9780060009427"</f>
        <v>9780060009427</v>
      </c>
      <c r="AI984" s="1">
        <v>0.0</v>
      </c>
      <c r="AJ984" s="1">
        <v>3.61</v>
      </c>
      <c r="AK984" s="1" t="s">
        <v>474</v>
      </c>
      <c r="AL984" s="1" t="s">
        <v>28</v>
      </c>
      <c r="AM984" s="1">
        <v>314.0</v>
      </c>
      <c r="AN984" s="1">
        <v>2003.0</v>
      </c>
      <c r="AO984" s="1">
        <v>2003.0</v>
      </c>
      <c r="AQ984" s="3">
        <v>45157.0</v>
      </c>
      <c r="AR984" s="1" t="s">
        <v>31</v>
      </c>
      <c r="AS984" s="1" t="s">
        <v>4496</v>
      </c>
      <c r="AT984" s="1" t="s">
        <v>31</v>
      </c>
      <c r="AX984" s="1">
        <v>0.0</v>
      </c>
      <c r="AY984" s="1">
        <v>0.0</v>
      </c>
    </row>
    <row r="985" spans="20:51" ht="15.75" hidden="1">
      <c r="T985" s="1">
        <v>1.3528351E7</v>
      </c>
      <c r="U985" s="1"/>
      <c r="V985" s="1"/>
      <c r="W985" s="1"/>
      <c r="X985" s="1"/>
      <c r="Y985" s="1" t="s">
        <v>4497</v>
      </c>
      <c r="Z985" s="1" t="s">
        <v>2296</v>
      </c>
      <c r="AA985" s="1" t="s">
        <v>2297</v>
      </c>
      <c r="AB985" s="1"/>
      <c r="AC985" s="1"/>
      <c r="AD985" s="1"/>
      <c r="AE985" s="1"/>
      <c r="AG985" s="2" t="str">
        <f>"0316182370"</f>
        <v>0316182370</v>
      </c>
      <c r="AH985" s="2" t="str">
        <f>"9780316182379"</f>
        <v>9780316182379</v>
      </c>
      <c r="AI985" s="1">
        <v>0.0</v>
      </c>
      <c r="AJ985" s="1">
        <v>3.86</v>
      </c>
      <c r="AK985" s="1" t="s">
        <v>380</v>
      </c>
      <c r="AL985" s="1" t="s">
        <v>41</v>
      </c>
      <c r="AM985" s="1">
        <v>328.0</v>
      </c>
      <c r="AN985" s="1">
        <v>2012.0</v>
      </c>
      <c r="AO985" s="1">
        <v>2012.0</v>
      </c>
      <c r="AQ985" s="3">
        <v>45157.0</v>
      </c>
      <c r="AR985" s="1" t="s">
        <v>31</v>
      </c>
      <c r="AS985" s="1" t="s">
        <v>4498</v>
      </c>
      <c r="AT985" s="1" t="s">
        <v>31</v>
      </c>
      <c r="AX985" s="1">
        <v>0.0</v>
      </c>
      <c r="AY985" s="1">
        <v>0.0</v>
      </c>
    </row>
    <row r="986" spans="20:51" ht="15.75" hidden="1">
      <c r="T986" s="1">
        <v>433567.0</v>
      </c>
      <c r="U986" s="1"/>
      <c r="V986" s="1"/>
      <c r="W986" s="1"/>
      <c r="X986" s="1"/>
      <c r="Y986" s="1" t="s">
        <v>4499</v>
      </c>
      <c r="Z986" s="1" t="s">
        <v>4500</v>
      </c>
      <c r="AA986" s="1" t="s">
        <v>4501</v>
      </c>
      <c r="AB986" s="1"/>
      <c r="AC986" s="1"/>
      <c r="AD986" s="1"/>
      <c r="AE986" s="1"/>
      <c r="AG986" s="2" t="str">
        <f>"048627263X"</f>
        <v>048627263X</v>
      </c>
      <c r="AH986" s="2" t="str">
        <f>"9780486272634"</f>
        <v>9780486272634</v>
      </c>
      <c r="AI986" s="1">
        <v>0.0</v>
      </c>
      <c r="AJ986" s="1">
        <v>3.81</v>
      </c>
      <c r="AK986" s="1" t="s">
        <v>4502</v>
      </c>
      <c r="AL986" s="1" t="s">
        <v>28</v>
      </c>
      <c r="AM986" s="1">
        <v>96.0</v>
      </c>
      <c r="AN986" s="1">
        <v>1992.0</v>
      </c>
      <c r="AO986" s="1">
        <v>1884.0</v>
      </c>
      <c r="AQ986" s="3">
        <v>45157.0</v>
      </c>
      <c r="AR986" s="1" t="s">
        <v>31</v>
      </c>
      <c r="AS986" s="1" t="s">
        <v>4503</v>
      </c>
      <c r="AT986" s="1" t="s">
        <v>31</v>
      </c>
      <c r="AX986" s="1">
        <v>0.0</v>
      </c>
      <c r="AY986" s="1">
        <v>0.0</v>
      </c>
    </row>
    <row r="987" spans="20:51" ht="15.75" hidden="1">
      <c r="T987" s="1">
        <v>60213.0</v>
      </c>
      <c r="U987" s="1"/>
      <c r="V987" s="1"/>
      <c r="W987" s="1"/>
      <c r="X987" s="1"/>
      <c r="Y987" s="1" t="s">
        <v>4504</v>
      </c>
      <c r="Z987" s="1" t="s">
        <v>4505</v>
      </c>
      <c r="AA987" s="1" t="s">
        <v>4506</v>
      </c>
      <c r="AB987" s="1"/>
      <c r="AC987" s="1"/>
      <c r="AD987" s="1"/>
      <c r="AE987" s="1"/>
      <c r="AG987" s="2" t="str">
        <f>"0312890338"</f>
        <v>0312890338</v>
      </c>
      <c r="AH987" s="2" t="str">
        <f>"9780312890339"</f>
        <v>9780312890339</v>
      </c>
      <c r="AI987" s="1">
        <v>0.0</v>
      </c>
      <c r="AJ987" s="1">
        <v>4.1</v>
      </c>
      <c r="AK987" s="1" t="s">
        <v>1834</v>
      </c>
      <c r="AL987" s="1" t="s">
        <v>28</v>
      </c>
      <c r="AM987" s="1">
        <v>272.0</v>
      </c>
      <c r="AN987" s="1">
        <v>1995.0</v>
      </c>
      <c r="AO987" s="1">
        <v>1975.0</v>
      </c>
      <c r="AQ987" s="3">
        <v>45157.0</v>
      </c>
      <c r="AR987" s="1" t="s">
        <v>31</v>
      </c>
      <c r="AS987" s="1" t="s">
        <v>4507</v>
      </c>
      <c r="AT987" s="1" t="s">
        <v>31</v>
      </c>
      <c r="AX987" s="1">
        <v>0.0</v>
      </c>
      <c r="AY987" s="1">
        <v>0.0</v>
      </c>
    </row>
    <row r="988" spans="20:51" ht="15.75" hidden="1">
      <c r="T988" s="1">
        <v>143224.0</v>
      </c>
      <c r="U988" s="1"/>
      <c r="V988" s="1"/>
      <c r="W988" s="1"/>
      <c r="X988" s="1"/>
      <c r="Y988" s="1" t="s">
        <v>4508</v>
      </c>
      <c r="Z988" s="1" t="s">
        <v>2502</v>
      </c>
      <c r="AA988" s="1" t="s">
        <v>2503</v>
      </c>
      <c r="AB988" s="1"/>
      <c r="AC988" s="1"/>
      <c r="AD988" s="1"/>
      <c r="AE988" s="1"/>
      <c r="AG988" s="2" t="str">
        <f>"1419132474"</f>
        <v>1419132474</v>
      </c>
      <c r="AH988" s="2" t="str">
        <f>"9781419132476"</f>
        <v>9781419132476</v>
      </c>
      <c r="AI988" s="1">
        <v>0.0</v>
      </c>
      <c r="AJ988" s="1">
        <v>3.89</v>
      </c>
      <c r="AK988" s="1" t="s">
        <v>4509</v>
      </c>
      <c r="AL988" s="1" t="s">
        <v>28</v>
      </c>
      <c r="AM988" s="1">
        <v>221.0</v>
      </c>
      <c r="AN988" s="1">
        <v>2004.0</v>
      </c>
      <c r="AO988" s="1">
        <v>1930.0</v>
      </c>
      <c r="AQ988" s="3">
        <v>45156.0</v>
      </c>
      <c r="AR988" s="1" t="s">
        <v>31</v>
      </c>
      <c r="AS988" s="1" t="s">
        <v>4510</v>
      </c>
      <c r="AT988" s="1" t="s">
        <v>31</v>
      </c>
      <c r="AX988" s="1">
        <v>0.0</v>
      </c>
      <c r="AY988" s="1">
        <v>0.0</v>
      </c>
    </row>
    <row r="989" spans="20:51" ht="15.75" hidden="1">
      <c r="T989" s="1">
        <v>114523.0</v>
      </c>
      <c r="U989" s="1"/>
      <c r="V989" s="1"/>
      <c r="W989" s="1"/>
      <c r="X989" s="1"/>
      <c r="Y989" s="1" t="s">
        <v>4511</v>
      </c>
      <c r="Z989" s="1" t="s">
        <v>4512</v>
      </c>
      <c r="AA989" s="1" t="s">
        <v>4513</v>
      </c>
      <c r="AB989" s="1"/>
      <c r="AC989" s="1"/>
      <c r="AD989" s="1"/>
      <c r="AE989" s="1"/>
      <c r="AG989" s="2" t="str">
        <f>"0380726335"</f>
        <v>0380726335</v>
      </c>
      <c r="AH989" s="2" t="str">
        <f>"9780380726332"</f>
        <v>9780380726332</v>
      </c>
      <c r="AI989" s="1">
        <v>0.0</v>
      </c>
      <c r="AJ989" s="1">
        <v>3.98</v>
      </c>
      <c r="AK989" s="1" t="s">
        <v>2560</v>
      </c>
      <c r="AL989" s="1" t="s">
        <v>28</v>
      </c>
      <c r="AM989" s="1">
        <v>416.0</v>
      </c>
      <c r="AN989" s="1">
        <v>1995.0</v>
      </c>
      <c r="AO989" s="1">
        <v>1994.0</v>
      </c>
      <c r="AQ989" s="3">
        <v>45156.0</v>
      </c>
      <c r="AR989" s="1" t="s">
        <v>31</v>
      </c>
      <c r="AS989" s="1" t="s">
        <v>4514</v>
      </c>
      <c r="AT989" s="1" t="s">
        <v>31</v>
      </c>
      <c r="AX989" s="1">
        <v>0.0</v>
      </c>
      <c r="AY989" s="1">
        <v>0.0</v>
      </c>
    </row>
    <row r="990" spans="20:51" ht="15.75" hidden="1">
      <c r="T990" s="1">
        <v>1214607.0</v>
      </c>
      <c r="U990" s="1"/>
      <c r="V990" s="1"/>
      <c r="W990" s="1"/>
      <c r="X990" s="1"/>
      <c r="Y990" s="1" t="s">
        <v>4515</v>
      </c>
      <c r="Z990" s="1" t="s">
        <v>4516</v>
      </c>
      <c r="AA990" s="1" t="s">
        <v>4517</v>
      </c>
      <c r="AB990" s="1"/>
      <c r="AC990" s="1"/>
      <c r="AD990" s="1"/>
      <c r="AE990" s="1"/>
      <c r="AF990" s="1" t="s">
        <v>4518</v>
      </c>
      <c r="AG990" s="2" t="str">
        <f>"0345434889"</f>
        <v>0345434889</v>
      </c>
      <c r="AH990" s="2" t="str">
        <f>"9780345434883"</f>
        <v>9780345434883</v>
      </c>
      <c r="AI990" s="1">
        <v>0.0</v>
      </c>
      <c r="AJ990" s="1">
        <v>3.86</v>
      </c>
      <c r="AK990" s="1" t="s">
        <v>321</v>
      </c>
      <c r="AL990" s="1" t="s">
        <v>28</v>
      </c>
      <c r="AM990" s="1">
        <v>651.0</v>
      </c>
      <c r="AN990" s="1">
        <v>2001.0</v>
      </c>
      <c r="AO990" s="1">
        <v>1999.0</v>
      </c>
      <c r="AQ990" s="3">
        <v>45156.0</v>
      </c>
      <c r="AR990" s="1" t="s">
        <v>31</v>
      </c>
      <c r="AS990" s="1" t="s">
        <v>4519</v>
      </c>
      <c r="AT990" s="1" t="s">
        <v>31</v>
      </c>
      <c r="AX990" s="1">
        <v>0.0</v>
      </c>
      <c r="AY990" s="1">
        <v>0.0</v>
      </c>
    </row>
    <row r="991" spans="20:51" ht="15.75" hidden="1">
      <c r="T991" s="1">
        <v>2857990.0</v>
      </c>
      <c r="U991" s="1"/>
      <c r="V991" s="1"/>
      <c r="W991" s="1"/>
      <c r="X991" s="1"/>
      <c r="Y991" s="1" t="s">
        <v>4520</v>
      </c>
      <c r="Z991" s="1" t="s">
        <v>4521</v>
      </c>
      <c r="AA991" s="1" t="s">
        <v>4522</v>
      </c>
      <c r="AB991" s="1"/>
      <c r="AC991" s="1"/>
      <c r="AD991" s="1"/>
      <c r="AE991" s="1"/>
      <c r="AG991" s="2" t="str">
        <f>"1846551374"</f>
        <v>1846551374</v>
      </c>
      <c r="AH991" s="2" t="str">
        <f>"9781846551376"</f>
        <v>9781846551376</v>
      </c>
      <c r="AI991" s="1">
        <v>0.0</v>
      </c>
      <c r="AJ991" s="1">
        <v>3.87</v>
      </c>
      <c r="AK991" s="1" t="s">
        <v>4523</v>
      </c>
      <c r="AL991" s="1" t="s">
        <v>41</v>
      </c>
      <c r="AM991" s="1">
        <v>256.0</v>
      </c>
      <c r="AN991" s="1">
        <v>2008.0</v>
      </c>
      <c r="AO991" s="1">
        <v>2006.0</v>
      </c>
      <c r="AQ991" s="3">
        <v>45155.0</v>
      </c>
      <c r="AR991" s="1" t="s">
        <v>3137</v>
      </c>
      <c r="AS991" s="1" t="s">
        <v>4524</v>
      </c>
      <c r="AT991" s="1" t="s">
        <v>31</v>
      </c>
      <c r="AX991" s="1">
        <v>0.0</v>
      </c>
      <c r="AY991" s="1">
        <v>0.0</v>
      </c>
    </row>
    <row r="992" spans="20:51" ht="15.75">
      <c r="T992" s="1">
        <v>4.4696835E7</v>
      </c>
      <c r="U992" s="1"/>
      <c r="V992" s="1"/>
      <c r="W992" s="1"/>
      <c r="X992" s="1"/>
      <c r="Y992" s="1" t="s">
        <v>4525</v>
      </c>
      <c r="Z992" s="1" t="s">
        <v>4526</v>
      </c>
      <c r="AA992" s="1" t="s">
        <v>4527</v>
      </c>
      <c r="AB992" s="1"/>
      <c r="AC992" s="1"/>
      <c r="AD992" s="1"/>
      <c r="AE992" s="1"/>
      <c r="AG992" s="2" t="str">
        <f>"0671027344"</f>
        <v>0671027344</v>
      </c>
      <c r="AH992" s="2" t="str">
        <f>"9780671027346"</f>
        <v>9780671027346</v>
      </c>
      <c r="AI992" s="1">
        <v>0.0</v>
      </c>
      <c r="AJ992" s="1">
        <v>4.23</v>
      </c>
      <c r="AK992" s="1" t="s">
        <v>4528</v>
      </c>
      <c r="AL992" s="1" t="s">
        <v>28</v>
      </c>
      <c r="AM992" s="1">
        <v>213.0</v>
      </c>
      <c r="AN992" s="1">
        <v>2002.0</v>
      </c>
      <c r="AO992" s="1">
        <v>1999.0</v>
      </c>
      <c r="AQ992" s="3">
        <v>44814.0</v>
      </c>
      <c r="AR992" s="1" t="s">
        <v>388</v>
      </c>
      <c r="AS992" s="1" t="s">
        <v>4529</v>
      </c>
      <c r="AT992" s="1" t="s">
        <v>31</v>
      </c>
      <c r="AX992" s="1">
        <v>0.0</v>
      </c>
      <c r="AY992" s="1">
        <v>0.0</v>
      </c>
    </row>
    <row r="993" spans="20:51" ht="15.75">
      <c r="T993" s="1">
        <v>84943.0</v>
      </c>
      <c r="U993" s="1"/>
      <c r="V993" s="1"/>
      <c r="W993" s="1"/>
      <c r="X993" s="1"/>
      <c r="Y993" s="1" t="s">
        <v>4530</v>
      </c>
      <c r="Z993" s="1" t="s">
        <v>4531</v>
      </c>
      <c r="AA993" s="1" t="s">
        <v>4532</v>
      </c>
      <c r="AB993" s="1"/>
      <c r="AC993" s="1"/>
      <c r="AD993" s="1"/>
      <c r="AE993" s="1"/>
      <c r="AF993" s="1" t="s">
        <v>4533</v>
      </c>
      <c r="AG993" s="2" t="str">
        <f t="shared" si="76" ref="AG993:AH993">""</f>
        <v/>
      </c>
      <c r="AH993" s="2" t="str">
        <f t="shared" si="76"/>
        <v/>
      </c>
      <c r="AI993" s="1">
        <v>0.0</v>
      </c>
      <c r="AJ993" s="1">
        <v>3.69</v>
      </c>
      <c r="AK993" s="1" t="s">
        <v>4534</v>
      </c>
      <c r="AL993" s="1" t="s">
        <v>315</v>
      </c>
      <c r="AM993" s="1">
        <v>202.0</v>
      </c>
      <c r="AN993" s="1">
        <v>2003.0</v>
      </c>
      <c r="AO993" s="1">
        <v>1954.0</v>
      </c>
      <c r="AQ993" s="3">
        <v>44814.0</v>
      </c>
      <c r="AR993" s="1" t="s">
        <v>388</v>
      </c>
      <c r="AS993" s="1" t="s">
        <v>4535</v>
      </c>
      <c r="AT993" s="1" t="s">
        <v>31</v>
      </c>
      <c r="AX993" s="1">
        <v>0.0</v>
      </c>
      <c r="AY993" s="1">
        <v>0.0</v>
      </c>
    </row>
    <row r="994" spans="20:51" ht="15.75">
      <c r="T994" s="1">
        <v>1.7262518E7</v>
      </c>
      <c r="U994" s="1"/>
      <c r="V994" s="1"/>
      <c r="W994" s="1"/>
      <c r="X994" s="1"/>
      <c r="Y994" s="1" t="s">
        <v>4536</v>
      </c>
      <c r="Z994" s="1" t="s">
        <v>4537</v>
      </c>
      <c r="AA994" s="1" t="s">
        <v>4538</v>
      </c>
      <c r="AB994" s="1"/>
      <c r="AC994" s="1"/>
      <c r="AD994" s="1"/>
      <c r="AE994" s="1"/>
      <c r="AF994" s="1" t="s">
        <v>4539</v>
      </c>
      <c r="AG994" s="2" t="str">
        <f>"1590176677"</f>
        <v>1590176677</v>
      </c>
      <c r="AH994" s="2" t="str">
        <f>"9781590176672"</f>
        <v>9781590176672</v>
      </c>
      <c r="AI994" s="1">
        <v>0.0</v>
      </c>
      <c r="AJ994" s="1">
        <v>3.74</v>
      </c>
      <c r="AK994" s="1" t="s">
        <v>77</v>
      </c>
      <c r="AL994" s="1" t="s">
        <v>28</v>
      </c>
      <c r="AM994" s="1">
        <v>152.0</v>
      </c>
      <c r="AN994" s="1">
        <v>2013.0</v>
      </c>
      <c r="AO994" s="1">
        <v>1958.0</v>
      </c>
      <c r="AQ994" s="3">
        <v>44814.0</v>
      </c>
      <c r="AR994" s="1" t="s">
        <v>388</v>
      </c>
      <c r="AS994" s="1" t="s">
        <v>4540</v>
      </c>
      <c r="AT994" s="1" t="s">
        <v>31</v>
      </c>
      <c r="AX994" s="1">
        <v>0.0</v>
      </c>
      <c r="AY994" s="1">
        <v>0.0</v>
      </c>
    </row>
    <row r="995" spans="20:51" ht="15.75" hidden="1">
      <c r="T995" s="1">
        <v>24482.0</v>
      </c>
      <c r="U995" s="1"/>
      <c r="V995" s="1"/>
      <c r="W995" s="1"/>
      <c r="X995" s="1"/>
      <c r="Y995" s="1" t="s">
        <v>4541</v>
      </c>
      <c r="Z995" s="1" t="s">
        <v>4542</v>
      </c>
      <c r="AA995" s="1" t="s">
        <v>4543</v>
      </c>
      <c r="AB995" s="1"/>
      <c r="AC995" s="1"/>
      <c r="AD995" s="1"/>
      <c r="AE995" s="1"/>
      <c r="AF995" s="1" t="s">
        <v>4544</v>
      </c>
      <c r="AG995" s="2" t="str">
        <f>"1590170199"</f>
        <v>1590170199</v>
      </c>
      <c r="AH995" s="2" t="str">
        <f>"9781590170199"</f>
        <v>9781590170199</v>
      </c>
      <c r="AI995" s="1">
        <v>0.0</v>
      </c>
      <c r="AJ995" s="1">
        <v>3.76</v>
      </c>
      <c r="AK995" s="1" t="s">
        <v>4545</v>
      </c>
      <c r="AL995" s="1" t="s">
        <v>28</v>
      </c>
      <c r="AM995" s="1">
        <v>76.0</v>
      </c>
      <c r="AN995" s="1">
        <v>2002.0</v>
      </c>
      <c r="AO995" s="1">
        <v>1972.0</v>
      </c>
      <c r="AQ995" s="3">
        <v>44814.0</v>
      </c>
      <c r="AR995" s="1" t="s">
        <v>3137</v>
      </c>
      <c r="AS995" s="1" t="s">
        <v>4546</v>
      </c>
      <c r="AT995" s="1" t="s">
        <v>31</v>
      </c>
      <c r="AX995" s="1">
        <v>0.0</v>
      </c>
      <c r="AY995" s="1">
        <v>0.0</v>
      </c>
    </row>
    <row r="996" spans="20:51" ht="15.75" hidden="1">
      <c r="T996" s="1">
        <v>1.6057072E7</v>
      </c>
      <c r="U996" s="1"/>
      <c r="V996" s="1"/>
      <c r="W996" s="1"/>
      <c r="X996" s="1"/>
      <c r="Y996" s="1" t="s">
        <v>4547</v>
      </c>
      <c r="Z996" s="1" t="s">
        <v>4548</v>
      </c>
      <c r="AA996" s="1" t="s">
        <v>4549</v>
      </c>
      <c r="AB996" s="1"/>
      <c r="AC996" s="1"/>
      <c r="AD996" s="1"/>
      <c r="AE996" s="1"/>
      <c r="AG996" s="2" t="str">
        <f>"193674757X"</f>
        <v>193674757X</v>
      </c>
      <c r="AH996" s="2" t="str">
        <f>"9781936747573"</f>
        <v>9781936747573</v>
      </c>
      <c r="AI996" s="1">
        <v>0.0</v>
      </c>
      <c r="AJ996" s="1">
        <v>4.14</v>
      </c>
      <c r="AK996" s="1" t="s">
        <v>4550</v>
      </c>
      <c r="AL996" s="1" t="s">
        <v>28</v>
      </c>
      <c r="AM996" s="1">
        <v>192.0</v>
      </c>
      <c r="AN996" s="1">
        <v>2013.0</v>
      </c>
      <c r="AO996" s="1">
        <v>2013.0</v>
      </c>
      <c r="AQ996" s="3">
        <v>44814.0</v>
      </c>
      <c r="AR996" s="1" t="s">
        <v>3137</v>
      </c>
      <c r="AS996" s="1" t="s">
        <v>4551</v>
      </c>
      <c r="AT996" s="1" t="s">
        <v>31</v>
      </c>
      <c r="AX996" s="1">
        <v>0.0</v>
      </c>
      <c r="AY996" s="1">
        <v>0.0</v>
      </c>
    </row>
    <row r="997" spans="20:51" ht="15.75" hidden="1">
      <c r="T997" s="1">
        <v>1.8310181E7</v>
      </c>
      <c r="U997" s="1"/>
      <c r="V997" s="1"/>
      <c r="W997" s="1"/>
      <c r="X997" s="1"/>
      <c r="Y997" s="1" t="s">
        <v>4552</v>
      </c>
      <c r="Z997" s="1" t="s">
        <v>684</v>
      </c>
      <c r="AA997" s="1" t="s">
        <v>685</v>
      </c>
      <c r="AB997" s="1"/>
      <c r="AC997" s="1"/>
      <c r="AD997" s="1"/>
      <c r="AE997" s="1"/>
      <c r="AG997" s="2" t="str">
        <f t="shared" si="77" ref="AG997:AH997">""</f>
        <v/>
      </c>
      <c r="AH997" s="2" t="str">
        <f t="shared" si="77"/>
        <v/>
      </c>
      <c r="AI997" s="1">
        <v>5.0</v>
      </c>
      <c r="AJ997" s="1">
        <v>3.73</v>
      </c>
      <c r="AK997" s="1" t="s">
        <v>4553</v>
      </c>
      <c r="AL997" s="1" t="s">
        <v>28</v>
      </c>
      <c r="AM997" s="1">
        <v>473.0</v>
      </c>
      <c r="AN997" s="1">
        <v>2014.0</v>
      </c>
      <c r="AO997" s="1">
        <v>2013.0</v>
      </c>
      <c r="AP997" s="3">
        <v>42375.0</v>
      </c>
      <c r="AQ997" s="3">
        <v>42339.0</v>
      </c>
      <c r="AR997" s="1" t="s">
        <v>663</v>
      </c>
      <c r="AS997" s="1" t="s">
        <v>4554</v>
      </c>
      <c r="AT997" s="1" t="s">
        <v>127</v>
      </c>
      <c r="AX997" s="1">
        <v>1.0</v>
      </c>
      <c r="AY997" s="1">
        <v>0.0</v>
      </c>
    </row>
    <row r="998" spans="20:51" ht="15.75" hidden="1">
      <c r="T998" s="1">
        <v>119561.0</v>
      </c>
      <c r="U998" s="1"/>
      <c r="V998" s="1"/>
      <c r="W998" s="1"/>
      <c r="X998" s="1"/>
      <c r="Y998" s="1" t="s">
        <v>4555</v>
      </c>
      <c r="Z998" s="1" t="s">
        <v>2955</v>
      </c>
      <c r="AA998" s="1" t="s">
        <v>2956</v>
      </c>
      <c r="AB998" s="1"/>
      <c r="AC998" s="1"/>
      <c r="AD998" s="1"/>
      <c r="AE998" s="1"/>
      <c r="AG998" s="2" t="str">
        <f>"0679753354"</f>
        <v>0679753354</v>
      </c>
      <c r="AH998" s="2" t="str">
        <f>"9780679753353"</f>
        <v>9780679753353</v>
      </c>
      <c r="AI998" s="1">
        <v>0.0</v>
      </c>
      <c r="AJ998" s="1">
        <v>4.12</v>
      </c>
      <c r="AK998" s="1" t="s">
        <v>83</v>
      </c>
      <c r="AL998" s="1" t="s">
        <v>28</v>
      </c>
      <c r="AM998" s="1">
        <v>416.0</v>
      </c>
      <c r="AN998" s="1">
        <v>1994.0</v>
      </c>
      <c r="AO998" s="1">
        <v>1966.0</v>
      </c>
      <c r="AQ998" s="3">
        <v>45154.0</v>
      </c>
      <c r="AR998" s="1" t="s">
        <v>31</v>
      </c>
      <c r="AS998" s="1" t="s">
        <v>4556</v>
      </c>
      <c r="AT998" s="1" t="s">
        <v>31</v>
      </c>
      <c r="AX998" s="1">
        <v>0.0</v>
      </c>
      <c r="AY998" s="1">
        <v>0.0</v>
      </c>
    </row>
    <row r="999" spans="20:51" ht="15.75" hidden="1">
      <c r="T999" s="1">
        <v>78250.0</v>
      </c>
      <c r="U999" s="1"/>
      <c r="V999" s="1"/>
      <c r="W999" s="1"/>
      <c r="X999" s="1"/>
      <c r="Y999" s="1" t="s">
        <v>4557</v>
      </c>
      <c r="Z999" s="1" t="s">
        <v>4558</v>
      </c>
      <c r="AA999" s="1" t="s">
        <v>4559</v>
      </c>
      <c r="AB999" s="1"/>
      <c r="AC999" s="1"/>
      <c r="AD999" s="1"/>
      <c r="AE999" s="1"/>
      <c r="AG999" s="2" t="str">
        <f>"0671227424"</f>
        <v>0671227424</v>
      </c>
      <c r="AH999" s="2" t="str">
        <f>"9780671227425"</f>
        <v>9780671227425</v>
      </c>
      <c r="AI999" s="1">
        <v>0.0</v>
      </c>
      <c r="AJ999" s="1">
        <v>3.94</v>
      </c>
      <c r="AK999" s="1" t="s">
        <v>4560</v>
      </c>
      <c r="AL999" s="1" t="s">
        <v>28</v>
      </c>
      <c r="AM999" s="1">
        <v>288.0</v>
      </c>
      <c r="AN999" s="1">
        <v>1983.0</v>
      </c>
      <c r="AO999" s="1">
        <v>1968.0</v>
      </c>
      <c r="AQ999" s="3">
        <v>45154.0</v>
      </c>
      <c r="AR999" s="1" t="s">
        <v>31</v>
      </c>
      <c r="AS999" s="1" t="s">
        <v>4561</v>
      </c>
      <c r="AT999" s="1" t="s">
        <v>31</v>
      </c>
      <c r="AX999" s="1">
        <v>0.0</v>
      </c>
      <c r="AY999" s="1">
        <v>0.0</v>
      </c>
    </row>
    <row r="1000" spans="20:51" ht="15.75" hidden="1">
      <c r="T1000" s="1">
        <v>1.9947283E7</v>
      </c>
      <c r="U1000" s="1"/>
      <c r="V1000" s="1"/>
      <c r="W1000" s="1"/>
      <c r="X1000" s="1"/>
      <c r="Y1000" s="1" t="s">
        <v>4562</v>
      </c>
      <c r="Z1000" s="1" t="s">
        <v>4563</v>
      </c>
      <c r="AA1000" s="1" t="s">
        <v>4564</v>
      </c>
      <c r="AB1000" s="1"/>
      <c r="AC1000" s="1"/>
      <c r="AD1000" s="1"/>
      <c r="AE1000" s="1"/>
      <c r="AG1000" s="2" t="str">
        <f t="shared" si="78" ref="AG1000:AH1000">""</f>
        <v/>
      </c>
      <c r="AH1000" s="2" t="str">
        <f t="shared" si="78"/>
        <v/>
      </c>
      <c r="AI1000" s="1">
        <v>0.0</v>
      </c>
      <c r="AJ1000" s="1">
        <v>3.93</v>
      </c>
      <c r="AK1000" s="1" t="s">
        <v>1306</v>
      </c>
      <c r="AL1000" s="1" t="s">
        <v>59</v>
      </c>
      <c r="AM1000" s="1">
        <v>354.0</v>
      </c>
      <c r="AN1000" s="1">
        <v>1993.0</v>
      </c>
      <c r="AO1000" s="1">
        <v>1991.0</v>
      </c>
      <c r="AQ1000" s="3">
        <v>45154.0</v>
      </c>
      <c r="AR1000" s="1" t="s">
        <v>31</v>
      </c>
      <c r="AS1000" s="1" t="s">
        <v>4565</v>
      </c>
      <c r="AT1000" s="1" t="s">
        <v>31</v>
      </c>
      <c r="AX1000" s="1">
        <v>0.0</v>
      </c>
      <c r="AY1000" s="1">
        <v>0.0</v>
      </c>
    </row>
    <row r="1001" spans="20:51" ht="15.75" hidden="1">
      <c r="T1001" s="1">
        <v>1.3222538E7</v>
      </c>
      <c r="U1001" s="1"/>
      <c r="V1001" s="1"/>
      <c r="W1001" s="1"/>
      <c r="X1001" s="1"/>
      <c r="Y1001" s="1" t="s">
        <v>4566</v>
      </c>
      <c r="Z1001" s="1" t="s">
        <v>4567</v>
      </c>
      <c r="AA1001" s="1" t="s">
        <v>4568</v>
      </c>
      <c r="AB1001" s="1"/>
      <c r="AC1001" s="1"/>
      <c r="AD1001" s="1"/>
      <c r="AE1001" s="1"/>
      <c r="AG1001" s="2" t="str">
        <f>"0252034937"</f>
        <v>0252034937</v>
      </c>
      <c r="AH1001" s="2" t="str">
        <f>"9780252034930"</f>
        <v>9780252034930</v>
      </c>
      <c r="AI1001" s="1">
        <v>0.0</v>
      </c>
      <c r="AJ1001" s="1">
        <v>3.9</v>
      </c>
      <c r="AK1001" s="1" t="s">
        <v>2071</v>
      </c>
      <c r="AL1001" s="1" t="s">
        <v>41</v>
      </c>
      <c r="AM1001" s="1">
        <v>296.0</v>
      </c>
      <c r="AN1001" s="1">
        <v>2012.0</v>
      </c>
      <c r="AO1001" s="1">
        <v>2012.0</v>
      </c>
      <c r="AQ1001" s="3">
        <v>45154.0</v>
      </c>
      <c r="AR1001" s="1" t="s">
        <v>31</v>
      </c>
      <c r="AS1001" s="1" t="s">
        <v>4569</v>
      </c>
      <c r="AT1001" s="1" t="s">
        <v>31</v>
      </c>
      <c r="AX1001" s="1">
        <v>0.0</v>
      </c>
      <c r="AY1001" s="1">
        <v>0.0</v>
      </c>
    </row>
    <row r="1002" spans="20:51" ht="15.75" hidden="1">
      <c r="T1002" s="1">
        <v>2.107418E7</v>
      </c>
      <c r="U1002" s="1"/>
      <c r="V1002" s="1"/>
      <c r="W1002" s="1"/>
      <c r="X1002" s="1"/>
      <c r="Y1002" s="1" t="s">
        <v>4570</v>
      </c>
      <c r="Z1002" s="1" t="s">
        <v>4571</v>
      </c>
      <c r="AA1002" s="1" t="s">
        <v>4572</v>
      </c>
      <c r="AB1002" s="1"/>
      <c r="AC1002" s="1"/>
      <c r="AD1002" s="1"/>
      <c r="AE1002" s="1"/>
      <c r="AG1002" s="2" t="str">
        <f t="shared" si="79" ref="AG1002:AH1002">""</f>
        <v/>
      </c>
      <c r="AH1002" s="2" t="str">
        <f t="shared" si="79"/>
        <v/>
      </c>
      <c r="AI1002" s="1">
        <v>0.0</v>
      </c>
      <c r="AJ1002" s="1">
        <v>3.7</v>
      </c>
      <c r="AK1002" s="1" t="s">
        <v>4573</v>
      </c>
      <c r="AL1002" s="1" t="s">
        <v>59</v>
      </c>
      <c r="AM1002" s="1">
        <v>396.0</v>
      </c>
      <c r="AN1002" s="1">
        <v>2012.0</v>
      </c>
      <c r="AO1002" s="1">
        <v>2002.0</v>
      </c>
      <c r="AQ1002" s="3">
        <v>45154.0</v>
      </c>
      <c r="AR1002" s="1" t="s">
        <v>31</v>
      </c>
      <c r="AS1002" s="1" t="s">
        <v>4574</v>
      </c>
      <c r="AT1002" s="1" t="s">
        <v>31</v>
      </c>
      <c r="AX1002" s="1">
        <v>0.0</v>
      </c>
      <c r="AY1002" s="1">
        <v>0.0</v>
      </c>
    </row>
    <row r="1003" spans="20:51" ht="15.75" hidden="1">
      <c r="T1003" s="1">
        <v>446299.0</v>
      </c>
      <c r="U1003" s="1"/>
      <c r="V1003" s="1"/>
      <c r="W1003" s="1"/>
      <c r="X1003" s="1"/>
      <c r="Y1003" s="1" t="s">
        <v>4575</v>
      </c>
      <c r="Z1003" s="1" t="s">
        <v>4576</v>
      </c>
      <c r="AA1003" s="1" t="s">
        <v>4577</v>
      </c>
      <c r="AB1003" s="1"/>
      <c r="AC1003" s="1"/>
      <c r="AD1003" s="1"/>
      <c r="AE1003" s="1"/>
      <c r="AG1003" s="2" t="str">
        <f>"0380405849"</f>
        <v>0380405849</v>
      </c>
      <c r="AH1003" s="2" t="str">
        <f>"9780380405848"</f>
        <v>9780380405848</v>
      </c>
      <c r="AI1003" s="1">
        <v>0.0</v>
      </c>
      <c r="AJ1003" s="1">
        <v>3.92</v>
      </c>
      <c r="AK1003" s="1" t="s">
        <v>4578</v>
      </c>
      <c r="AL1003" s="1" t="s">
        <v>315</v>
      </c>
      <c r="AM1003" s="1">
        <v>352.0</v>
      </c>
      <c r="AN1003" s="1">
        <v>1980.0</v>
      </c>
      <c r="AO1003" s="1">
        <v>1979.0</v>
      </c>
      <c r="AQ1003" s="3">
        <v>45154.0</v>
      </c>
      <c r="AR1003" s="1" t="s">
        <v>31</v>
      </c>
      <c r="AS1003" s="1" t="s">
        <v>4579</v>
      </c>
      <c r="AT1003" s="1" t="s">
        <v>31</v>
      </c>
      <c r="AX1003" s="1">
        <v>0.0</v>
      </c>
      <c r="AY1003" s="1">
        <v>0.0</v>
      </c>
    </row>
    <row r="1004" spans="20:51" ht="15.75" hidden="1">
      <c r="T1004" s="1">
        <v>301053.0</v>
      </c>
      <c r="U1004" s="1"/>
      <c r="V1004" s="1"/>
      <c r="W1004" s="1"/>
      <c r="X1004" s="1"/>
      <c r="Y1004" s="1" t="s">
        <v>4580</v>
      </c>
      <c r="Z1004" s="1" t="s">
        <v>4576</v>
      </c>
      <c r="AA1004" s="1" t="s">
        <v>4577</v>
      </c>
      <c r="AB1004" s="1"/>
      <c r="AC1004" s="1"/>
      <c r="AD1004" s="1"/>
      <c r="AE1004" s="1"/>
      <c r="AG1004" s="2" t="str">
        <f>"0380783606"</f>
        <v>0380783606</v>
      </c>
      <c r="AH1004" s="2" t="str">
        <f>"9780380783601"</f>
        <v>9780380783601</v>
      </c>
      <c r="AI1004" s="1">
        <v>0.0</v>
      </c>
      <c r="AJ1004" s="1">
        <v>4.01</v>
      </c>
      <c r="AK1004" s="1" t="s">
        <v>4578</v>
      </c>
      <c r="AL1004" s="1" t="s">
        <v>315</v>
      </c>
      <c r="AM1004" s="1">
        <v>292.0</v>
      </c>
      <c r="AN1004" s="1">
        <v>1981.0</v>
      </c>
      <c r="AO1004" s="1">
        <v>1981.0</v>
      </c>
      <c r="AQ1004" s="3">
        <v>45154.0</v>
      </c>
      <c r="AR1004" s="1" t="s">
        <v>31</v>
      </c>
      <c r="AS1004" s="1" t="s">
        <v>4581</v>
      </c>
      <c r="AT1004" s="1" t="s">
        <v>31</v>
      </c>
      <c r="AX1004" s="1">
        <v>0.0</v>
      </c>
      <c r="AY1004" s="1">
        <v>0.0</v>
      </c>
    </row>
    <row r="1005" spans="20:51" ht="15.75" hidden="1">
      <c r="T1005" s="1">
        <v>1.7209459E7</v>
      </c>
      <c r="U1005" s="1"/>
      <c r="V1005" s="1"/>
      <c r="W1005" s="1"/>
      <c r="X1005" s="1"/>
      <c r="Y1005" s="1" t="s">
        <v>4582</v>
      </c>
      <c r="Z1005" s="1" t="s">
        <v>4583</v>
      </c>
      <c r="AA1005" s="1" t="s">
        <v>4584</v>
      </c>
      <c r="AB1005" s="1"/>
      <c r="AC1005" s="1"/>
      <c r="AD1005" s="1"/>
      <c r="AE1005" s="1"/>
      <c r="AG1005" s="2" t="str">
        <f t="shared" si="80" ref="AG1005:AH1005">""</f>
        <v/>
      </c>
      <c r="AH1005" s="2" t="str">
        <f t="shared" si="80"/>
        <v/>
      </c>
      <c r="AI1005" s="1">
        <v>0.0</v>
      </c>
      <c r="AJ1005" s="1">
        <v>3.81</v>
      </c>
      <c r="AK1005" s="1" t="s">
        <v>107</v>
      </c>
      <c r="AL1005" s="1" t="s">
        <v>28</v>
      </c>
      <c r="AM1005" s="1">
        <v>165.0</v>
      </c>
      <c r="AN1005" s="1">
        <v>1968.0</v>
      </c>
      <c r="AO1005" s="1">
        <v>1968.0</v>
      </c>
      <c r="AQ1005" s="3">
        <v>45154.0</v>
      </c>
      <c r="AR1005" s="1" t="s">
        <v>31</v>
      </c>
      <c r="AS1005" s="1" t="s">
        <v>4585</v>
      </c>
      <c r="AT1005" s="1" t="s">
        <v>31</v>
      </c>
      <c r="AX1005" s="1">
        <v>0.0</v>
      </c>
      <c r="AY1005" s="1">
        <v>0.0</v>
      </c>
    </row>
    <row r="1006" spans="20:51" ht="15.75" hidden="1">
      <c r="T1006" s="1">
        <v>27432.0</v>
      </c>
      <c r="U1006" s="1"/>
      <c r="V1006" s="1"/>
      <c r="W1006" s="1"/>
      <c r="X1006" s="1"/>
      <c r="Y1006" s="1" t="s">
        <v>4586</v>
      </c>
      <c r="Z1006" s="1" t="s">
        <v>2305</v>
      </c>
      <c r="AA1006" s="1" t="s">
        <v>2306</v>
      </c>
      <c r="AB1006" s="1"/>
      <c r="AC1006" s="1"/>
      <c r="AD1006" s="1"/>
      <c r="AE1006" s="1"/>
      <c r="AG1006" s="2" t="str">
        <f>"038542339X"</f>
        <v>038542339X</v>
      </c>
      <c r="AH1006" s="2" t="str">
        <f>"9780385423397"</f>
        <v>9780385423397</v>
      </c>
      <c r="AI1006" s="1">
        <v>0.0</v>
      </c>
      <c r="AJ1006" s="1">
        <v>4.2</v>
      </c>
      <c r="AK1006" s="1" t="s">
        <v>2017</v>
      </c>
      <c r="AL1006" s="1" t="s">
        <v>28</v>
      </c>
      <c r="AM1006" s="1">
        <v>777.0</v>
      </c>
      <c r="AN1006" s="1">
        <v>1995.0</v>
      </c>
      <c r="AO1006" s="1">
        <v>1994.0</v>
      </c>
      <c r="AQ1006" s="3">
        <v>45154.0</v>
      </c>
      <c r="AR1006" s="1" t="s">
        <v>31</v>
      </c>
      <c r="AS1006" s="1" t="s">
        <v>4587</v>
      </c>
      <c r="AT1006" s="1" t="s">
        <v>31</v>
      </c>
      <c r="AX1006" s="1">
        <v>0.0</v>
      </c>
      <c r="AY1006" s="1">
        <v>0.0</v>
      </c>
    </row>
    <row r="1007" spans="20:51" ht="15.75" hidden="1">
      <c r="T1007" s="1">
        <v>19802.0</v>
      </c>
      <c r="U1007" s="1"/>
      <c r="V1007" s="1"/>
      <c r="W1007" s="1"/>
      <c r="X1007" s="1"/>
      <c r="Y1007" s="1" t="s">
        <v>4588</v>
      </c>
      <c r="Z1007" s="1" t="s">
        <v>4589</v>
      </c>
      <c r="AA1007" s="1" t="s">
        <v>4590</v>
      </c>
      <c r="AB1007" s="1"/>
      <c r="AC1007" s="1"/>
      <c r="AD1007" s="1"/>
      <c r="AE1007" s="1"/>
      <c r="AG1007" s="2" t="str">
        <f>"0316545562"</f>
        <v>0316545562</v>
      </c>
      <c r="AH1007" s="2" t="str">
        <f>"9780316545563"</f>
        <v>9780316545563</v>
      </c>
      <c r="AI1007" s="1">
        <v>0.0</v>
      </c>
      <c r="AJ1007" s="1">
        <v>3.83</v>
      </c>
      <c r="AK1007" s="1" t="s">
        <v>380</v>
      </c>
      <c r="AL1007" s="1" t="s">
        <v>28</v>
      </c>
      <c r="AM1007" s="1">
        <v>322.0</v>
      </c>
      <c r="AN1007" s="1">
        <v>1993.0</v>
      </c>
      <c r="AO1007" s="1">
        <v>1992.0</v>
      </c>
      <c r="AQ1007" s="3">
        <v>45154.0</v>
      </c>
      <c r="AR1007" s="1" t="s">
        <v>31</v>
      </c>
      <c r="AS1007" s="1" t="s">
        <v>4591</v>
      </c>
      <c r="AT1007" s="1" t="s">
        <v>31</v>
      </c>
      <c r="AX1007" s="1">
        <v>0.0</v>
      </c>
      <c r="AY1007" s="1">
        <v>0.0</v>
      </c>
    </row>
    <row r="1008" spans="20:51" ht="15.75" hidden="1">
      <c r="T1008" s="1">
        <v>3.2842454E7</v>
      </c>
      <c r="U1008" s="1"/>
      <c r="V1008" s="1"/>
      <c r="W1008" s="1"/>
      <c r="X1008" s="1"/>
      <c r="Y1008" s="1" t="s">
        <v>4592</v>
      </c>
      <c r="Z1008" s="1" t="s">
        <v>2099</v>
      </c>
      <c r="AA1008" s="1" t="s">
        <v>2100</v>
      </c>
      <c r="AB1008" s="1"/>
      <c r="AC1008" s="1"/>
      <c r="AD1008" s="1"/>
      <c r="AE1008" s="1"/>
      <c r="AF1008" s="1" t="s">
        <v>4593</v>
      </c>
      <c r="AG1008" s="2" t="str">
        <f>"1524732796"</f>
        <v>1524732796</v>
      </c>
      <c r="AH1008" s="2" t="str">
        <f>"9781524732790"</f>
        <v>9781524732790</v>
      </c>
      <c r="AI1008" s="1">
        <v>0.0</v>
      </c>
      <c r="AJ1008" s="1">
        <v>3.69</v>
      </c>
      <c r="AK1008" s="1" t="s">
        <v>634</v>
      </c>
      <c r="AL1008" s="1" t="s">
        <v>41</v>
      </c>
      <c r="AM1008" s="1">
        <v>160.0</v>
      </c>
      <c r="AN1008" s="1">
        <v>2017.0</v>
      </c>
      <c r="AO1008" s="1">
        <v>2017.0</v>
      </c>
      <c r="AQ1008" s="3">
        <v>45154.0</v>
      </c>
      <c r="AR1008" s="1" t="s">
        <v>31</v>
      </c>
      <c r="AS1008" s="1" t="s">
        <v>4594</v>
      </c>
      <c r="AT1008" s="1" t="s">
        <v>31</v>
      </c>
      <c r="AX1008" s="1">
        <v>0.0</v>
      </c>
      <c r="AY1008" s="1">
        <v>0.0</v>
      </c>
    </row>
    <row r="1009" spans="20:51" ht="15.75" hidden="1">
      <c r="T1009" s="1">
        <v>1.3277571E7</v>
      </c>
      <c r="U1009" s="1"/>
      <c r="V1009" s="1"/>
      <c r="W1009" s="1"/>
      <c r="X1009" s="1"/>
      <c r="Y1009" s="1" t="s">
        <v>4595</v>
      </c>
      <c r="Z1009" s="1" t="s">
        <v>4596</v>
      </c>
      <c r="AA1009" s="1" t="s">
        <v>4597</v>
      </c>
      <c r="AB1009" s="1"/>
      <c r="AC1009" s="1"/>
      <c r="AD1009" s="1"/>
      <c r="AE1009" s="1"/>
      <c r="AF1009" s="1" t="s">
        <v>4598</v>
      </c>
      <c r="AG1009" s="2" t="str">
        <f>"0062082841"</f>
        <v>0062082841</v>
      </c>
      <c r="AH1009" s="2" t="str">
        <f>"9780062082848"</f>
        <v>9780062082848</v>
      </c>
      <c r="AI1009" s="1">
        <v>0.0</v>
      </c>
      <c r="AJ1009" s="1">
        <v>4.54</v>
      </c>
      <c r="AK1009" s="1" t="s">
        <v>194</v>
      </c>
      <c r="AL1009" s="1" t="s">
        <v>41</v>
      </c>
      <c r="AM1009" s="1">
        <v>263.0</v>
      </c>
      <c r="AN1009" s="1">
        <v>2013.0</v>
      </c>
      <c r="AO1009" s="1">
        <v>2013.0</v>
      </c>
      <c r="AQ1009" s="3">
        <v>45154.0</v>
      </c>
      <c r="AR1009" s="1" t="s">
        <v>31</v>
      </c>
      <c r="AS1009" s="1" t="s">
        <v>4599</v>
      </c>
      <c r="AT1009" s="1" t="s">
        <v>31</v>
      </c>
      <c r="AX1009" s="1">
        <v>0.0</v>
      </c>
      <c r="AY1009" s="1">
        <v>0.0</v>
      </c>
    </row>
    <row r="1010" spans="20:51" ht="15.75" hidden="1">
      <c r="T1010" s="1">
        <v>1318452.0</v>
      </c>
      <c r="U1010" s="1"/>
      <c r="V1010" s="1"/>
      <c r="W1010" s="1"/>
      <c r="X1010" s="1"/>
      <c r="Y1010" s="1" t="s">
        <v>4600</v>
      </c>
      <c r="Z1010" s="1" t="s">
        <v>4601</v>
      </c>
      <c r="AA1010" s="1" t="s">
        <v>4602</v>
      </c>
      <c r="AB1010" s="1"/>
      <c r="AC1010" s="1"/>
      <c r="AD1010" s="1"/>
      <c r="AE1010" s="1"/>
      <c r="AG1010" s="2" t="str">
        <f>"0393008533"</f>
        <v>0393008533</v>
      </c>
      <c r="AH1010" s="2" t="str">
        <f>"9780393008531"</f>
        <v>9780393008531</v>
      </c>
      <c r="AI1010" s="1">
        <v>0.0</v>
      </c>
      <c r="AJ1010" s="1">
        <v>4.16</v>
      </c>
      <c r="AK1010" s="1" t="s">
        <v>113</v>
      </c>
      <c r="AL1010" s="1" t="s">
        <v>28</v>
      </c>
      <c r="AM1010" s="1">
        <v>208.0</v>
      </c>
      <c r="AN1010" s="1">
        <v>1977.0</v>
      </c>
      <c r="AO1010" s="1">
        <v>1973.0</v>
      </c>
      <c r="AQ1010" s="3">
        <v>45154.0</v>
      </c>
      <c r="AR1010" s="1" t="s">
        <v>31</v>
      </c>
      <c r="AS1010" s="1" t="s">
        <v>4603</v>
      </c>
      <c r="AT1010" s="1" t="s">
        <v>31</v>
      </c>
      <c r="AX1010" s="1">
        <v>0.0</v>
      </c>
      <c r="AY1010" s="1">
        <v>0.0</v>
      </c>
    </row>
    <row r="1011" spans="20:51" ht="15.75" hidden="1">
      <c r="T1011" s="1">
        <v>8647221.0</v>
      </c>
      <c r="U1011" s="1"/>
      <c r="V1011" s="1"/>
      <c r="W1011" s="1"/>
      <c r="X1011" s="1"/>
      <c r="Y1011" s="1" t="s">
        <v>4604</v>
      </c>
      <c r="Z1011" s="1" t="s">
        <v>4605</v>
      </c>
      <c r="AA1011" s="1" t="s">
        <v>4606</v>
      </c>
      <c r="AB1011" s="1"/>
      <c r="AC1011" s="1"/>
      <c r="AD1011" s="1"/>
      <c r="AE1011" s="1"/>
      <c r="AF1011" s="1" t="s">
        <v>4607</v>
      </c>
      <c r="AG1011" s="2" t="str">
        <f>"1849051070"</f>
        <v>1849051070</v>
      </c>
      <c r="AH1011" s="2" t="str">
        <f>"9781849051071"</f>
        <v>9781849051071</v>
      </c>
      <c r="AI1011" s="1">
        <v>0.0</v>
      </c>
      <c r="AJ1011" s="1">
        <v>4.55</v>
      </c>
      <c r="AK1011" s="1" t="s">
        <v>4608</v>
      </c>
      <c r="AL1011" s="1" t="s">
        <v>28</v>
      </c>
      <c r="AM1011" s="1">
        <v>240.0</v>
      </c>
      <c r="AN1011" s="1">
        <v>2010.0</v>
      </c>
      <c r="AO1011" s="1">
        <v>2010.0</v>
      </c>
      <c r="AQ1011" s="3">
        <v>45154.0</v>
      </c>
      <c r="AR1011" s="1" t="s">
        <v>31</v>
      </c>
      <c r="AS1011" s="1" t="s">
        <v>4609</v>
      </c>
      <c r="AT1011" s="1" t="s">
        <v>31</v>
      </c>
      <c r="AX1011" s="1">
        <v>0.0</v>
      </c>
      <c r="AY1011" s="1">
        <v>0.0</v>
      </c>
    </row>
    <row r="1012" spans="20:51" ht="15.75" hidden="1">
      <c r="T1012" s="1">
        <v>14948.0</v>
      </c>
      <c r="U1012" s="1"/>
      <c r="V1012" s="1"/>
      <c r="W1012" s="1"/>
      <c r="X1012" s="1"/>
      <c r="Y1012" s="1" t="s">
        <v>4610</v>
      </c>
      <c r="Z1012" s="1" t="s">
        <v>4157</v>
      </c>
      <c r="AA1012" s="1" t="s">
        <v>4158</v>
      </c>
      <c r="AB1012" s="1"/>
      <c r="AC1012" s="1"/>
      <c r="AD1012" s="1"/>
      <c r="AE1012" s="1"/>
      <c r="AG1012" s="2" t="str">
        <f>"0156027917"</f>
        <v>0156027917</v>
      </c>
      <c r="AH1012" s="2" t="str">
        <f>"9780156027915"</f>
        <v>9780156027915</v>
      </c>
      <c r="AI1012" s="1">
        <v>0.0</v>
      </c>
      <c r="AJ1012" s="1">
        <v>4.16</v>
      </c>
      <c r="AK1012" s="1" t="s">
        <v>4611</v>
      </c>
      <c r="AL1012" s="1" t="s">
        <v>28</v>
      </c>
      <c r="AM1012" s="1">
        <v>355.0</v>
      </c>
      <c r="AN1012" s="1">
        <v>2003.0</v>
      </c>
      <c r="AO1012" s="1">
        <v>1953.0</v>
      </c>
      <c r="AQ1012" s="3">
        <v>45154.0</v>
      </c>
      <c r="AR1012" s="1" t="s">
        <v>31</v>
      </c>
      <c r="AS1012" s="1" t="s">
        <v>4612</v>
      </c>
      <c r="AT1012" s="1" t="s">
        <v>31</v>
      </c>
      <c r="AX1012" s="1">
        <v>0.0</v>
      </c>
      <c r="AY1012" s="1">
        <v>0.0</v>
      </c>
    </row>
    <row r="1013" spans="20:51" ht="15.75" hidden="1">
      <c r="T1013" s="1">
        <v>52376.0</v>
      </c>
      <c r="U1013" s="1"/>
      <c r="V1013" s="1"/>
      <c r="W1013" s="1"/>
      <c r="X1013" s="1"/>
      <c r="Y1013" s="1" t="s">
        <v>4613</v>
      </c>
      <c r="Z1013" s="1" t="s">
        <v>1005</v>
      </c>
      <c r="AA1013" s="1" t="s">
        <v>1006</v>
      </c>
      <c r="AB1013" s="1"/>
      <c r="AC1013" s="1"/>
      <c r="AD1013" s="1"/>
      <c r="AE1013" s="1"/>
      <c r="AG1013" s="2" t="str">
        <f>"0312273207"</f>
        <v>0312273207</v>
      </c>
      <c r="AH1013" s="2" t="str">
        <f>"9780312273200"</f>
        <v>9780312273200</v>
      </c>
      <c r="AI1013" s="1">
        <v>0.0</v>
      </c>
      <c r="AJ1013" s="1">
        <v>3.33</v>
      </c>
      <c r="AK1013" s="1" t="s">
        <v>4614</v>
      </c>
      <c r="AL1013" s="1" t="s">
        <v>28</v>
      </c>
      <c r="AM1013" s="1">
        <v>398.0</v>
      </c>
      <c r="AN1013" s="1">
        <v>2001.0</v>
      </c>
      <c r="AO1013" s="1">
        <v>2000.0</v>
      </c>
      <c r="AQ1013" s="3">
        <v>45154.0</v>
      </c>
      <c r="AR1013" s="1" t="s">
        <v>31</v>
      </c>
      <c r="AS1013" s="1" t="s">
        <v>4615</v>
      </c>
      <c r="AT1013" s="1" t="s">
        <v>31</v>
      </c>
      <c r="AX1013" s="1">
        <v>0.0</v>
      </c>
      <c r="AY1013" s="1">
        <v>0.0</v>
      </c>
    </row>
    <row r="1014" spans="20:51" ht="15.75" hidden="1">
      <c r="T1014" s="1">
        <v>52380.0</v>
      </c>
      <c r="U1014" s="1"/>
      <c r="V1014" s="1"/>
      <c r="W1014" s="1"/>
      <c r="X1014" s="1"/>
      <c r="Y1014" s="1" t="s">
        <v>4616</v>
      </c>
      <c r="Z1014" s="1" t="s">
        <v>1005</v>
      </c>
      <c r="AA1014" s="1" t="s">
        <v>1006</v>
      </c>
      <c r="AB1014" s="1"/>
      <c r="AC1014" s="1"/>
      <c r="AD1014" s="1"/>
      <c r="AE1014" s="1"/>
      <c r="AG1014" s="2" t="str">
        <f>""</f>
        <v/>
      </c>
      <c r="AH1014" s="2" t="str">
        <f>"9780312420072"</f>
        <v>9780312420072</v>
      </c>
      <c r="AI1014" s="1">
        <v>0.0</v>
      </c>
      <c r="AJ1014" s="1">
        <v>3.64</v>
      </c>
      <c r="AK1014" s="1" t="s">
        <v>945</v>
      </c>
      <c r="AL1014" s="1" t="s">
        <v>28</v>
      </c>
      <c r="AM1014" s="1">
        <v>432.0</v>
      </c>
      <c r="AN1014" s="1">
        <v>2004.0</v>
      </c>
      <c r="AO1014" s="1">
        <v>1992.0</v>
      </c>
      <c r="AQ1014" s="3">
        <v>45154.0</v>
      </c>
      <c r="AR1014" s="1" t="s">
        <v>31</v>
      </c>
      <c r="AS1014" s="1" t="s">
        <v>4617</v>
      </c>
      <c r="AT1014" s="1" t="s">
        <v>31</v>
      </c>
      <c r="AX1014" s="1">
        <v>0.0</v>
      </c>
      <c r="AY1014" s="1">
        <v>0.0</v>
      </c>
    </row>
    <row r="1015" spans="20:51" ht="15.75" hidden="1">
      <c r="T1015" s="1">
        <v>6537065.0</v>
      </c>
      <c r="U1015" s="1"/>
      <c r="V1015" s="1"/>
      <c r="W1015" s="1"/>
      <c r="X1015" s="1"/>
      <c r="Y1015" s="1" t="s">
        <v>4618</v>
      </c>
      <c r="Z1015" s="1" t="s">
        <v>4619</v>
      </c>
      <c r="AA1015" s="1" t="s">
        <v>4620</v>
      </c>
      <c r="AB1015" s="1"/>
      <c r="AC1015" s="1"/>
      <c r="AD1015" s="1"/>
      <c r="AE1015" s="1"/>
      <c r="AG1015" s="2" t="str">
        <f>"0786436956"</f>
        <v>0786436956</v>
      </c>
      <c r="AH1015" s="2" t="str">
        <f>"9780786436958"</f>
        <v>9780786436958</v>
      </c>
      <c r="AI1015" s="1">
        <v>0.0</v>
      </c>
      <c r="AJ1015" s="1">
        <v>3.46</v>
      </c>
      <c r="AK1015" s="1" t="s">
        <v>4621</v>
      </c>
      <c r="AL1015" s="1" t="s">
        <v>41</v>
      </c>
      <c r="AM1015" s="1">
        <v>248.0</v>
      </c>
      <c r="AN1015" s="1">
        <v>2009.0</v>
      </c>
      <c r="AO1015" s="1">
        <v>2009.0</v>
      </c>
      <c r="AQ1015" s="3">
        <v>45153.0</v>
      </c>
      <c r="AR1015" s="1" t="s">
        <v>31</v>
      </c>
      <c r="AS1015" s="1" t="s">
        <v>4622</v>
      </c>
      <c r="AT1015" s="1" t="s">
        <v>31</v>
      </c>
      <c r="AX1015" s="1">
        <v>0.0</v>
      </c>
      <c r="AY1015" s="1">
        <v>0.0</v>
      </c>
    </row>
    <row r="1016" spans="20:51" ht="15.75" hidden="1">
      <c r="T1016" s="1">
        <v>1.3650513E7</v>
      </c>
      <c r="U1016" s="1"/>
      <c r="V1016" s="1"/>
      <c r="W1016" s="1"/>
      <c r="X1016" s="1"/>
      <c r="Y1016" s="1" t="s">
        <v>4623</v>
      </c>
      <c r="Z1016" s="1" t="s">
        <v>1578</v>
      </c>
      <c r="AA1016" s="1" t="s">
        <v>1579</v>
      </c>
      <c r="AB1016" s="1"/>
      <c r="AC1016" s="1"/>
      <c r="AD1016" s="1"/>
      <c r="AE1016" s="1"/>
      <c r="AG1016" s="2" t="str">
        <f>"0007461267"</f>
        <v>0007461267</v>
      </c>
      <c r="AH1016" s="2" t="str">
        <f>"9780007461264"</f>
        <v>9780007461264</v>
      </c>
      <c r="AI1016" s="1">
        <v>0.0</v>
      </c>
      <c r="AJ1016" s="1">
        <v>4.12</v>
      </c>
      <c r="AK1016" s="1" t="s">
        <v>4624</v>
      </c>
      <c r="AL1016" s="1" t="s">
        <v>28</v>
      </c>
      <c r="AM1016" s="1">
        <v>162.0</v>
      </c>
      <c r="AN1016" s="1">
        <v>2012.0</v>
      </c>
      <c r="AO1016" s="1">
        <v>1940.0</v>
      </c>
      <c r="AQ1016" s="3">
        <v>45153.0</v>
      </c>
      <c r="AR1016" s="1" t="s">
        <v>31</v>
      </c>
      <c r="AS1016" s="1" t="s">
        <v>4625</v>
      </c>
      <c r="AT1016" s="1" t="s">
        <v>31</v>
      </c>
      <c r="AX1016" s="1">
        <v>0.0</v>
      </c>
      <c r="AY1016" s="1">
        <v>0.0</v>
      </c>
    </row>
    <row r="1017" spans="20:51" ht="15.75" hidden="1">
      <c r="T1017" s="1">
        <v>205311.0</v>
      </c>
      <c r="U1017" s="1"/>
      <c r="V1017" s="1"/>
      <c r="W1017" s="1"/>
      <c r="X1017" s="1"/>
      <c r="Y1017" s="1" t="s">
        <v>4626</v>
      </c>
      <c r="Z1017" s="1" t="s">
        <v>4627</v>
      </c>
      <c r="AA1017" s="1" t="s">
        <v>4628</v>
      </c>
      <c r="AB1017" s="1"/>
      <c r="AC1017" s="1"/>
      <c r="AD1017" s="1"/>
      <c r="AE1017" s="1"/>
      <c r="AG1017" s="2" t="str">
        <f>"0340652403"</f>
        <v>0340652403</v>
      </c>
      <c r="AH1017" s="2" t="str">
        <f>"9780340652404"</f>
        <v>9780340652404</v>
      </c>
      <c r="AI1017" s="1">
        <v>0.0</v>
      </c>
      <c r="AJ1017" s="1">
        <v>3.6</v>
      </c>
      <c r="AK1017" s="1" t="s">
        <v>4629</v>
      </c>
      <c r="AL1017" s="1" t="s">
        <v>28</v>
      </c>
      <c r="AM1017" s="1">
        <v>400.0</v>
      </c>
      <c r="AN1017" s="1">
        <v>2009.0</v>
      </c>
      <c r="AO1017" s="1">
        <v>1996.0</v>
      </c>
      <c r="AQ1017" s="3">
        <v>45153.0</v>
      </c>
      <c r="AR1017" s="1" t="s">
        <v>31</v>
      </c>
      <c r="AS1017" s="1" t="s">
        <v>4630</v>
      </c>
      <c r="AT1017" s="1" t="s">
        <v>31</v>
      </c>
      <c r="AX1017" s="1">
        <v>0.0</v>
      </c>
      <c r="AY1017" s="1">
        <v>0.0</v>
      </c>
    </row>
    <row r="1018" spans="20:51" ht="15.75" hidden="1">
      <c r="T1018" s="1">
        <v>5.571162E7</v>
      </c>
      <c r="U1018" s="1"/>
      <c r="V1018" s="1"/>
      <c r="W1018" s="1"/>
      <c r="X1018" s="1"/>
      <c r="Y1018" s="1" t="s">
        <v>4631</v>
      </c>
      <c r="Z1018" s="1" t="s">
        <v>4632</v>
      </c>
      <c r="AA1018" s="1" t="s">
        <v>4633</v>
      </c>
      <c r="AB1018" s="1"/>
      <c r="AC1018" s="1"/>
      <c r="AD1018" s="1"/>
      <c r="AE1018" s="1"/>
      <c r="AG1018" s="2" t="str">
        <f>"1982140909"</f>
        <v>1982140909</v>
      </c>
      <c r="AH1018" s="2" t="str">
        <f>"9781982140908"</f>
        <v>9781982140908</v>
      </c>
      <c r="AI1018" s="1">
        <v>0.0</v>
      </c>
      <c r="AJ1018" s="1">
        <v>3.77</v>
      </c>
      <c r="AK1018" s="1" t="s">
        <v>4634</v>
      </c>
      <c r="AL1018" s="1" t="s">
        <v>41</v>
      </c>
      <c r="AM1018" s="1">
        <v>272.0</v>
      </c>
      <c r="AN1018" s="1">
        <v>2021.0</v>
      </c>
      <c r="AO1018" s="1">
        <v>2021.0</v>
      </c>
      <c r="AQ1018" s="3">
        <v>45153.0</v>
      </c>
      <c r="AR1018" s="1" t="s">
        <v>31</v>
      </c>
      <c r="AS1018" s="1" t="s">
        <v>4635</v>
      </c>
      <c r="AT1018" s="1" t="s">
        <v>31</v>
      </c>
      <c r="AX1018" s="1">
        <v>0.0</v>
      </c>
      <c r="AY1018" s="1">
        <v>0.0</v>
      </c>
    </row>
    <row r="1019" spans="20:51" ht="15.75" hidden="1">
      <c r="T1019" s="1">
        <v>5.5766187E7</v>
      </c>
      <c r="U1019" s="1"/>
      <c r="V1019" s="1"/>
      <c r="W1019" s="1"/>
      <c r="X1019" s="1"/>
      <c r="Y1019" s="1" t="s">
        <v>4636</v>
      </c>
      <c r="Z1019" s="1" t="s">
        <v>4637</v>
      </c>
      <c r="AA1019" s="1" t="s">
        <v>4638</v>
      </c>
      <c r="AB1019" s="1"/>
      <c r="AC1019" s="1"/>
      <c r="AD1019" s="1"/>
      <c r="AE1019" s="1"/>
      <c r="AG1019" s="2" t="str">
        <f>"1999922379"</f>
        <v>1999922379</v>
      </c>
      <c r="AH1019" s="2" t="str">
        <f>"9781999922375"</f>
        <v>9781999922375</v>
      </c>
      <c r="AI1019" s="1">
        <v>0.0</v>
      </c>
      <c r="AJ1019" s="1">
        <v>4.34</v>
      </c>
      <c r="AK1019" s="1" t="s">
        <v>4639</v>
      </c>
      <c r="AL1019" s="1" t="s">
        <v>28</v>
      </c>
      <c r="AM1019" s="1">
        <v>128.0</v>
      </c>
      <c r="AN1019" s="1">
        <v>2020.0</v>
      </c>
      <c r="AO1019" s="1">
        <v>2020.0</v>
      </c>
      <c r="AQ1019" s="3">
        <v>45153.0</v>
      </c>
      <c r="AR1019" s="1" t="s">
        <v>31</v>
      </c>
      <c r="AS1019" s="1" t="s">
        <v>4640</v>
      </c>
      <c r="AT1019" s="1" t="s">
        <v>31</v>
      </c>
      <c r="AX1019" s="1">
        <v>0.0</v>
      </c>
      <c r="AY1019" s="1">
        <v>0.0</v>
      </c>
    </row>
    <row r="1020" spans="20:51" ht="15.75" hidden="1">
      <c r="T1020" s="1">
        <v>3.9999461E7</v>
      </c>
      <c r="U1020" s="1"/>
      <c r="V1020" s="1"/>
      <c r="W1020" s="1"/>
      <c r="X1020" s="1"/>
      <c r="Y1020" s="1" t="s">
        <v>4641</v>
      </c>
      <c r="Z1020" s="1" t="s">
        <v>4642</v>
      </c>
      <c r="AA1020" s="1" t="s">
        <v>4643</v>
      </c>
      <c r="AB1020" s="1"/>
      <c r="AC1020" s="1"/>
      <c r="AD1020" s="1"/>
      <c r="AE1020" s="1"/>
      <c r="AG1020" s="2" t="str">
        <f>"0385542844"</f>
        <v>0385542844</v>
      </c>
      <c r="AH1020" s="2" t="str">
        <f>"9780385542845"</f>
        <v>9780385542845</v>
      </c>
      <c r="AI1020" s="1">
        <v>0.0</v>
      </c>
      <c r="AJ1020" s="1">
        <v>4.12</v>
      </c>
      <c r="AK1020" s="1" t="s">
        <v>686</v>
      </c>
      <c r="AL1020" s="1" t="s">
        <v>41</v>
      </c>
      <c r="AM1020" s="1">
        <v>243.0</v>
      </c>
      <c r="AN1020" s="1">
        <v>2019.0</v>
      </c>
      <c r="AO1020" s="1">
        <v>2019.0</v>
      </c>
      <c r="AQ1020" s="3">
        <v>45153.0</v>
      </c>
      <c r="AR1020" s="1" t="s">
        <v>31</v>
      </c>
      <c r="AS1020" s="1" t="s">
        <v>4644</v>
      </c>
      <c r="AT1020" s="1" t="s">
        <v>31</v>
      </c>
      <c r="AX1020" s="1">
        <v>0.0</v>
      </c>
      <c r="AY1020" s="1">
        <v>0.0</v>
      </c>
    </row>
    <row r="1021" spans="20:51" ht="15.75" hidden="1">
      <c r="T1021" s="1">
        <v>2.6530383E7</v>
      </c>
      <c r="U1021" s="1"/>
      <c r="V1021" s="1"/>
      <c r="W1021" s="1"/>
      <c r="X1021" s="1"/>
      <c r="Y1021" s="1" t="s">
        <v>4645</v>
      </c>
      <c r="Z1021" s="1" t="s">
        <v>4646</v>
      </c>
      <c r="AA1021" s="1" t="s">
        <v>4647</v>
      </c>
      <c r="AB1021" s="1"/>
      <c r="AC1021" s="1"/>
      <c r="AD1021" s="1"/>
      <c r="AE1021" s="1"/>
      <c r="AG1021" s="2" t="str">
        <f>"0393352986"</f>
        <v>0393352986</v>
      </c>
      <c r="AH1021" s="2" t="str">
        <f>"9780393352986"</f>
        <v>9780393352986</v>
      </c>
      <c r="AI1021" s="1">
        <v>0.0</v>
      </c>
      <c r="AJ1021" s="1">
        <v>4.08</v>
      </c>
      <c r="AK1021" s="1" t="s">
        <v>113</v>
      </c>
      <c r="AL1021" s="1" t="s">
        <v>28</v>
      </c>
      <c r="AM1021" s="1">
        <v>512.0</v>
      </c>
      <c r="AN1021" s="1">
        <v>2016.0</v>
      </c>
      <c r="AO1021" s="1">
        <v>2000.0</v>
      </c>
      <c r="AQ1021" s="3">
        <v>45153.0</v>
      </c>
      <c r="AR1021" s="1" t="s">
        <v>31</v>
      </c>
      <c r="AS1021" s="1" t="s">
        <v>4648</v>
      </c>
      <c r="AT1021" s="1" t="s">
        <v>31</v>
      </c>
      <c r="AX1021" s="1">
        <v>0.0</v>
      </c>
      <c r="AY1021" s="1">
        <v>0.0</v>
      </c>
    </row>
    <row r="1022" spans="20:51" ht="15.75" hidden="1">
      <c r="T1022" s="1">
        <v>2.7558403E7</v>
      </c>
      <c r="U1022" s="1"/>
      <c r="V1022" s="1"/>
      <c r="W1022" s="1"/>
      <c r="X1022" s="1"/>
      <c r="Y1022" s="1" t="s">
        <v>4649</v>
      </c>
      <c r="Z1022" s="1" t="s">
        <v>4650</v>
      </c>
      <c r="AA1022" s="1" t="s">
        <v>4651</v>
      </c>
      <c r="AB1022" s="1"/>
      <c r="AC1022" s="1"/>
      <c r="AD1022" s="1"/>
      <c r="AE1022" s="1"/>
      <c r="AG1022" s="2" t="str">
        <f>"1479881708"</f>
        <v>1479881708</v>
      </c>
      <c r="AH1022" s="2" t="str">
        <f>"9781479881703"</f>
        <v>9781479881703</v>
      </c>
      <c r="AI1022" s="1">
        <v>0.0</v>
      </c>
      <c r="AJ1022" s="1">
        <v>3.5</v>
      </c>
      <c r="AK1022" s="1" t="s">
        <v>777</v>
      </c>
      <c r="AL1022" s="1" t="s">
        <v>41</v>
      </c>
      <c r="AM1022" s="1">
        <v>256.0</v>
      </c>
      <c r="AN1022" s="1">
        <v>2016.0</v>
      </c>
      <c r="AO1022" s="1">
        <v>2016.0</v>
      </c>
      <c r="AQ1022" s="3">
        <v>45153.0</v>
      </c>
      <c r="AR1022" s="1" t="s">
        <v>31</v>
      </c>
      <c r="AS1022" s="1" t="s">
        <v>4652</v>
      </c>
      <c r="AT1022" s="1" t="s">
        <v>31</v>
      </c>
      <c r="AX1022" s="1">
        <v>0.0</v>
      </c>
      <c r="AY1022" s="1">
        <v>0.0</v>
      </c>
    </row>
    <row r="1023" spans="20:51" ht="15.75" hidden="1">
      <c r="T1023" s="1">
        <v>3.4858587E7</v>
      </c>
      <c r="U1023" s="1"/>
      <c r="V1023" s="1"/>
      <c r="W1023" s="1"/>
      <c r="X1023" s="1"/>
      <c r="Y1023" s="1" t="s">
        <v>4653</v>
      </c>
      <c r="Z1023" s="1" t="s">
        <v>4654</v>
      </c>
      <c r="AA1023" s="1" t="s">
        <v>4655</v>
      </c>
      <c r="AB1023" s="1"/>
      <c r="AC1023" s="1"/>
      <c r="AD1023" s="1"/>
      <c r="AE1023" s="1"/>
      <c r="AG1023" s="2" t="str">
        <f>"1785355449"</f>
        <v>1785355449</v>
      </c>
      <c r="AH1023" s="2" t="str">
        <f>"9781785355448"</f>
        <v>9781785355448</v>
      </c>
      <c r="AI1023" s="1">
        <v>0.0</v>
      </c>
      <c r="AJ1023" s="1">
        <v>3.46</v>
      </c>
      <c r="AK1023" s="1" t="s">
        <v>2213</v>
      </c>
      <c r="AL1023" s="1" t="s">
        <v>65</v>
      </c>
      <c r="AM1023" s="1">
        <v>136.0</v>
      </c>
      <c r="AN1023" s="1">
        <v>2017.0</v>
      </c>
      <c r="AO1023" s="1">
        <v>2017.0</v>
      </c>
      <c r="AQ1023" s="3">
        <v>45153.0</v>
      </c>
      <c r="AR1023" s="1" t="s">
        <v>31</v>
      </c>
      <c r="AS1023" s="1" t="s">
        <v>4656</v>
      </c>
      <c r="AT1023" s="1" t="s">
        <v>31</v>
      </c>
      <c r="AX1023" s="1">
        <v>0.0</v>
      </c>
      <c r="AY1023" s="1">
        <v>0.0</v>
      </c>
    </row>
    <row r="1024" spans="20:51" ht="15.75" hidden="1">
      <c r="T1024" s="1">
        <v>5.7933306E7</v>
      </c>
      <c r="U1024" s="1"/>
      <c r="V1024" s="1"/>
      <c r="W1024" s="1"/>
      <c r="X1024" s="1"/>
      <c r="Y1024" s="1" t="s">
        <v>4657</v>
      </c>
      <c r="Z1024" s="1" t="s">
        <v>4658</v>
      </c>
      <c r="AA1024" s="1" t="s">
        <v>4659</v>
      </c>
      <c r="AB1024" s="1"/>
      <c r="AC1024" s="1"/>
      <c r="AD1024" s="1"/>
      <c r="AE1024" s="1"/>
      <c r="AG1024" s="2" t="str">
        <f>"0593138511"</f>
        <v>0593138511</v>
      </c>
      <c r="AH1024" s="2" t="str">
        <f>"9780593138519"</f>
        <v>9780593138519</v>
      </c>
      <c r="AI1024" s="1">
        <v>0.0</v>
      </c>
      <c r="AJ1024" s="1">
        <v>4.25</v>
      </c>
      <c r="AK1024" s="1" t="s">
        <v>3169</v>
      </c>
      <c r="AL1024" s="1" t="s">
        <v>41</v>
      </c>
      <c r="AM1024" s="1">
        <v>357.0</v>
      </c>
      <c r="AN1024" s="1">
        <v>2022.0</v>
      </c>
      <c r="AO1024" s="1">
        <v>2022.0</v>
      </c>
      <c r="AQ1024" s="3">
        <v>45153.0</v>
      </c>
      <c r="AR1024" s="1" t="s">
        <v>31</v>
      </c>
      <c r="AS1024" s="1" t="s">
        <v>4660</v>
      </c>
      <c r="AT1024" s="1" t="s">
        <v>31</v>
      </c>
      <c r="AX1024" s="1">
        <v>0.0</v>
      </c>
      <c r="AY1024" s="1">
        <v>0.0</v>
      </c>
    </row>
    <row r="1025" spans="20:51" ht="15.75" hidden="1">
      <c r="T1025" s="1">
        <v>5.3173189E7</v>
      </c>
      <c r="U1025" s="1"/>
      <c r="V1025" s="1"/>
      <c r="W1025" s="1"/>
      <c r="X1025" s="1"/>
      <c r="Y1025" s="1" t="s">
        <v>4661</v>
      </c>
      <c r="Z1025" s="1" t="s">
        <v>4662</v>
      </c>
      <c r="AA1025" s="1" t="s">
        <v>4663</v>
      </c>
      <c r="AB1025" s="1"/>
      <c r="AC1025" s="1"/>
      <c r="AD1025" s="1"/>
      <c r="AE1025" s="1"/>
      <c r="AF1025" s="1" t="s">
        <v>4664</v>
      </c>
      <c r="AG1025" s="2" t="str">
        <f>"0486843173"</f>
        <v>0486843173</v>
      </c>
      <c r="AH1025" s="2" t="str">
        <f>"9780486843179"</f>
        <v>9780486843179</v>
      </c>
      <c r="AI1025" s="1">
        <v>0.0</v>
      </c>
      <c r="AJ1025" s="1">
        <v>3.83</v>
      </c>
      <c r="AK1025" s="1" t="s">
        <v>540</v>
      </c>
      <c r="AL1025" s="1" t="s">
        <v>28</v>
      </c>
      <c r="AM1025" s="1">
        <v>112.0</v>
      </c>
      <c r="AN1025" s="1">
        <v>2020.0</v>
      </c>
      <c r="AO1025" s="1">
        <v>1905.0</v>
      </c>
      <c r="AQ1025" s="3">
        <v>45153.0</v>
      </c>
      <c r="AR1025" s="1" t="s">
        <v>31</v>
      </c>
      <c r="AS1025" s="1" t="s">
        <v>4665</v>
      </c>
      <c r="AT1025" s="1" t="s">
        <v>31</v>
      </c>
      <c r="AX1025" s="1">
        <v>0.0</v>
      </c>
      <c r="AY1025" s="1">
        <v>0.0</v>
      </c>
    </row>
    <row r="1026" spans="20:51" ht="15.75" hidden="1">
      <c r="T1026" s="1">
        <v>1185604.0</v>
      </c>
      <c r="U1026" s="1"/>
      <c r="V1026" s="1"/>
      <c r="W1026" s="1"/>
      <c r="X1026" s="1"/>
      <c r="Y1026" s="1" t="s">
        <v>4666</v>
      </c>
      <c r="Z1026" s="1" t="s">
        <v>4667</v>
      </c>
      <c r="AA1026" s="1" t="s">
        <v>4668</v>
      </c>
      <c r="AB1026" s="1"/>
      <c r="AC1026" s="1"/>
      <c r="AD1026" s="1"/>
      <c r="AE1026" s="1"/>
      <c r="AG1026" s="2" t="str">
        <f>"0486231240"</f>
        <v>0486231240</v>
      </c>
      <c r="AH1026" s="2" t="str">
        <f>"9780486231242"</f>
        <v>9780486231242</v>
      </c>
      <c r="AI1026" s="1">
        <v>0.0</v>
      </c>
      <c r="AJ1026" s="1">
        <v>3.77</v>
      </c>
      <c r="AK1026" s="1" t="s">
        <v>540</v>
      </c>
      <c r="AL1026" s="1" t="s">
        <v>28</v>
      </c>
      <c r="AM1026" s="1">
        <v>384.0</v>
      </c>
      <c r="AN1026" s="1">
        <v>2011.0</v>
      </c>
      <c r="AO1026" s="1">
        <v>1975.0</v>
      </c>
      <c r="AQ1026" s="3">
        <v>45153.0</v>
      </c>
      <c r="AR1026" s="1" t="s">
        <v>31</v>
      </c>
      <c r="AS1026" s="1" t="s">
        <v>4669</v>
      </c>
      <c r="AT1026" s="1" t="s">
        <v>31</v>
      </c>
      <c r="AX1026" s="1">
        <v>0.0</v>
      </c>
      <c r="AY1026" s="1">
        <v>0.0</v>
      </c>
    </row>
    <row r="1027" spans="20:51" ht="15.75" hidden="1">
      <c r="T1027" s="1">
        <v>1270229.0</v>
      </c>
      <c r="U1027" s="1"/>
      <c r="V1027" s="1"/>
      <c r="W1027" s="1"/>
      <c r="X1027" s="1"/>
      <c r="Y1027" s="1" t="s">
        <v>4670</v>
      </c>
      <c r="Z1027" s="1" t="s">
        <v>4671</v>
      </c>
      <c r="AA1027" s="1" t="s">
        <v>4672</v>
      </c>
      <c r="AB1027" s="1"/>
      <c r="AC1027" s="1"/>
      <c r="AD1027" s="1"/>
      <c r="AE1027" s="1"/>
      <c r="AG1027" s="2" t="str">
        <f>"0262640317"</f>
        <v>0262640317</v>
      </c>
      <c r="AH1027" s="2" t="str">
        <f>"9780262640312"</f>
        <v>9780262640312</v>
      </c>
      <c r="AI1027" s="1">
        <v>0.0</v>
      </c>
      <c r="AJ1027" s="1">
        <v>4.57</v>
      </c>
      <c r="AK1027" s="1" t="s">
        <v>4431</v>
      </c>
      <c r="AL1027" s="1" t="s">
        <v>28</v>
      </c>
      <c r="AN1027" s="1">
        <v>1993.0</v>
      </c>
      <c r="AO1027" s="1">
        <v>1989.0</v>
      </c>
      <c r="AQ1027" s="3">
        <v>45153.0</v>
      </c>
      <c r="AR1027" s="1" t="s">
        <v>31</v>
      </c>
      <c r="AS1027" s="1" t="s">
        <v>4673</v>
      </c>
      <c r="AT1027" s="1" t="s">
        <v>31</v>
      </c>
      <c r="AX1027" s="1">
        <v>0.0</v>
      </c>
      <c r="AY1027" s="1">
        <v>0.0</v>
      </c>
    </row>
    <row r="1028" spans="20:51" ht="15.75" hidden="1">
      <c r="T1028" s="1">
        <v>1281898.0</v>
      </c>
      <c r="U1028" s="1"/>
      <c r="V1028" s="1"/>
      <c r="W1028" s="1"/>
      <c r="X1028" s="1"/>
      <c r="Y1028" s="1" t="s">
        <v>4674</v>
      </c>
      <c r="Z1028" s="1" t="s">
        <v>4675</v>
      </c>
      <c r="AA1028" s="1" t="s">
        <v>4676</v>
      </c>
      <c r="AB1028" s="1"/>
      <c r="AC1028" s="1"/>
      <c r="AD1028" s="1"/>
      <c r="AE1028" s="1"/>
      <c r="AG1028" s="2" t="str">
        <f>"0262610825"</f>
        <v>0262610825</v>
      </c>
      <c r="AH1028" s="2" t="str">
        <f>"9780262610827"</f>
        <v>9780262610827</v>
      </c>
      <c r="AI1028" s="1">
        <v>0.0</v>
      </c>
      <c r="AJ1028" s="1">
        <v>4.33</v>
      </c>
      <c r="AK1028" s="1" t="s">
        <v>4431</v>
      </c>
      <c r="AL1028" s="1" t="s">
        <v>28</v>
      </c>
      <c r="AN1028" s="1">
        <v>1992.0</v>
      </c>
      <c r="AO1028" s="1">
        <v>1990.0</v>
      </c>
      <c r="AQ1028" s="3">
        <v>45153.0</v>
      </c>
      <c r="AR1028" s="1" t="s">
        <v>31</v>
      </c>
      <c r="AS1028" s="1" t="s">
        <v>4677</v>
      </c>
      <c r="AT1028" s="1" t="s">
        <v>31</v>
      </c>
      <c r="AX1028" s="1">
        <v>0.0</v>
      </c>
      <c r="AY1028" s="1">
        <v>0.0</v>
      </c>
    </row>
    <row r="1029" spans="20:51" ht="15.75" hidden="1">
      <c r="T1029" s="1">
        <v>333832.0</v>
      </c>
      <c r="U1029" s="1"/>
      <c r="V1029" s="1"/>
      <c r="W1029" s="1"/>
      <c r="X1029" s="1"/>
      <c r="Y1029" s="1" t="s">
        <v>4678</v>
      </c>
      <c r="Z1029" s="1" t="s">
        <v>4679</v>
      </c>
      <c r="AA1029" s="1" t="s">
        <v>4680</v>
      </c>
      <c r="AB1029" s="1"/>
      <c r="AC1029" s="1"/>
      <c r="AD1029" s="1"/>
      <c r="AE1029" s="1"/>
      <c r="AG1029" s="2" t="str">
        <f>"0674411528"</f>
        <v>0674411528</v>
      </c>
      <c r="AH1029" s="2" t="str">
        <f>"9780674411524"</f>
        <v>9780674411524</v>
      </c>
      <c r="AI1029" s="1">
        <v>0.0</v>
      </c>
      <c r="AJ1029" s="1">
        <v>3.91</v>
      </c>
      <c r="AK1029" s="1" t="s">
        <v>107</v>
      </c>
      <c r="AL1029" s="1" t="s">
        <v>28</v>
      </c>
      <c r="AM1029" s="1">
        <v>168.0</v>
      </c>
      <c r="AN1029" s="1">
        <v>1976.0</v>
      </c>
      <c r="AO1029" s="1">
        <v>1955.0</v>
      </c>
      <c r="AQ1029" s="3">
        <v>45153.0</v>
      </c>
      <c r="AR1029" s="1" t="s">
        <v>31</v>
      </c>
      <c r="AS1029" s="1" t="s">
        <v>4681</v>
      </c>
      <c r="AT1029" s="1" t="s">
        <v>31</v>
      </c>
      <c r="AX1029" s="1">
        <v>0.0</v>
      </c>
      <c r="AY1029" s="1">
        <v>0.0</v>
      </c>
    </row>
    <row r="1030" spans="20:51" ht="15.75" hidden="1">
      <c r="T1030" s="1">
        <v>694962.0</v>
      </c>
      <c r="U1030" s="1"/>
      <c r="V1030" s="1"/>
      <c r="W1030" s="1"/>
      <c r="X1030" s="1"/>
      <c r="Y1030" s="1" t="s">
        <v>4682</v>
      </c>
      <c r="Z1030" s="1" t="s">
        <v>4683</v>
      </c>
      <c r="AA1030" s="1" t="s">
        <v>4684</v>
      </c>
      <c r="AB1030" s="1"/>
      <c r="AC1030" s="1"/>
      <c r="AD1030" s="1"/>
      <c r="AE1030" s="1"/>
      <c r="AG1030" s="2" t="str">
        <f>"0521483476"</f>
        <v>0521483476</v>
      </c>
      <c r="AH1030" s="2" t="str">
        <f>"9780521483476"</f>
        <v>9780521483476</v>
      </c>
      <c r="AI1030" s="1">
        <v>0.0</v>
      </c>
      <c r="AJ1030" s="1">
        <v>3.69</v>
      </c>
      <c r="AK1030" s="1" t="s">
        <v>605</v>
      </c>
      <c r="AL1030" s="1" t="s">
        <v>28</v>
      </c>
      <c r="AM1030" s="1">
        <v>175.0</v>
      </c>
      <c r="AN1030" s="1">
        <v>1995.0</v>
      </c>
      <c r="AO1030" s="1">
        <v>1988.0</v>
      </c>
      <c r="AQ1030" s="3">
        <v>45153.0</v>
      </c>
      <c r="AR1030" s="1" t="s">
        <v>31</v>
      </c>
      <c r="AS1030" s="1" t="s">
        <v>4685</v>
      </c>
      <c r="AT1030" s="1" t="s">
        <v>31</v>
      </c>
      <c r="AX1030" s="1">
        <v>0.0</v>
      </c>
      <c r="AY1030" s="1">
        <v>0.0</v>
      </c>
    </row>
    <row r="1031" spans="20:51" ht="15.75" hidden="1">
      <c r="T1031" s="1">
        <v>7507561.0</v>
      </c>
      <c r="U1031" s="1"/>
      <c r="V1031" s="1"/>
      <c r="W1031" s="1"/>
      <c r="X1031" s="1"/>
      <c r="Y1031" s="1" t="s">
        <v>4686</v>
      </c>
      <c r="Z1031" s="1" t="s">
        <v>4687</v>
      </c>
      <c r="AA1031" s="1" t="s">
        <v>4688</v>
      </c>
      <c r="AB1031" s="1"/>
      <c r="AC1031" s="1"/>
      <c r="AD1031" s="1"/>
      <c r="AE1031" s="1"/>
      <c r="AG1031" s="2" t="str">
        <f>"1402768966"</f>
        <v>1402768966</v>
      </c>
      <c r="AH1031" s="2" t="str">
        <f>"9781402768965"</f>
        <v>9781402768965</v>
      </c>
      <c r="AI1031" s="1">
        <v>0.0</v>
      </c>
      <c r="AJ1031" s="1">
        <v>3.31</v>
      </c>
      <c r="AK1031" s="1" t="s">
        <v>4689</v>
      </c>
      <c r="AL1031" s="1" t="s">
        <v>41</v>
      </c>
      <c r="AM1031" s="1">
        <v>182.0</v>
      </c>
      <c r="AN1031" s="1">
        <v>2010.0</v>
      </c>
      <c r="AO1031" s="1">
        <v>2000.0</v>
      </c>
      <c r="AQ1031" s="3">
        <v>45153.0</v>
      </c>
      <c r="AR1031" s="1" t="s">
        <v>31</v>
      </c>
      <c r="AS1031" s="1" t="s">
        <v>4690</v>
      </c>
      <c r="AT1031" s="1" t="s">
        <v>31</v>
      </c>
      <c r="AX1031" s="1">
        <v>0.0</v>
      </c>
      <c r="AY1031" s="1">
        <v>0.0</v>
      </c>
    </row>
    <row r="1032" spans="20:51" ht="15.75" hidden="1">
      <c r="T1032" s="1">
        <v>2003208.0</v>
      </c>
      <c r="U1032" s="1"/>
      <c r="V1032" s="1"/>
      <c r="W1032" s="1"/>
      <c r="X1032" s="1"/>
      <c r="Y1032" s="1" t="s">
        <v>4691</v>
      </c>
      <c r="Z1032" s="1" t="s">
        <v>4692</v>
      </c>
      <c r="AA1032" s="1" t="s">
        <v>4693</v>
      </c>
      <c r="AB1032" s="1"/>
      <c r="AC1032" s="1"/>
      <c r="AD1032" s="1"/>
      <c r="AE1032" s="1"/>
      <c r="AG1032" s="2" t="str">
        <f>"0521008042"</f>
        <v>0521008042</v>
      </c>
      <c r="AH1032" s="2" t="str">
        <f>"9780521008044"</f>
        <v>9780521008044</v>
      </c>
      <c r="AI1032" s="1">
        <v>0.0</v>
      </c>
      <c r="AJ1032" s="1">
        <v>3.9</v>
      </c>
      <c r="AK1032" s="1" t="s">
        <v>605</v>
      </c>
      <c r="AL1032" s="1" t="s">
        <v>28</v>
      </c>
      <c r="AM1032" s="1">
        <v>364.0</v>
      </c>
      <c r="AN1032" s="1">
        <v>2003.0</v>
      </c>
      <c r="AO1032" s="1">
        <v>2003.0</v>
      </c>
      <c r="AQ1032" s="3">
        <v>45153.0</v>
      </c>
      <c r="AR1032" s="1" t="s">
        <v>31</v>
      </c>
      <c r="AS1032" s="1" t="s">
        <v>4694</v>
      </c>
      <c r="AT1032" s="1" t="s">
        <v>31</v>
      </c>
      <c r="AX1032" s="1">
        <v>0.0</v>
      </c>
      <c r="AY1032" s="1">
        <v>0.0</v>
      </c>
    </row>
    <row r="1033" spans="20:51" ht="15.75" hidden="1">
      <c r="T1033" s="1">
        <v>1477372.0</v>
      </c>
      <c r="U1033" s="1"/>
      <c r="V1033" s="1"/>
      <c r="W1033" s="1"/>
      <c r="X1033" s="1"/>
      <c r="Y1033" s="1" t="s">
        <v>4695</v>
      </c>
      <c r="Z1033" s="1" t="s">
        <v>4696</v>
      </c>
      <c r="AA1033" s="1" t="s">
        <v>4697</v>
      </c>
      <c r="AB1033" s="1"/>
      <c r="AC1033" s="1"/>
      <c r="AD1033" s="1"/>
      <c r="AE1033" s="1"/>
      <c r="AG1033" s="2" t="str">
        <f>"0415290317"</f>
        <v>0415290317</v>
      </c>
      <c r="AH1033" s="2" t="str">
        <f>"9780415290319"</f>
        <v>9780415290319</v>
      </c>
      <c r="AI1033" s="1">
        <v>0.0</v>
      </c>
      <c r="AJ1033" s="1">
        <v>3.67</v>
      </c>
      <c r="AK1033" s="1" t="s">
        <v>132</v>
      </c>
      <c r="AL1033" s="1" t="s">
        <v>28</v>
      </c>
      <c r="AM1033" s="1">
        <v>272.0</v>
      </c>
      <c r="AN1033" s="1">
        <v>2003.0</v>
      </c>
      <c r="AO1033" s="1">
        <v>1996.0</v>
      </c>
      <c r="AQ1033" s="3">
        <v>45153.0</v>
      </c>
      <c r="AR1033" s="1" t="s">
        <v>31</v>
      </c>
      <c r="AS1033" s="1" t="s">
        <v>4698</v>
      </c>
      <c r="AT1033" s="1" t="s">
        <v>31</v>
      </c>
      <c r="AX1033" s="1">
        <v>0.0</v>
      </c>
      <c r="AY1033" s="1">
        <v>0.0</v>
      </c>
    </row>
    <row r="1034" spans="20:51" ht="15.75" hidden="1">
      <c r="T1034" s="1">
        <v>53148.0</v>
      </c>
      <c r="U1034" s="1"/>
      <c r="V1034" s="1"/>
      <c r="W1034" s="1"/>
      <c r="X1034" s="1"/>
      <c r="Y1034" s="1" t="s">
        <v>4699</v>
      </c>
      <c r="Z1034" s="1" t="s">
        <v>4700</v>
      </c>
      <c r="AA1034" s="1" t="s">
        <v>4701</v>
      </c>
      <c r="AB1034" s="1"/>
      <c r="AC1034" s="1"/>
      <c r="AD1034" s="1"/>
      <c r="AE1034" s="1"/>
      <c r="AG1034" s="2" t="str">
        <f>"0192853775"</f>
        <v>0192853775</v>
      </c>
      <c r="AH1034" s="2" t="str">
        <f>"9780192853776"</f>
        <v>9780192853776</v>
      </c>
      <c r="AI1034" s="1">
        <v>0.0</v>
      </c>
      <c r="AJ1034" s="1">
        <v>3.6</v>
      </c>
      <c r="AK1034" s="1" t="s">
        <v>214</v>
      </c>
      <c r="AL1034" s="1" t="s">
        <v>28</v>
      </c>
      <c r="AM1034" s="1">
        <v>172.0</v>
      </c>
      <c r="AN1034" s="1">
        <v>2003.0</v>
      </c>
      <c r="AO1034" s="1">
        <v>2001.0</v>
      </c>
      <c r="AQ1034" s="3">
        <v>45153.0</v>
      </c>
      <c r="AR1034" s="1" t="s">
        <v>31</v>
      </c>
      <c r="AS1034" s="1" t="s">
        <v>4702</v>
      </c>
      <c r="AT1034" s="1" t="s">
        <v>31</v>
      </c>
      <c r="AX1034" s="1">
        <v>0.0</v>
      </c>
      <c r="AY1034" s="1">
        <v>0.0</v>
      </c>
    </row>
    <row r="1035" spans="20:51" ht="15.75" hidden="1">
      <c r="T1035" s="1">
        <v>584608.0</v>
      </c>
      <c r="U1035" s="1"/>
      <c r="V1035" s="1"/>
      <c r="W1035" s="1"/>
      <c r="X1035" s="1"/>
      <c r="Y1035" s="1" t="s">
        <v>4703</v>
      </c>
      <c r="Z1035" s="1" t="s">
        <v>4704</v>
      </c>
      <c r="AA1035" s="1" t="s">
        <v>4705</v>
      </c>
      <c r="AB1035" s="1"/>
      <c r="AC1035" s="1"/>
      <c r="AD1035" s="1"/>
      <c r="AE1035" s="1"/>
      <c r="AG1035" s="2" t="str">
        <f>"0486200108"</f>
        <v>0486200108</v>
      </c>
      <c r="AH1035" s="2" t="str">
        <f>"9780486200101"</f>
        <v>9780486200101</v>
      </c>
      <c r="AI1035" s="1">
        <v>0.0</v>
      </c>
      <c r="AJ1035" s="1">
        <v>3.76</v>
      </c>
      <c r="AK1035" s="1" t="s">
        <v>4706</v>
      </c>
      <c r="AL1035" s="1" t="s">
        <v>28</v>
      </c>
      <c r="AM1035" s="1">
        <v>160.0</v>
      </c>
      <c r="AN1035" s="1">
        <v>1952.0</v>
      </c>
      <c r="AO1035" s="1">
        <v>1936.0</v>
      </c>
      <c r="AQ1035" s="3">
        <v>45153.0</v>
      </c>
      <c r="AR1035" s="1" t="s">
        <v>31</v>
      </c>
      <c r="AS1035" s="1" t="s">
        <v>4707</v>
      </c>
      <c r="AT1035" s="1" t="s">
        <v>31</v>
      </c>
      <c r="AX1035" s="1">
        <v>0.0</v>
      </c>
      <c r="AY1035" s="1">
        <v>0.0</v>
      </c>
    </row>
    <row r="1036" spans="20:51" ht="15.75" hidden="1">
      <c r="T1036" s="1">
        <v>3206523.0</v>
      </c>
      <c r="U1036" s="1"/>
      <c r="V1036" s="1"/>
      <c r="W1036" s="1"/>
      <c r="X1036" s="1"/>
      <c r="Y1036" s="1" t="s">
        <v>4708</v>
      </c>
      <c r="Z1036" s="1" t="s">
        <v>4709</v>
      </c>
      <c r="AA1036" s="1" t="s">
        <v>4710</v>
      </c>
      <c r="AB1036" s="1"/>
      <c r="AC1036" s="1"/>
      <c r="AD1036" s="1"/>
      <c r="AE1036" s="1"/>
      <c r="AG1036" s="2" t="str">
        <f>"0195300343"</f>
        <v>0195300343</v>
      </c>
      <c r="AH1036" s="2" t="str">
        <f>"9780195300345"</f>
        <v>9780195300345</v>
      </c>
      <c r="AI1036" s="1">
        <v>0.0</v>
      </c>
      <c r="AJ1036" s="1">
        <v>3.68</v>
      </c>
      <c r="AK1036" s="1" t="s">
        <v>1186</v>
      </c>
      <c r="AL1036" s="1" t="s">
        <v>41</v>
      </c>
      <c r="AM1036" s="1">
        <v>144.0</v>
      </c>
      <c r="AN1036" s="1">
        <v>2005.0</v>
      </c>
      <c r="AO1036" s="1">
        <v>2005.0</v>
      </c>
      <c r="AQ1036" s="3">
        <v>45153.0</v>
      </c>
      <c r="AR1036" s="1" t="s">
        <v>31</v>
      </c>
      <c r="AS1036" s="1" t="s">
        <v>4711</v>
      </c>
      <c r="AT1036" s="1" t="s">
        <v>31</v>
      </c>
      <c r="AX1036" s="1">
        <v>0.0</v>
      </c>
      <c r="AY1036" s="1">
        <v>0.0</v>
      </c>
    </row>
    <row r="1037" spans="20:51" ht="15.75" hidden="1">
      <c r="T1037" s="1">
        <v>5786.0</v>
      </c>
      <c r="U1037" s="1"/>
      <c r="V1037" s="1"/>
      <c r="W1037" s="1"/>
      <c r="X1037" s="1"/>
      <c r="Y1037" s="1" t="s">
        <v>4712</v>
      </c>
      <c r="Z1037" s="1" t="s">
        <v>4713</v>
      </c>
      <c r="AA1037" s="1" t="s">
        <v>4714</v>
      </c>
      <c r="AB1037" s="1"/>
      <c r="AC1037" s="1"/>
      <c r="AD1037" s="1"/>
      <c r="AE1037" s="1"/>
      <c r="AG1037" s="2" t="str">
        <f>"0743422996"</f>
        <v>0743422996</v>
      </c>
      <c r="AH1037" s="2" t="str">
        <f>"9780743422994"</f>
        <v>9780743422994</v>
      </c>
      <c r="AI1037" s="1">
        <v>0.0</v>
      </c>
      <c r="AJ1037" s="1">
        <v>3.88</v>
      </c>
      <c r="AK1037" s="1" t="s">
        <v>1168</v>
      </c>
      <c r="AL1037" s="1" t="s">
        <v>28</v>
      </c>
      <c r="AM1037" s="1">
        <v>258.0</v>
      </c>
      <c r="AN1037" s="1">
        <v>2001.0</v>
      </c>
      <c r="AO1037" s="1">
        <v>2000.0</v>
      </c>
      <c r="AQ1037" s="3">
        <v>45153.0</v>
      </c>
      <c r="AR1037" s="1" t="s">
        <v>31</v>
      </c>
      <c r="AS1037" s="1" t="s">
        <v>4715</v>
      </c>
      <c r="AT1037" s="1" t="s">
        <v>31</v>
      </c>
      <c r="AX1037" s="1">
        <v>0.0</v>
      </c>
      <c r="AY1037" s="1">
        <v>0.0</v>
      </c>
    </row>
    <row r="1038" spans="20:51" ht="15.75" hidden="1">
      <c r="T1038" s="1">
        <v>163786.0</v>
      </c>
      <c r="U1038" s="1"/>
      <c r="V1038" s="1"/>
      <c r="W1038" s="1"/>
      <c r="X1038" s="1"/>
      <c r="Y1038" s="1" t="s">
        <v>4716</v>
      </c>
      <c r="Z1038" s="1" t="s">
        <v>4717</v>
      </c>
      <c r="AA1038" s="1" t="s">
        <v>4718</v>
      </c>
      <c r="AB1038" s="1"/>
      <c r="AC1038" s="1"/>
      <c r="AD1038" s="1"/>
      <c r="AE1038" s="1"/>
      <c r="AG1038" s="2" t="str">
        <f>"0486604535"</f>
        <v>0486604535</v>
      </c>
      <c r="AH1038" s="2" t="str">
        <f>"9780486604534"</f>
        <v>9780486604534</v>
      </c>
      <c r="AI1038" s="1">
        <v>0.0</v>
      </c>
      <c r="AJ1038" s="1">
        <v>3.92</v>
      </c>
      <c r="AK1038" s="1" t="s">
        <v>4719</v>
      </c>
      <c r="AL1038" s="1" t="s">
        <v>28</v>
      </c>
      <c r="AM1038" s="1">
        <v>272.0</v>
      </c>
      <c r="AN1038" s="1">
        <v>2011.0</v>
      </c>
      <c r="AO1038" s="1">
        <v>1954.0</v>
      </c>
      <c r="AQ1038" s="3">
        <v>45153.0</v>
      </c>
      <c r="AR1038" s="1" t="s">
        <v>31</v>
      </c>
      <c r="AS1038" s="1" t="s">
        <v>4720</v>
      </c>
      <c r="AT1038" s="1" t="s">
        <v>31</v>
      </c>
      <c r="AX1038" s="1">
        <v>0.0</v>
      </c>
      <c r="AY1038" s="1">
        <v>0.0</v>
      </c>
    </row>
    <row r="1039" spans="20:51" ht="15.75" hidden="1">
      <c r="T1039" s="1">
        <v>7155665.0</v>
      </c>
      <c r="U1039" s="1"/>
      <c r="V1039" s="1"/>
      <c r="W1039" s="1"/>
      <c r="X1039" s="1"/>
      <c r="Y1039" s="1" t="s">
        <v>4721</v>
      </c>
      <c r="Z1039" s="1" t="s">
        <v>4722</v>
      </c>
      <c r="AA1039" s="1" t="s">
        <v>4723</v>
      </c>
      <c r="AB1039" s="1"/>
      <c r="AC1039" s="1"/>
      <c r="AD1039" s="1"/>
      <c r="AE1039" s="1"/>
      <c r="AG1039" s="2" t="str">
        <f>"048647027X"</f>
        <v>048647027X</v>
      </c>
      <c r="AH1039" s="2" t="str">
        <f>"9780486470276"</f>
        <v>9780486470276</v>
      </c>
      <c r="AI1039" s="1">
        <v>0.0</v>
      </c>
      <c r="AJ1039" s="1">
        <v>4.32</v>
      </c>
      <c r="AK1039" s="1" t="s">
        <v>540</v>
      </c>
      <c r="AL1039" s="1" t="s">
        <v>28</v>
      </c>
      <c r="AM1039" s="1">
        <v>228.0</v>
      </c>
      <c r="AN1039" s="1">
        <v>2009.0</v>
      </c>
      <c r="AO1039" s="1">
        <v>1982.0</v>
      </c>
      <c r="AQ1039" s="3">
        <v>45153.0</v>
      </c>
      <c r="AR1039" s="1" t="s">
        <v>31</v>
      </c>
      <c r="AS1039" s="1" t="s">
        <v>4724</v>
      </c>
      <c r="AT1039" s="1" t="s">
        <v>31</v>
      </c>
      <c r="AX1039" s="1">
        <v>0.0</v>
      </c>
      <c r="AY1039" s="1">
        <v>0.0</v>
      </c>
    </row>
    <row r="1040" spans="20:51" ht="15.75" hidden="1">
      <c r="T1040" s="1">
        <v>274063.0</v>
      </c>
      <c r="U1040" s="1"/>
      <c r="V1040" s="1"/>
      <c r="W1040" s="1"/>
      <c r="X1040" s="1"/>
      <c r="Y1040" s="1" t="s">
        <v>4725</v>
      </c>
      <c r="Z1040" s="1" t="s">
        <v>4726</v>
      </c>
      <c r="AA1040" s="1" t="s">
        <v>4727</v>
      </c>
      <c r="AB1040" s="1"/>
      <c r="AC1040" s="1"/>
      <c r="AD1040" s="1"/>
      <c r="AE1040" s="1"/>
      <c r="AG1040" s="2" t="str">
        <f>"0486234002"</f>
        <v>0486234002</v>
      </c>
      <c r="AH1040" s="2" t="str">
        <f>"9780486234007"</f>
        <v>9780486234007</v>
      </c>
      <c r="AI1040" s="1">
        <v>0.0</v>
      </c>
      <c r="AJ1040" s="1">
        <v>4.24</v>
      </c>
      <c r="AK1040" s="1" t="s">
        <v>540</v>
      </c>
      <c r="AL1040" s="1" t="s">
        <v>28</v>
      </c>
      <c r="AM1040" s="1">
        <v>160.0</v>
      </c>
      <c r="AN1040" s="1">
        <v>1977.0</v>
      </c>
      <c r="AO1040" s="1">
        <v>1977.0</v>
      </c>
      <c r="AQ1040" s="3">
        <v>45153.0</v>
      </c>
      <c r="AR1040" s="1" t="s">
        <v>31</v>
      </c>
      <c r="AS1040" s="1" t="s">
        <v>4728</v>
      </c>
      <c r="AT1040" s="1" t="s">
        <v>31</v>
      </c>
      <c r="AX1040" s="1">
        <v>1.0</v>
      </c>
      <c r="AY1040" s="1">
        <v>0.0</v>
      </c>
    </row>
    <row r="1041" spans="20:51" ht="15.75" hidden="1">
      <c r="T1041" s="1">
        <v>1.0380491E7</v>
      </c>
      <c r="U1041" s="1"/>
      <c r="V1041" s="1"/>
      <c r="W1041" s="1"/>
      <c r="X1041" s="1"/>
      <c r="Y1041" s="1" t="s">
        <v>4729</v>
      </c>
      <c r="Z1041" s="1" t="s">
        <v>4722</v>
      </c>
      <c r="AA1041" s="1" t="s">
        <v>4723</v>
      </c>
      <c r="AB1041" s="1"/>
      <c r="AC1041" s="1"/>
      <c r="AD1041" s="1"/>
      <c r="AE1041" s="1"/>
      <c r="AG1041" s="2" t="str">
        <f>"0486481980"</f>
        <v>0486481980</v>
      </c>
      <c r="AH1041" s="2" t="str">
        <f>"9780486481982"</f>
        <v>9780486481982</v>
      </c>
      <c r="AI1041" s="1">
        <v>0.0</v>
      </c>
      <c r="AJ1041" s="1">
        <v>4.24</v>
      </c>
      <c r="AK1041" s="1" t="s">
        <v>540</v>
      </c>
      <c r="AL1041" s="1" t="s">
        <v>28</v>
      </c>
      <c r="AM1041" s="1">
        <v>241.0</v>
      </c>
      <c r="AN1041" s="1">
        <v>2011.0</v>
      </c>
      <c r="AO1041" s="1">
        <v>1978.0</v>
      </c>
      <c r="AQ1041" s="3">
        <v>45153.0</v>
      </c>
      <c r="AR1041" s="1" t="s">
        <v>31</v>
      </c>
      <c r="AS1041" s="1" t="s">
        <v>4730</v>
      </c>
      <c r="AT1041" s="1" t="s">
        <v>31</v>
      </c>
      <c r="AX1041" s="1">
        <v>0.0</v>
      </c>
      <c r="AY1041" s="1">
        <v>0.0</v>
      </c>
    </row>
    <row r="1042" spans="20:51" ht="15.75" hidden="1">
      <c r="T1042" s="1">
        <v>52670.0</v>
      </c>
      <c r="U1042" s="1"/>
      <c r="V1042" s="1"/>
      <c r="W1042" s="1"/>
      <c r="X1042" s="1"/>
      <c r="Y1042" s="1" t="s">
        <v>4731</v>
      </c>
      <c r="Z1042" s="1" t="s">
        <v>4732</v>
      </c>
      <c r="AA1042" s="1" t="s">
        <v>4733</v>
      </c>
      <c r="AB1042" s="1"/>
      <c r="AC1042" s="1"/>
      <c r="AD1042" s="1"/>
      <c r="AE1042" s="1"/>
      <c r="AG1042" s="2" t="str">
        <f>"0486256642"</f>
        <v>0486256642</v>
      </c>
      <c r="AH1042" s="2" t="str">
        <f>"9780486256641"</f>
        <v>9780486256641</v>
      </c>
      <c r="AI1042" s="1">
        <v>0.0</v>
      </c>
      <c r="AJ1042" s="1">
        <v>4.2</v>
      </c>
      <c r="AK1042" s="1" t="s">
        <v>540</v>
      </c>
      <c r="AL1042" s="1" t="s">
        <v>28</v>
      </c>
      <c r="AM1042" s="1">
        <v>384.0</v>
      </c>
      <c r="AN1042" s="1">
        <v>1988.0</v>
      </c>
      <c r="AO1042" s="1">
        <v>1947.0</v>
      </c>
      <c r="AQ1042" s="3">
        <v>45153.0</v>
      </c>
      <c r="AR1042" s="1" t="s">
        <v>31</v>
      </c>
      <c r="AS1042" s="1" t="s">
        <v>4734</v>
      </c>
      <c r="AT1042" s="1" t="s">
        <v>31</v>
      </c>
      <c r="AX1042" s="1">
        <v>0.0</v>
      </c>
      <c r="AY1042" s="1">
        <v>0.0</v>
      </c>
    </row>
    <row r="1043" spans="20:51" ht="15.75" hidden="1">
      <c r="T1043" s="1">
        <v>3.1539512E7</v>
      </c>
      <c r="U1043" s="1"/>
      <c r="V1043" s="1"/>
      <c r="W1043" s="1"/>
      <c r="X1043" s="1"/>
      <c r="Y1043" s="1" t="s">
        <v>4735</v>
      </c>
      <c r="Z1043" s="1" t="s">
        <v>4736</v>
      </c>
      <c r="AA1043" s="1" t="s">
        <v>4737</v>
      </c>
      <c r="AB1043" s="1"/>
      <c r="AC1043" s="1"/>
      <c r="AD1043" s="1"/>
      <c r="AE1043" s="1"/>
      <c r="AF1043" s="1" t="s">
        <v>4738</v>
      </c>
      <c r="AG1043" s="2" t="str">
        <f>"1506337406"</f>
        <v>1506337406</v>
      </c>
      <c r="AH1043" s="2" t="str">
        <f>"9781506337401"</f>
        <v>9781506337401</v>
      </c>
      <c r="AI1043" s="1">
        <v>0.0</v>
      </c>
      <c r="AJ1043" s="1">
        <v>3.7</v>
      </c>
      <c r="AK1043" s="1" t="s">
        <v>4739</v>
      </c>
      <c r="AL1043" s="1" t="s">
        <v>28</v>
      </c>
      <c r="AM1043" s="1">
        <v>464.0</v>
      </c>
      <c r="AN1043" s="1">
        <v>2017.0</v>
      </c>
      <c r="AO1043" s="1">
        <v>2008.0</v>
      </c>
      <c r="AQ1043" s="3">
        <v>45113.0</v>
      </c>
      <c r="AR1043" s="1" t="s">
        <v>693</v>
      </c>
      <c r="AS1043" s="1" t="s">
        <v>4740</v>
      </c>
      <c r="AT1043" s="1" t="s">
        <v>31</v>
      </c>
      <c r="AX1043" s="1">
        <v>0.0</v>
      </c>
      <c r="AY1043" s="1">
        <v>0.0</v>
      </c>
    </row>
    <row r="1044" spans="20:51" ht="15.75">
      <c r="T1044" s="1">
        <v>6496061.0</v>
      </c>
      <c r="U1044" s="1"/>
      <c r="V1044" s="1"/>
      <c r="W1044" s="1"/>
      <c r="X1044" s="1"/>
      <c r="Y1044" s="1" t="s">
        <v>4741</v>
      </c>
      <c r="Z1044" s="1" t="s">
        <v>4742</v>
      </c>
      <c r="AA1044" s="1" t="s">
        <v>4743</v>
      </c>
      <c r="AB1044" s="1"/>
      <c r="AC1044" s="1"/>
      <c r="AD1044" s="1"/>
      <c r="AE1044" s="1"/>
      <c r="AG1044" s="2" t="str">
        <f>"0673583503"</f>
        <v>0673583503</v>
      </c>
      <c r="AH1044" s="2" t="str">
        <f>"9780673583505"</f>
        <v>9780673583505</v>
      </c>
      <c r="AI1044" s="1">
        <v>0.0</v>
      </c>
      <c r="AJ1044" s="1">
        <v>4.26</v>
      </c>
      <c r="AK1044" s="1" t="s">
        <v>4744</v>
      </c>
      <c r="AL1044" s="1" t="s">
        <v>41</v>
      </c>
      <c r="AM1044" s="1">
        <v>281.0</v>
      </c>
      <c r="AN1044" s="1">
        <v>1982.0</v>
      </c>
      <c r="AO1044" s="1">
        <v>1960.0</v>
      </c>
      <c r="AQ1044" s="3">
        <v>44814.0</v>
      </c>
      <c r="AR1044" s="1" t="s">
        <v>388</v>
      </c>
      <c r="AS1044" s="1" t="s">
        <v>4745</v>
      </c>
      <c r="AT1044" s="1" t="s">
        <v>31</v>
      </c>
      <c r="AX1044" s="1">
        <v>0.0</v>
      </c>
      <c r="AY1044" s="1">
        <v>0.0</v>
      </c>
    </row>
    <row r="1045" spans="20:51" ht="15.75">
      <c r="T1045" s="1">
        <v>1.0845531E7</v>
      </c>
      <c r="U1045" s="1"/>
      <c r="V1045" s="1"/>
      <c r="W1045" s="1"/>
      <c r="X1045" s="1"/>
      <c r="Y1045" s="1" t="s">
        <v>4746</v>
      </c>
      <c r="Z1045" s="1" t="s">
        <v>4747</v>
      </c>
      <c r="AA1045" s="1" t="s">
        <v>4748</v>
      </c>
      <c r="AB1045" s="1"/>
      <c r="AC1045" s="1"/>
      <c r="AD1045" s="1"/>
      <c r="AE1045" s="1"/>
      <c r="AF1045" s="1" t="s">
        <v>4749</v>
      </c>
      <c r="AG1045" s="2" t="str">
        <f>"1564786285"</f>
        <v>1564786285</v>
      </c>
      <c r="AH1045" s="2" t="str">
        <f>"9781564786289"</f>
        <v>9781564786289</v>
      </c>
      <c r="AI1045" s="1">
        <v>0.0</v>
      </c>
      <c r="AJ1045" s="1">
        <v>4.12</v>
      </c>
      <c r="AK1045" s="1" t="s">
        <v>27</v>
      </c>
      <c r="AL1045" s="1" t="s">
        <v>28</v>
      </c>
      <c r="AM1045" s="1">
        <v>128.0</v>
      </c>
      <c r="AN1045" s="1">
        <v>2011.0</v>
      </c>
      <c r="AO1045" s="1">
        <v>2008.0</v>
      </c>
      <c r="AQ1045" s="3">
        <v>44814.0</v>
      </c>
      <c r="AR1045" s="1" t="s">
        <v>388</v>
      </c>
      <c r="AS1045" s="1" t="s">
        <v>4750</v>
      </c>
      <c r="AT1045" s="1" t="s">
        <v>31</v>
      </c>
      <c r="AX1045" s="1">
        <v>0.0</v>
      </c>
      <c r="AY1045" s="1">
        <v>0.0</v>
      </c>
    </row>
    <row r="1046" spans="20:51" ht="15.75">
      <c r="T1046" s="1">
        <v>881539.0</v>
      </c>
      <c r="U1046" s="1"/>
      <c r="V1046" s="1"/>
      <c r="W1046" s="1"/>
      <c r="X1046" s="1"/>
      <c r="Y1046" s="1" t="s">
        <v>4751</v>
      </c>
      <c r="Z1046" s="1" t="s">
        <v>4752</v>
      </c>
      <c r="AA1046" s="1" t="s">
        <v>4753</v>
      </c>
      <c r="AB1046" s="1"/>
      <c r="AC1046" s="1"/>
      <c r="AD1046" s="1"/>
      <c r="AE1046" s="1"/>
      <c r="AG1046" s="2" t="str">
        <f>"0679768149"</f>
        <v>0679768149</v>
      </c>
      <c r="AH1046" s="2" t="str">
        <f>"9780679768142"</f>
        <v>9780679768142</v>
      </c>
      <c r="AI1046" s="1">
        <v>0.0</v>
      </c>
      <c r="AJ1046" s="1">
        <v>3.8</v>
      </c>
      <c r="AK1046" s="1" t="s">
        <v>83</v>
      </c>
      <c r="AL1046" s="1" t="s">
        <v>28</v>
      </c>
      <c r="AM1046" s="1">
        <v>384.0</v>
      </c>
      <c r="AN1046" s="1">
        <v>1997.0</v>
      </c>
      <c r="AO1046" s="1">
        <v>1995.0</v>
      </c>
      <c r="AQ1046" s="3">
        <v>44814.0</v>
      </c>
      <c r="AR1046" s="1" t="s">
        <v>388</v>
      </c>
      <c r="AS1046" s="1" t="s">
        <v>4754</v>
      </c>
      <c r="AT1046" s="1" t="s">
        <v>31</v>
      </c>
      <c r="AX1046" s="1">
        <v>0.0</v>
      </c>
      <c r="AY1046" s="1">
        <v>0.0</v>
      </c>
    </row>
    <row r="1047" spans="20:51" ht="15.75">
      <c r="T1047" s="1">
        <v>677877.0</v>
      </c>
      <c r="U1047" s="1"/>
      <c r="V1047" s="1"/>
      <c r="W1047" s="1"/>
      <c r="X1047" s="1"/>
      <c r="Y1047" s="1" t="s">
        <v>4755</v>
      </c>
      <c r="Z1047" s="1" t="s">
        <v>4756</v>
      </c>
      <c r="AA1047" s="1" t="s">
        <v>4757</v>
      </c>
      <c r="AB1047" s="1"/>
      <c r="AC1047" s="1"/>
      <c r="AD1047" s="1"/>
      <c r="AE1047" s="1"/>
      <c r="AG1047" s="2" t="str">
        <f>"0802136346"</f>
        <v>0802136346</v>
      </c>
      <c r="AH1047" s="2" t="str">
        <f>"9780802136343"</f>
        <v>9780802136343</v>
      </c>
      <c r="AI1047" s="1">
        <v>0.0</v>
      </c>
      <c r="AJ1047" s="1">
        <v>3.86</v>
      </c>
      <c r="AK1047" s="1" t="s">
        <v>35</v>
      </c>
      <c r="AL1047" s="1" t="s">
        <v>28</v>
      </c>
      <c r="AM1047" s="1">
        <v>141.0</v>
      </c>
      <c r="AN1047" s="1">
        <v>1999.0</v>
      </c>
      <c r="AO1047" s="1">
        <v>1970.0</v>
      </c>
      <c r="AQ1047" s="3">
        <v>44814.0</v>
      </c>
      <c r="AR1047" s="1" t="s">
        <v>388</v>
      </c>
      <c r="AS1047" s="1" t="s">
        <v>4758</v>
      </c>
      <c r="AT1047" s="1" t="s">
        <v>31</v>
      </c>
      <c r="AX1047" s="1">
        <v>0.0</v>
      </c>
      <c r="AY1047" s="1">
        <v>0.0</v>
      </c>
    </row>
    <row r="1048" spans="20:51" ht="15.75">
      <c r="T1048" s="1">
        <v>51506.0</v>
      </c>
      <c r="U1048" s="1"/>
      <c r="V1048" s="1"/>
      <c r="W1048" s="1"/>
      <c r="X1048" s="1"/>
      <c r="Y1048" s="1" t="s">
        <v>4759</v>
      </c>
      <c r="Z1048" s="1" t="s">
        <v>4760</v>
      </c>
      <c r="AA1048" s="1" t="s">
        <v>4761</v>
      </c>
      <c r="AB1048" s="1"/>
      <c r="AC1048" s="1"/>
      <c r="AD1048" s="1"/>
      <c r="AE1048" s="1"/>
      <c r="AF1048" s="1" t="s">
        <v>2296</v>
      </c>
      <c r="AG1048" s="2" t="str">
        <f>"1564782115"</f>
        <v>1564782115</v>
      </c>
      <c r="AH1048" s="2" t="str">
        <f>"9781564782113"</f>
        <v>9781564782113</v>
      </c>
      <c r="AI1048" s="1">
        <v>0.0</v>
      </c>
      <c r="AJ1048" s="1">
        <v>3.95</v>
      </c>
      <c r="AK1048" s="1" t="s">
        <v>27</v>
      </c>
      <c r="AL1048" s="1" t="s">
        <v>28</v>
      </c>
      <c r="AM1048" s="1">
        <v>279.0</v>
      </c>
      <c r="AN1048" s="1">
        <v>2006.0</v>
      </c>
      <c r="AO1048" s="1">
        <v>1988.0</v>
      </c>
      <c r="AQ1048" s="3">
        <v>42882.0</v>
      </c>
      <c r="AR1048" s="1" t="s">
        <v>388</v>
      </c>
      <c r="AS1048" s="1" t="s">
        <v>4762</v>
      </c>
      <c r="AT1048" s="1" t="s">
        <v>31</v>
      </c>
      <c r="AX1048" s="1">
        <v>0.0</v>
      </c>
      <c r="AY1048" s="1">
        <v>0.0</v>
      </c>
    </row>
    <row r="1049" spans="20:51" ht="15.75" hidden="1">
      <c r="T1049" s="1">
        <v>9664265.0</v>
      </c>
      <c r="U1049" s="1"/>
      <c r="V1049" s="1"/>
      <c r="W1049" s="1"/>
      <c r="X1049" s="1"/>
      <c r="Y1049" s="1" t="s">
        <v>4763</v>
      </c>
      <c r="Z1049" s="1" t="s">
        <v>4764</v>
      </c>
      <c r="AA1049" s="1" t="s">
        <v>4765</v>
      </c>
      <c r="AB1049" s="1"/>
      <c r="AC1049" s="1"/>
      <c r="AD1049" s="1"/>
      <c r="AE1049" s="1"/>
      <c r="AG1049" s="2" t="str">
        <f>"0374150850"</f>
        <v>0374150850</v>
      </c>
      <c r="AH1049" s="2" t="str">
        <f>"9780374150853"</f>
        <v>9780374150853</v>
      </c>
      <c r="AI1049" s="1">
        <v>0.0</v>
      </c>
      <c r="AJ1049" s="1">
        <v>3.79</v>
      </c>
      <c r="AK1049" s="1" t="s">
        <v>89</v>
      </c>
      <c r="AL1049" s="1" t="s">
        <v>41</v>
      </c>
      <c r="AM1049" s="1">
        <v>432.0</v>
      </c>
      <c r="AN1049" s="1">
        <v>2011.0</v>
      </c>
      <c r="AO1049" s="1">
        <v>2011.0</v>
      </c>
      <c r="AQ1049" s="3">
        <v>45151.0</v>
      </c>
      <c r="AR1049" s="1" t="s">
        <v>31</v>
      </c>
      <c r="AS1049" s="1" t="s">
        <v>4766</v>
      </c>
      <c r="AT1049" s="1" t="s">
        <v>31</v>
      </c>
      <c r="AX1049" s="1">
        <v>0.0</v>
      </c>
      <c r="AY1049" s="1">
        <v>0.0</v>
      </c>
    </row>
    <row r="1050" spans="20:51" ht="15.75" hidden="1">
      <c r="T1050" s="1">
        <v>8461105.0</v>
      </c>
      <c r="U1050" s="1"/>
      <c r="V1050" s="1"/>
      <c r="W1050" s="1"/>
      <c r="X1050" s="1"/>
      <c r="Y1050" s="1" t="s">
        <v>4767</v>
      </c>
      <c r="Z1050" s="1" t="s">
        <v>4768</v>
      </c>
      <c r="AA1050" s="1" t="s">
        <v>4769</v>
      </c>
      <c r="AB1050" s="1"/>
      <c r="AC1050" s="1"/>
      <c r="AD1050" s="1"/>
      <c r="AE1050" s="1"/>
      <c r="AG1050" s="2" t="str">
        <f>"1400041791"</f>
        <v>1400041791</v>
      </c>
      <c r="AH1050" s="2" t="str">
        <f>"9781400041794"</f>
        <v>9781400041794</v>
      </c>
      <c r="AI1050" s="1">
        <v>0.0</v>
      </c>
      <c r="AJ1050" s="1">
        <v>3.98</v>
      </c>
      <c r="AK1050" s="1" t="s">
        <v>634</v>
      </c>
      <c r="AL1050" s="1" t="s">
        <v>41</v>
      </c>
      <c r="AM1050" s="1">
        <v>528.0</v>
      </c>
      <c r="AN1050" s="1">
        <v>2011.0</v>
      </c>
      <c r="AO1050" s="1">
        <v>2010.0</v>
      </c>
      <c r="AQ1050" s="3">
        <v>45151.0</v>
      </c>
      <c r="AR1050" s="1" t="s">
        <v>1019</v>
      </c>
      <c r="AS1050" s="1" t="s">
        <v>4770</v>
      </c>
      <c r="AT1050" s="1" t="s">
        <v>31</v>
      </c>
      <c r="AX1050" s="1">
        <v>0.0</v>
      </c>
      <c r="AY1050" s="1">
        <v>0.0</v>
      </c>
    </row>
    <row r="1051" spans="20:51" ht="15.75" hidden="1">
      <c r="T1051" s="1">
        <v>582043.0</v>
      </c>
      <c r="U1051" s="1"/>
      <c r="V1051" s="1"/>
      <c r="W1051" s="1"/>
      <c r="X1051" s="1"/>
      <c r="Y1051" s="1" t="s">
        <v>4771</v>
      </c>
      <c r="Z1051" s="1" t="s">
        <v>4772</v>
      </c>
      <c r="AA1051" s="1" t="s">
        <v>4773</v>
      </c>
      <c r="AB1051" s="1"/>
      <c r="AC1051" s="1"/>
      <c r="AD1051" s="1"/>
      <c r="AE1051" s="1"/>
      <c r="AG1051" s="2" t="str">
        <f>"0521496799"</f>
        <v>0521496799</v>
      </c>
      <c r="AH1051" s="2" t="str">
        <f>"9780521496797"</f>
        <v>9780521496797</v>
      </c>
      <c r="AI1051" s="1">
        <v>0.0</v>
      </c>
      <c r="AJ1051" s="1">
        <v>4.31</v>
      </c>
      <c r="AK1051" s="1" t="s">
        <v>605</v>
      </c>
      <c r="AL1051" s="1" t="s">
        <v>41</v>
      </c>
      <c r="AM1051" s="1">
        <v>800.0</v>
      </c>
      <c r="AN1051" s="1">
        <v>2000.0</v>
      </c>
      <c r="AO1051" s="1">
        <v>2000.0</v>
      </c>
      <c r="AQ1051" s="3">
        <v>44473.0</v>
      </c>
      <c r="AR1051" s="1" t="s">
        <v>1019</v>
      </c>
      <c r="AS1051" s="1" t="s">
        <v>4774</v>
      </c>
      <c r="AT1051" s="1" t="s">
        <v>31</v>
      </c>
      <c r="AX1051" s="1">
        <v>0.0</v>
      </c>
      <c r="AY1051" s="1">
        <v>0.0</v>
      </c>
    </row>
    <row r="1052" spans="20:51" ht="15.75" hidden="1">
      <c r="T1052" s="1">
        <v>31795.0</v>
      </c>
      <c r="U1052" s="1"/>
      <c r="V1052" s="1"/>
      <c r="W1052" s="1"/>
      <c r="X1052" s="1"/>
      <c r="Y1052" s="1" t="s">
        <v>4775</v>
      </c>
      <c r="Z1052" s="1" t="s">
        <v>4776</v>
      </c>
      <c r="AA1052" s="1" t="s">
        <v>4777</v>
      </c>
      <c r="AB1052" s="1"/>
      <c r="AC1052" s="1"/>
      <c r="AD1052" s="1"/>
      <c r="AE1052" s="1"/>
      <c r="AG1052" s="2" t="str">
        <f>"0671739166"</f>
        <v>0671739166</v>
      </c>
      <c r="AH1052" s="2" t="str">
        <f>"9780671739164"</f>
        <v>9780671739164</v>
      </c>
      <c r="AI1052" s="1">
        <v>0.0</v>
      </c>
      <c r="AJ1052" s="1">
        <v>4.14</v>
      </c>
      <c r="AK1052" s="1" t="s">
        <v>4778</v>
      </c>
      <c r="AL1052" s="1" t="s">
        <v>28</v>
      </c>
      <c r="AM1052" s="1">
        <v>704.0</v>
      </c>
      <c r="AN1052" s="1">
        <v>1991.0</v>
      </c>
      <c r="AO1052" s="1">
        <v>1926.0</v>
      </c>
      <c r="AQ1052" s="3">
        <v>45151.0</v>
      </c>
      <c r="AR1052" s="1" t="s">
        <v>1019</v>
      </c>
      <c r="AS1052" s="1" t="s">
        <v>4779</v>
      </c>
      <c r="AT1052" s="1" t="s">
        <v>31</v>
      </c>
      <c r="AX1052" s="1">
        <v>0.0</v>
      </c>
      <c r="AY1052" s="1">
        <v>0.0</v>
      </c>
    </row>
    <row r="1053" spans="20:51" ht="15.75" hidden="1">
      <c r="T1053" s="1">
        <v>207897.0</v>
      </c>
      <c r="U1053" s="1"/>
      <c r="V1053" s="1"/>
      <c r="W1053" s="1"/>
      <c r="X1053" s="1"/>
      <c r="Y1053" s="1" t="s">
        <v>4780</v>
      </c>
      <c r="Z1053" s="1" t="s">
        <v>2080</v>
      </c>
      <c r="AA1053" s="1" t="s">
        <v>2081</v>
      </c>
      <c r="AB1053" s="1"/>
      <c r="AC1053" s="1"/>
      <c r="AD1053" s="1"/>
      <c r="AE1053" s="1"/>
      <c r="AF1053" s="1" t="s">
        <v>4781</v>
      </c>
      <c r="AG1053" s="2" t="str">
        <f>"0674387104"</f>
        <v>0674387104</v>
      </c>
      <c r="AH1053" s="2" t="str">
        <f>"9780674387102"</f>
        <v>9780674387102</v>
      </c>
      <c r="AI1053" s="1">
        <v>0.0</v>
      </c>
      <c r="AJ1053" s="1">
        <v>3.84</v>
      </c>
      <c r="AK1053" s="1" t="s">
        <v>107</v>
      </c>
      <c r="AL1053" s="1" t="s">
        <v>28</v>
      </c>
      <c r="AM1053" s="1">
        <v>496.0</v>
      </c>
      <c r="AN1053" s="1">
        <v>1999.0</v>
      </c>
      <c r="AQ1053" s="3">
        <v>45151.0</v>
      </c>
      <c r="AR1053" s="1" t="s">
        <v>1019</v>
      </c>
      <c r="AS1053" s="1" t="s">
        <v>4782</v>
      </c>
      <c r="AT1053" s="1" t="s">
        <v>31</v>
      </c>
      <c r="AX1053" s="1">
        <v>0.0</v>
      </c>
      <c r="AY1053" s="1">
        <v>0.0</v>
      </c>
    </row>
    <row r="1054" spans="20:51" ht="15.75" hidden="1">
      <c r="T1054" s="1">
        <v>3.8212112E7</v>
      </c>
      <c r="U1054" s="1"/>
      <c r="V1054" s="1"/>
      <c r="W1054" s="1"/>
      <c r="X1054" s="1"/>
      <c r="Y1054" s="1" t="s">
        <v>4783</v>
      </c>
      <c r="Z1054" s="1" t="s">
        <v>4784</v>
      </c>
      <c r="AA1054" s="1" t="s">
        <v>4785</v>
      </c>
      <c r="AB1054" s="1"/>
      <c r="AC1054" s="1"/>
      <c r="AD1054" s="1"/>
      <c r="AE1054" s="1"/>
      <c r="AG1054" s="2" t="str">
        <f>"0393356175"</f>
        <v>0393356175</v>
      </c>
      <c r="AH1054" s="2" t="str">
        <f>"9780393356175"</f>
        <v>9780393356175</v>
      </c>
      <c r="AI1054" s="1">
        <v>0.0</v>
      </c>
      <c r="AJ1054" s="1">
        <v>3.99</v>
      </c>
      <c r="AK1054" s="1" t="s">
        <v>113</v>
      </c>
      <c r="AL1054" s="1" t="s">
        <v>28</v>
      </c>
      <c r="AM1054" s="1">
        <v>368.0</v>
      </c>
      <c r="AN1054" s="1">
        <v>2018.0</v>
      </c>
      <c r="AO1054" s="1">
        <v>1978.0</v>
      </c>
      <c r="AQ1054" s="3">
        <v>45151.0</v>
      </c>
      <c r="AR1054" s="1" t="s">
        <v>31</v>
      </c>
      <c r="AS1054" s="1" t="s">
        <v>4786</v>
      </c>
      <c r="AT1054" s="1" t="s">
        <v>31</v>
      </c>
      <c r="AX1054" s="1">
        <v>0.0</v>
      </c>
      <c r="AY1054" s="1">
        <v>0.0</v>
      </c>
    </row>
    <row r="1055" spans="20:51" ht="15.75" hidden="1">
      <c r="T1055" s="1">
        <v>4.2091142E7</v>
      </c>
      <c r="U1055" s="1"/>
      <c r="V1055" s="1"/>
      <c r="W1055" s="1"/>
      <c r="X1055" s="1"/>
      <c r="Y1055" s="1" t="s">
        <v>4787</v>
      </c>
      <c r="Z1055" s="1" t="s">
        <v>4788</v>
      </c>
      <c r="AA1055" s="1" t="s">
        <v>4789</v>
      </c>
      <c r="AB1055" s="1"/>
      <c r="AC1055" s="1"/>
      <c r="AD1055" s="1"/>
      <c r="AE1055" s="1"/>
      <c r="AG1055" s="2" t="str">
        <f>"1912573059"</f>
        <v>1912573059</v>
      </c>
      <c r="AH1055" s="2" t="str">
        <f>"9781912573059"</f>
        <v>9781912573059</v>
      </c>
      <c r="AI1055" s="1">
        <v>0.0</v>
      </c>
      <c r="AJ1055" s="1">
        <v>4.47</v>
      </c>
      <c r="AK1055" s="1" t="s">
        <v>4790</v>
      </c>
      <c r="AL1055" s="1" t="s">
        <v>28</v>
      </c>
      <c r="AM1055" s="1">
        <v>204.0</v>
      </c>
      <c r="AN1055" s="1">
        <v>2019.0</v>
      </c>
      <c r="AO1055" s="1">
        <v>2019.0</v>
      </c>
      <c r="AQ1055" s="3">
        <v>45151.0</v>
      </c>
      <c r="AR1055" s="1" t="s">
        <v>31</v>
      </c>
      <c r="AS1055" s="1" t="s">
        <v>4791</v>
      </c>
      <c r="AT1055" s="1" t="s">
        <v>31</v>
      </c>
      <c r="AX1055" s="1">
        <v>0.0</v>
      </c>
      <c r="AY1055" s="1">
        <v>0.0</v>
      </c>
    </row>
    <row r="1056" spans="20:51" ht="15.75" hidden="1">
      <c r="T1056" s="1">
        <v>1696364.0</v>
      </c>
      <c r="U1056" s="1"/>
      <c r="V1056" s="1"/>
      <c r="W1056" s="1"/>
      <c r="X1056" s="1"/>
      <c r="Y1056" s="1" t="s">
        <v>4792</v>
      </c>
      <c r="Z1056" s="1" t="s">
        <v>4793</v>
      </c>
      <c r="AA1056" s="1" t="s">
        <v>4794</v>
      </c>
      <c r="AB1056" s="1"/>
      <c r="AC1056" s="1"/>
      <c r="AD1056" s="1"/>
      <c r="AE1056" s="1"/>
      <c r="AG1056" s="2" t="str">
        <f>"0571168434"</f>
        <v>0571168434</v>
      </c>
      <c r="AH1056" s="2" t="str">
        <f>"9780571168439"</f>
        <v>9780571168439</v>
      </c>
      <c r="AI1056" s="1">
        <v>0.0</v>
      </c>
      <c r="AJ1056" s="1">
        <v>3.67</v>
      </c>
      <c r="AK1056" s="1" t="s">
        <v>1589</v>
      </c>
      <c r="AL1056" s="1" t="s">
        <v>28</v>
      </c>
      <c r="AM1056" s="1">
        <v>247.0</v>
      </c>
      <c r="AN1056" s="1">
        <v>1993.0</v>
      </c>
      <c r="AO1056" s="1">
        <v>1992.0</v>
      </c>
      <c r="AQ1056" s="3">
        <v>45151.0</v>
      </c>
      <c r="AR1056" s="1" t="s">
        <v>31</v>
      </c>
      <c r="AS1056" s="1" t="s">
        <v>4795</v>
      </c>
      <c r="AT1056" s="1" t="s">
        <v>31</v>
      </c>
      <c r="AX1056" s="1">
        <v>0.0</v>
      </c>
      <c r="AY1056" s="1">
        <v>0.0</v>
      </c>
    </row>
    <row r="1057" spans="20:51" ht="15.75" hidden="1">
      <c r="T1057" s="1">
        <v>29966.0</v>
      </c>
      <c r="U1057" s="1"/>
      <c r="V1057" s="1"/>
      <c r="W1057" s="1"/>
      <c r="X1057" s="1"/>
      <c r="Y1057" s="1" t="s">
        <v>4796</v>
      </c>
      <c r="Z1057" s="1" t="s">
        <v>4797</v>
      </c>
      <c r="AA1057" s="1" t="s">
        <v>4798</v>
      </c>
      <c r="AB1057" s="1"/>
      <c r="AC1057" s="1"/>
      <c r="AD1057" s="1"/>
      <c r="AE1057" s="1"/>
      <c r="AF1057" s="1" t="s">
        <v>4799</v>
      </c>
      <c r="AG1057" s="2" t="str">
        <f>"0141441046"</f>
        <v>0141441046</v>
      </c>
      <c r="AH1057" s="2" t="str">
        <f>"9780141441047"</f>
        <v>9780141441047</v>
      </c>
      <c r="AI1057" s="1">
        <v>0.0</v>
      </c>
      <c r="AJ1057" s="1">
        <v>3.56</v>
      </c>
      <c r="AK1057" s="1" t="s">
        <v>232</v>
      </c>
      <c r="AL1057" s="1" t="s">
        <v>28</v>
      </c>
      <c r="AM1057" s="1">
        <v>576.0</v>
      </c>
      <c r="AN1057" s="1">
        <v>2005.0</v>
      </c>
      <c r="AO1057" s="1">
        <v>1933.0</v>
      </c>
      <c r="AQ1057" s="3">
        <v>45151.0</v>
      </c>
      <c r="AR1057" s="1" t="s">
        <v>31</v>
      </c>
      <c r="AS1057" s="1" t="s">
        <v>4800</v>
      </c>
      <c r="AT1057" s="1" t="s">
        <v>31</v>
      </c>
      <c r="AX1057" s="1">
        <v>0.0</v>
      </c>
      <c r="AY1057" s="1">
        <v>0.0</v>
      </c>
    </row>
    <row r="1058" spans="20:51" ht="15.75" hidden="1">
      <c r="T1058" s="1">
        <v>235662.0</v>
      </c>
      <c r="U1058" s="1"/>
      <c r="V1058" s="1"/>
      <c r="W1058" s="1"/>
      <c r="X1058" s="1"/>
      <c r="Y1058" s="1" t="s">
        <v>4801</v>
      </c>
      <c r="Z1058" s="1" t="s">
        <v>4802</v>
      </c>
      <c r="AA1058" s="1" t="s">
        <v>4803</v>
      </c>
      <c r="AB1058" s="1"/>
      <c r="AC1058" s="1"/>
      <c r="AD1058" s="1"/>
      <c r="AE1058" s="1"/>
      <c r="AG1058" s="2" t="str">
        <f>"0312019009"</f>
        <v>0312019009</v>
      </c>
      <c r="AH1058" s="2" t="str">
        <f>"9780312019006"</f>
        <v>9780312019006</v>
      </c>
      <c r="AI1058" s="1">
        <v>0.0</v>
      </c>
      <c r="AJ1058" s="1">
        <v>4.12</v>
      </c>
      <c r="AK1058" s="1" t="s">
        <v>2139</v>
      </c>
      <c r="AL1058" s="1" t="s">
        <v>28</v>
      </c>
      <c r="AM1058" s="1">
        <v>380.0</v>
      </c>
      <c r="AN1058" s="1">
        <v>1988.0</v>
      </c>
      <c r="AO1058" s="1">
        <v>1982.0</v>
      </c>
      <c r="AQ1058" s="3">
        <v>45151.0</v>
      </c>
      <c r="AR1058" s="1" t="s">
        <v>31</v>
      </c>
      <c r="AS1058" s="1" t="s">
        <v>4804</v>
      </c>
      <c r="AT1058" s="1" t="s">
        <v>31</v>
      </c>
      <c r="AX1058" s="1">
        <v>0.0</v>
      </c>
      <c r="AY1058" s="1">
        <v>0.0</v>
      </c>
    </row>
    <row r="1059" spans="20:51" ht="15.75" hidden="1">
      <c r="T1059" s="1">
        <v>396329.0</v>
      </c>
      <c r="U1059" s="1"/>
      <c r="V1059" s="1"/>
      <c r="W1059" s="1"/>
      <c r="X1059" s="1"/>
      <c r="Y1059" s="1" t="s">
        <v>4805</v>
      </c>
      <c r="Z1059" s="1" t="s">
        <v>4806</v>
      </c>
      <c r="AA1059" s="1" t="s">
        <v>4807</v>
      </c>
      <c r="AB1059" s="1"/>
      <c r="AC1059" s="1"/>
      <c r="AD1059" s="1"/>
      <c r="AE1059" s="1"/>
      <c r="AG1059" s="2" t="str">
        <f>"0345431618"</f>
        <v>0345431618</v>
      </c>
      <c r="AH1059" s="2" t="str">
        <f>"9780345431615"</f>
        <v>9780345431615</v>
      </c>
      <c r="AI1059" s="1">
        <v>0.0</v>
      </c>
      <c r="AJ1059" s="1">
        <v>4.06</v>
      </c>
      <c r="AK1059" s="1" t="s">
        <v>4808</v>
      </c>
      <c r="AL1059" s="1" t="s">
        <v>28</v>
      </c>
      <c r="AM1059" s="1">
        <v>209.0</v>
      </c>
      <c r="AN1059" s="1">
        <v>1999.0</v>
      </c>
      <c r="AO1059" s="1">
        <v>1963.0</v>
      </c>
      <c r="AQ1059" s="3">
        <v>45151.0</v>
      </c>
      <c r="AR1059" s="1" t="s">
        <v>31</v>
      </c>
      <c r="AS1059" s="1" t="s">
        <v>4809</v>
      </c>
      <c r="AT1059" s="1" t="s">
        <v>31</v>
      </c>
      <c r="AX1059" s="1">
        <v>0.0</v>
      </c>
      <c r="AY1059" s="1">
        <v>0.0</v>
      </c>
    </row>
    <row r="1060" spans="20:51" ht="15.75" hidden="1">
      <c r="T1060" s="1">
        <v>87282.0</v>
      </c>
      <c r="U1060" s="1"/>
      <c r="V1060" s="1"/>
      <c r="W1060" s="1"/>
      <c r="X1060" s="1"/>
      <c r="Y1060" s="1" t="s">
        <v>4810</v>
      </c>
      <c r="Z1060" s="1" t="s">
        <v>1016</v>
      </c>
      <c r="AA1060" s="1" t="s">
        <v>1017</v>
      </c>
      <c r="AB1060" s="1"/>
      <c r="AC1060" s="1"/>
      <c r="AD1060" s="1"/>
      <c r="AE1060" s="1"/>
      <c r="AF1060" s="1" t="s">
        <v>4811</v>
      </c>
      <c r="AG1060" s="2" t="str">
        <f>"0810112787"</f>
        <v>0810112787</v>
      </c>
      <c r="AH1060" s="2" t="str">
        <f>"9780810112780"</f>
        <v>9780810112780</v>
      </c>
      <c r="AI1060" s="1">
        <v>0.0</v>
      </c>
      <c r="AJ1060" s="1">
        <v>3.76</v>
      </c>
      <c r="AK1060" s="1" t="s">
        <v>1894</v>
      </c>
      <c r="AL1060" s="1" t="s">
        <v>28</v>
      </c>
      <c r="AM1060" s="1">
        <v>85.0</v>
      </c>
      <c r="AN1060" s="1">
        <v>1995.0</v>
      </c>
      <c r="AO1060" s="1">
        <v>1965.0</v>
      </c>
      <c r="AQ1060" s="3">
        <v>45151.0</v>
      </c>
      <c r="AR1060" s="1" t="s">
        <v>31</v>
      </c>
      <c r="AS1060" s="1" t="s">
        <v>4812</v>
      </c>
      <c r="AT1060" s="1" t="s">
        <v>31</v>
      </c>
      <c r="AX1060" s="1">
        <v>0.0</v>
      </c>
      <c r="AY1060" s="1">
        <v>0.0</v>
      </c>
    </row>
    <row r="1061" spans="20:51" ht="15.75" hidden="1">
      <c r="T1061" s="1">
        <v>1017859.0</v>
      </c>
      <c r="U1061" s="1"/>
      <c r="V1061" s="1"/>
      <c r="W1061" s="1"/>
      <c r="X1061" s="1"/>
      <c r="Y1061" s="1" t="s">
        <v>4813</v>
      </c>
      <c r="Z1061" s="1" t="s">
        <v>4814</v>
      </c>
      <c r="AA1061" s="1" t="s">
        <v>4815</v>
      </c>
      <c r="AB1061" s="1"/>
      <c r="AC1061" s="1"/>
      <c r="AD1061" s="1"/>
      <c r="AE1061" s="1"/>
      <c r="AF1061" s="1" t="s">
        <v>4816</v>
      </c>
      <c r="AG1061" s="2" t="str">
        <f>"0595179274"</f>
        <v>0595179274</v>
      </c>
      <c r="AH1061" s="2" t="str">
        <f>"9780595179275"</f>
        <v>9780595179275</v>
      </c>
      <c r="AI1061" s="1">
        <v>0.0</v>
      </c>
      <c r="AJ1061" s="1">
        <v>3.47</v>
      </c>
      <c r="AK1061" s="1" t="s">
        <v>4817</v>
      </c>
      <c r="AL1061" s="1" t="s">
        <v>28</v>
      </c>
      <c r="AM1061" s="1">
        <v>352.0</v>
      </c>
      <c r="AN1061" s="1">
        <v>2001.0</v>
      </c>
      <c r="AO1061" s="1">
        <v>1977.0</v>
      </c>
      <c r="AQ1061" s="3">
        <v>45151.0</v>
      </c>
      <c r="AR1061" s="1" t="s">
        <v>31</v>
      </c>
      <c r="AS1061" s="1" t="s">
        <v>4818</v>
      </c>
      <c r="AT1061" s="1" t="s">
        <v>31</v>
      </c>
      <c r="AX1061" s="1">
        <v>0.0</v>
      </c>
      <c r="AY1061" s="1">
        <v>0.0</v>
      </c>
    </row>
    <row r="1062" spans="20:51" ht="15.75" hidden="1">
      <c r="T1062" s="1">
        <v>95558.0</v>
      </c>
      <c r="U1062" s="1"/>
      <c r="V1062" s="1"/>
      <c r="W1062" s="1"/>
      <c r="X1062" s="1"/>
      <c r="Y1062" s="1" t="s">
        <v>4819</v>
      </c>
      <c r="Z1062" s="1" t="s">
        <v>4820</v>
      </c>
      <c r="AA1062" s="1" t="s">
        <v>4821</v>
      </c>
      <c r="AB1062" s="1"/>
      <c r="AC1062" s="1"/>
      <c r="AD1062" s="1"/>
      <c r="AE1062" s="1"/>
      <c r="AF1062" s="1" t="s">
        <v>4822</v>
      </c>
      <c r="AG1062" s="2" t="str">
        <f t="shared" si="81" ref="AG1062:AH1062">""</f>
        <v/>
      </c>
      <c r="AH1062" s="2" t="str">
        <f t="shared" si="81"/>
        <v/>
      </c>
      <c r="AI1062" s="1">
        <v>0.0</v>
      </c>
      <c r="AJ1062" s="1">
        <v>3.99</v>
      </c>
      <c r="AK1062" s="1" t="s">
        <v>2685</v>
      </c>
      <c r="AL1062" s="1" t="s">
        <v>28</v>
      </c>
      <c r="AM1062" s="1">
        <v>204.0</v>
      </c>
      <c r="AN1062" s="1">
        <v>2002.0</v>
      </c>
      <c r="AO1062" s="1">
        <v>1961.0</v>
      </c>
      <c r="AQ1062" s="3">
        <v>45150.0</v>
      </c>
      <c r="AR1062" s="1" t="s">
        <v>31</v>
      </c>
      <c r="AS1062" s="1" t="s">
        <v>4823</v>
      </c>
      <c r="AT1062" s="1" t="s">
        <v>31</v>
      </c>
      <c r="AX1062" s="1">
        <v>0.0</v>
      </c>
      <c r="AY1062" s="1">
        <v>0.0</v>
      </c>
    </row>
    <row r="1063" spans="20:51" ht="15.75" hidden="1">
      <c r="T1063" s="1">
        <v>157076.0</v>
      </c>
      <c r="U1063" s="1"/>
      <c r="V1063" s="1"/>
      <c r="W1063" s="1"/>
      <c r="X1063" s="1"/>
      <c r="Y1063" s="1" t="s">
        <v>4824</v>
      </c>
      <c r="Z1063" s="1" t="s">
        <v>4825</v>
      </c>
      <c r="AA1063" s="1" t="s">
        <v>4826</v>
      </c>
      <c r="AB1063" s="1"/>
      <c r="AC1063" s="1"/>
      <c r="AD1063" s="1"/>
      <c r="AE1063" s="1"/>
      <c r="AF1063" s="1" t="s">
        <v>4827</v>
      </c>
      <c r="AG1063" s="2" t="str">
        <f>"1599869691"</f>
        <v>1599869691</v>
      </c>
      <c r="AH1063" s="2" t="str">
        <f>"9781599869698"</f>
        <v>9781599869698</v>
      </c>
      <c r="AI1063" s="1">
        <v>0.0</v>
      </c>
      <c r="AJ1063" s="1">
        <v>3.94</v>
      </c>
      <c r="AK1063" s="1" t="s">
        <v>4828</v>
      </c>
      <c r="AL1063" s="1" t="s">
        <v>28</v>
      </c>
      <c r="AM1063" s="1">
        <v>48.0</v>
      </c>
      <c r="AN1063" s="1">
        <v>2006.0</v>
      </c>
      <c r="AO1063" s="1">
        <v>1924.0</v>
      </c>
      <c r="AQ1063" s="3">
        <v>45150.0</v>
      </c>
      <c r="AR1063" s="1" t="s">
        <v>31</v>
      </c>
      <c r="AS1063" s="1" t="s">
        <v>4829</v>
      </c>
      <c r="AT1063" s="1" t="s">
        <v>31</v>
      </c>
      <c r="AX1063" s="1">
        <v>0.0</v>
      </c>
      <c r="AY1063" s="1">
        <v>0.0</v>
      </c>
    </row>
    <row r="1064" spans="20:51" ht="15.75" hidden="1">
      <c r="T1064" s="1">
        <v>791345.0</v>
      </c>
      <c r="U1064" s="1"/>
      <c r="V1064" s="1"/>
      <c r="W1064" s="1"/>
      <c r="X1064" s="1"/>
      <c r="Y1064" s="1" t="s">
        <v>4830</v>
      </c>
      <c r="Z1064" s="1" t="s">
        <v>4831</v>
      </c>
      <c r="AA1064" s="1" t="s">
        <v>4832</v>
      </c>
      <c r="AB1064" s="1"/>
      <c r="AC1064" s="1"/>
      <c r="AD1064" s="1"/>
      <c r="AE1064" s="1"/>
      <c r="AG1064" s="2" t="str">
        <f>"0099750619"</f>
        <v>0099750619</v>
      </c>
      <c r="AH1064" s="2" t="str">
        <f>"9780099750611"</f>
        <v>9780099750611</v>
      </c>
      <c r="AI1064" s="1">
        <v>0.0</v>
      </c>
      <c r="AJ1064" s="1">
        <v>3.67</v>
      </c>
      <c r="AK1064" s="1" t="s">
        <v>4833</v>
      </c>
      <c r="AL1064" s="1" t="s">
        <v>28</v>
      </c>
      <c r="AM1064" s="1">
        <v>189.0</v>
      </c>
      <c r="AN1064" s="1">
        <v>1998.0</v>
      </c>
      <c r="AO1064" s="1">
        <v>1967.0</v>
      </c>
      <c r="AQ1064" s="3">
        <v>45150.0</v>
      </c>
      <c r="AR1064" s="1" t="s">
        <v>31</v>
      </c>
      <c r="AS1064" s="1" t="s">
        <v>4834</v>
      </c>
      <c r="AT1064" s="1" t="s">
        <v>31</v>
      </c>
      <c r="AX1064" s="1">
        <v>0.0</v>
      </c>
      <c r="AY1064" s="1">
        <v>0.0</v>
      </c>
    </row>
    <row r="1065" spans="20:51" ht="15.75" hidden="1">
      <c r="T1065" s="1">
        <v>119568.0</v>
      </c>
      <c r="U1065" s="1"/>
      <c r="V1065" s="1"/>
      <c r="W1065" s="1"/>
      <c r="X1065" s="1"/>
      <c r="Y1065" s="1" t="s">
        <v>4835</v>
      </c>
      <c r="Z1065" s="1" t="s">
        <v>3958</v>
      </c>
      <c r="AA1065" s="1" t="s">
        <v>4836</v>
      </c>
      <c r="AB1065" s="1"/>
      <c r="AC1065" s="1"/>
      <c r="AD1065" s="1"/>
      <c r="AE1065" s="1"/>
      <c r="AG1065" s="2" t="str">
        <f>"0415051177"</f>
        <v>0415051177</v>
      </c>
      <c r="AH1065" s="2" t="str">
        <f>"9780415051170"</f>
        <v>9780415051170</v>
      </c>
      <c r="AI1065" s="1">
        <v>0.0</v>
      </c>
      <c r="AJ1065" s="1">
        <v>3.64</v>
      </c>
      <c r="AK1065" s="1" t="s">
        <v>132</v>
      </c>
      <c r="AL1065" s="1" t="s">
        <v>28</v>
      </c>
      <c r="AM1065" s="1">
        <v>254.0</v>
      </c>
      <c r="AN1065" s="1">
        <v>1980.0</v>
      </c>
      <c r="AO1065" s="1">
        <v>1980.0</v>
      </c>
      <c r="AQ1065" s="3">
        <v>45150.0</v>
      </c>
      <c r="AR1065" s="1" t="s">
        <v>31</v>
      </c>
      <c r="AS1065" s="1" t="s">
        <v>4837</v>
      </c>
      <c r="AT1065" s="1" t="s">
        <v>31</v>
      </c>
      <c r="AX1065" s="1">
        <v>0.0</v>
      </c>
      <c r="AY1065" s="1">
        <v>0.0</v>
      </c>
    </row>
    <row r="1066" spans="20:51" ht="15.75" hidden="1">
      <c r="T1066" s="1">
        <v>232743.0</v>
      </c>
      <c r="U1066" s="1"/>
      <c r="V1066" s="1"/>
      <c r="W1066" s="1"/>
      <c r="X1066" s="1"/>
      <c r="Y1066" s="1" t="s">
        <v>4838</v>
      </c>
      <c r="Z1066" s="1" t="s">
        <v>2955</v>
      </c>
      <c r="AA1066" s="1" t="s">
        <v>2956</v>
      </c>
      <c r="AB1066" s="1"/>
      <c r="AC1066" s="1"/>
      <c r="AD1066" s="1"/>
      <c r="AE1066" s="1"/>
      <c r="AF1066" s="1" t="s">
        <v>3958</v>
      </c>
      <c r="AG1066" s="2" t="str">
        <f>"0394711068"</f>
        <v>0394711068</v>
      </c>
      <c r="AH1066" s="2" t="str">
        <f>"9780394711065"</f>
        <v>9780394711065</v>
      </c>
      <c r="AI1066" s="1">
        <v>0.0</v>
      </c>
      <c r="AJ1066" s="1">
        <v>4.12</v>
      </c>
      <c r="AK1066" s="1" t="s">
        <v>83</v>
      </c>
      <c r="AL1066" s="1" t="s">
        <v>28</v>
      </c>
      <c r="AM1066" s="1">
        <v>256.0</v>
      </c>
      <c r="AN1066" s="1">
        <v>1972.0</v>
      </c>
      <c r="AO1066" s="1">
        <v>1969.0</v>
      </c>
      <c r="AQ1066" s="3">
        <v>45150.0</v>
      </c>
      <c r="AR1066" s="1" t="s">
        <v>31</v>
      </c>
      <c r="AS1066" s="1" t="s">
        <v>4839</v>
      </c>
      <c r="AT1066" s="1" t="s">
        <v>31</v>
      </c>
      <c r="AX1066" s="1">
        <v>0.0</v>
      </c>
      <c r="AY1066" s="1">
        <v>0.0</v>
      </c>
    </row>
    <row r="1067" spans="20:51" ht="15.75" hidden="1">
      <c r="T1067" s="1">
        <v>297266.0</v>
      </c>
      <c r="U1067" s="1"/>
      <c r="V1067" s="1"/>
      <c r="W1067" s="1"/>
      <c r="X1067" s="1"/>
      <c r="Y1067" s="1" t="s">
        <v>121</v>
      </c>
      <c r="Z1067" s="1" t="s">
        <v>122</v>
      </c>
      <c r="AA1067" s="1" t="s">
        <v>123</v>
      </c>
      <c r="AB1067" s="1"/>
      <c r="AC1067" s="1"/>
      <c r="AD1067" s="1"/>
      <c r="AE1067" s="1"/>
      <c r="AF1067" s="1" t="s">
        <v>4840</v>
      </c>
      <c r="AG1067" s="2" t="str">
        <f>""</f>
        <v/>
      </c>
      <c r="AH1067" s="2" t="str">
        <f>"9780807064610"</f>
        <v>9780807064610</v>
      </c>
      <c r="AI1067" s="1">
        <v>0.0</v>
      </c>
      <c r="AJ1067" s="1">
        <v>3.94</v>
      </c>
      <c r="AK1067" s="1" t="s">
        <v>831</v>
      </c>
      <c r="AL1067" s="1" t="s">
        <v>28</v>
      </c>
      <c r="AM1067" s="1">
        <v>132.0</v>
      </c>
      <c r="AN1067" s="1">
        <v>1987.0</v>
      </c>
      <c r="AO1067" s="1">
        <v>1938.0</v>
      </c>
      <c r="AQ1067" s="3">
        <v>45150.0</v>
      </c>
      <c r="AR1067" s="1" t="s">
        <v>31</v>
      </c>
      <c r="AS1067" s="1" t="s">
        <v>4841</v>
      </c>
      <c r="AT1067" s="1" t="s">
        <v>31</v>
      </c>
      <c r="AX1067" s="1">
        <v>0.0</v>
      </c>
      <c r="AY1067" s="1">
        <v>0.0</v>
      </c>
    </row>
    <row r="1068" spans="20:51" ht="15.75" hidden="1">
      <c r="T1068" s="1">
        <v>623130.0</v>
      </c>
      <c r="U1068" s="1"/>
      <c r="V1068" s="1"/>
      <c r="W1068" s="1"/>
      <c r="X1068" s="1"/>
      <c r="Y1068" s="1" t="s">
        <v>4842</v>
      </c>
      <c r="Z1068" s="1" t="s">
        <v>4752</v>
      </c>
      <c r="AA1068" s="1" t="s">
        <v>4753</v>
      </c>
      <c r="AB1068" s="1"/>
      <c r="AC1068" s="1"/>
      <c r="AD1068" s="1"/>
      <c r="AE1068" s="1"/>
      <c r="AG1068" s="2" t="str">
        <f>"0679781463"</f>
        <v>0679781463</v>
      </c>
      <c r="AH1068" s="2" t="str">
        <f>"9780679781462"</f>
        <v>9780679781462</v>
      </c>
      <c r="AI1068" s="1">
        <v>0.0</v>
      </c>
      <c r="AJ1068" s="1">
        <v>3.77</v>
      </c>
      <c r="AK1068" s="1" t="s">
        <v>4843</v>
      </c>
      <c r="AL1068" s="1" t="s">
        <v>28</v>
      </c>
      <c r="AM1068" s="1">
        <v>362.0</v>
      </c>
      <c r="AN1068" s="1">
        <v>1997.0</v>
      </c>
      <c r="AO1068" s="1">
        <v>1985.0</v>
      </c>
      <c r="AQ1068" s="3">
        <v>45147.0</v>
      </c>
      <c r="AR1068" s="1" t="s">
        <v>31</v>
      </c>
      <c r="AS1068" s="1" t="s">
        <v>4844</v>
      </c>
      <c r="AT1068" s="1" t="s">
        <v>31</v>
      </c>
      <c r="AX1068" s="1">
        <v>0.0</v>
      </c>
      <c r="AY1068" s="1">
        <v>0.0</v>
      </c>
    </row>
    <row r="1069" spans="20:51" ht="15.75" hidden="1">
      <c r="T1069" s="1">
        <v>1.5812438E7</v>
      </c>
      <c r="U1069" s="1"/>
      <c r="V1069" s="1"/>
      <c r="W1069" s="1"/>
      <c r="X1069" s="1"/>
      <c r="Y1069" s="1" t="s">
        <v>4845</v>
      </c>
      <c r="Z1069" s="1" t="s">
        <v>4846</v>
      </c>
      <c r="AA1069" s="1" t="s">
        <v>4847</v>
      </c>
      <c r="AB1069" s="1"/>
      <c r="AC1069" s="1"/>
      <c r="AD1069" s="1"/>
      <c r="AE1069" s="1"/>
      <c r="AF1069" s="1" t="s">
        <v>4848</v>
      </c>
      <c r="AG1069" s="2" t="str">
        <f>"0822352494"</f>
        <v>0822352494</v>
      </c>
      <c r="AH1069" s="2" t="str">
        <f>"9780822352495"</f>
        <v>9780822352495</v>
      </c>
      <c r="AI1069" s="1">
        <v>0.0</v>
      </c>
      <c r="AJ1069" s="1">
        <v>4.32</v>
      </c>
      <c r="AK1069" s="1" t="s">
        <v>896</v>
      </c>
      <c r="AL1069" s="1" t="s">
        <v>41</v>
      </c>
      <c r="AM1069" s="1">
        <v>488.0</v>
      </c>
      <c r="AN1069" s="1">
        <v>2012.0</v>
      </c>
      <c r="AO1069" s="1">
        <v>2012.0</v>
      </c>
      <c r="AQ1069" s="3">
        <v>45147.0</v>
      </c>
      <c r="AR1069" s="1" t="s">
        <v>31</v>
      </c>
      <c r="AS1069" s="1" t="s">
        <v>4849</v>
      </c>
      <c r="AT1069" s="1" t="s">
        <v>31</v>
      </c>
      <c r="AX1069" s="1">
        <v>0.0</v>
      </c>
      <c r="AY1069" s="1">
        <v>0.0</v>
      </c>
    </row>
    <row r="1070" spans="20:51" ht="15.75" hidden="1">
      <c r="T1070" s="1">
        <v>2170223.0</v>
      </c>
      <c r="U1070" s="1"/>
      <c r="V1070" s="1"/>
      <c r="W1070" s="1"/>
      <c r="X1070" s="1"/>
      <c r="Y1070" s="1" t="s">
        <v>4850</v>
      </c>
      <c r="Z1070" s="1" t="s">
        <v>4851</v>
      </c>
      <c r="AA1070" s="1" t="s">
        <v>4852</v>
      </c>
      <c r="AB1070" s="1"/>
      <c r="AC1070" s="1"/>
      <c r="AD1070" s="1"/>
      <c r="AE1070" s="1"/>
      <c r="AG1070" s="2" t="str">
        <f>"1585679569"</f>
        <v>1585679569</v>
      </c>
      <c r="AH1070" s="2" t="str">
        <f>"9781585679560"</f>
        <v>9781585679560</v>
      </c>
      <c r="AI1070" s="1">
        <v>0.0</v>
      </c>
      <c r="AJ1070" s="1">
        <v>4.52</v>
      </c>
      <c r="AK1070" s="1" t="s">
        <v>4853</v>
      </c>
      <c r="AL1070" s="1" t="s">
        <v>41</v>
      </c>
      <c r="AM1070" s="1">
        <v>560.0</v>
      </c>
      <c r="AN1070" s="1">
        <v>2007.0</v>
      </c>
      <c r="AO1070" s="1">
        <v>1948.0</v>
      </c>
      <c r="AQ1070" s="3">
        <v>45147.0</v>
      </c>
      <c r="AR1070" s="1" t="s">
        <v>31</v>
      </c>
      <c r="AS1070" s="1" t="s">
        <v>4854</v>
      </c>
      <c r="AT1070" s="1" t="s">
        <v>31</v>
      </c>
      <c r="AX1070" s="1">
        <v>0.0</v>
      </c>
      <c r="AY1070" s="1">
        <v>0.0</v>
      </c>
    </row>
    <row r="1071" spans="20:51" ht="15.75" hidden="1">
      <c r="T1071" s="1">
        <v>1064310.0</v>
      </c>
      <c r="U1071" s="1"/>
      <c r="V1071" s="1"/>
      <c r="W1071" s="1"/>
      <c r="X1071" s="1"/>
      <c r="Y1071" s="1" t="s">
        <v>4855</v>
      </c>
      <c r="Z1071" s="1" t="s">
        <v>4856</v>
      </c>
      <c r="AA1071" s="1" t="s">
        <v>4857</v>
      </c>
      <c r="AB1071" s="1"/>
      <c r="AC1071" s="1"/>
      <c r="AD1071" s="1"/>
      <c r="AE1071" s="1"/>
      <c r="AG1071" s="2" t="str">
        <f>"9875504785"</f>
        <v>9875504785</v>
      </c>
      <c r="AH1071" s="2" t="str">
        <f>"9789875504783"</f>
        <v>9789875504783</v>
      </c>
      <c r="AI1071" s="1">
        <v>0.0</v>
      </c>
      <c r="AJ1071" s="1">
        <v>3.93</v>
      </c>
      <c r="AK1071" s="1" t="s">
        <v>4858</v>
      </c>
      <c r="AL1071" s="1" t="s">
        <v>28</v>
      </c>
      <c r="AM1071" s="1">
        <v>256.0</v>
      </c>
      <c r="AN1071" s="1">
        <v>2004.0</v>
      </c>
      <c r="AO1071" s="1">
        <v>1913.0</v>
      </c>
      <c r="AQ1071" s="3">
        <v>45147.0</v>
      </c>
      <c r="AR1071" s="1" t="s">
        <v>31</v>
      </c>
      <c r="AS1071" s="1" t="s">
        <v>4859</v>
      </c>
      <c r="AT1071" s="1" t="s">
        <v>31</v>
      </c>
      <c r="AX1071" s="1">
        <v>0.0</v>
      </c>
      <c r="AY1071" s="1">
        <v>0.0</v>
      </c>
    </row>
    <row r="1072" spans="20:51" ht="15.75" hidden="1">
      <c r="T1072" s="1">
        <v>269735.0</v>
      </c>
      <c r="U1072" s="1"/>
      <c r="V1072" s="1"/>
      <c r="W1072" s="1"/>
      <c r="X1072" s="1"/>
      <c r="Y1072" s="1" t="s">
        <v>4860</v>
      </c>
      <c r="Z1072" s="1" t="s">
        <v>4861</v>
      </c>
      <c r="AA1072" s="1" t="s">
        <v>4862</v>
      </c>
      <c r="AB1072" s="1"/>
      <c r="AC1072" s="1"/>
      <c r="AD1072" s="1"/>
      <c r="AE1072" s="1"/>
      <c r="AG1072" s="2" t="str">
        <f>"0140436774"</f>
        <v>0140436774</v>
      </c>
      <c r="AH1072" s="2" t="str">
        <f>"9780140436778"</f>
        <v>9780140436778</v>
      </c>
      <c r="AI1072" s="1">
        <v>0.0</v>
      </c>
      <c r="AJ1072" s="1">
        <v>3.49</v>
      </c>
      <c r="AK1072" s="1" t="s">
        <v>232</v>
      </c>
      <c r="AL1072" s="1" t="s">
        <v>28</v>
      </c>
      <c r="AM1072" s="1">
        <v>288.0</v>
      </c>
      <c r="AN1072" s="1">
        <v>1998.0</v>
      </c>
      <c r="AO1072" s="1">
        <v>1845.0</v>
      </c>
      <c r="AQ1072" s="3">
        <v>45147.0</v>
      </c>
      <c r="AR1072" s="1" t="s">
        <v>31</v>
      </c>
      <c r="AS1072" s="1" t="s">
        <v>4863</v>
      </c>
      <c r="AT1072" s="1" t="s">
        <v>31</v>
      </c>
      <c r="AX1072" s="1">
        <v>0.0</v>
      </c>
      <c r="AY1072" s="1">
        <v>0.0</v>
      </c>
    </row>
    <row r="1073" spans="20:51" ht="15.75" hidden="1">
      <c r="T1073" s="1">
        <v>1.3594204E7</v>
      </c>
      <c r="U1073" s="1"/>
      <c r="V1073" s="1"/>
      <c r="W1073" s="1"/>
      <c r="X1073" s="1"/>
      <c r="Y1073" s="1" t="s">
        <v>4864</v>
      </c>
      <c r="Z1073" s="1" t="s">
        <v>4865</v>
      </c>
      <c r="AA1073" s="1" t="s">
        <v>4866</v>
      </c>
      <c r="AB1073" s="1"/>
      <c r="AC1073" s="1"/>
      <c r="AD1073" s="1"/>
      <c r="AE1073" s="1"/>
      <c r="AF1073" s="1" t="s">
        <v>4867</v>
      </c>
      <c r="AG1073" s="2" t="str">
        <f>"0803239777"</f>
        <v>0803239777</v>
      </c>
      <c r="AH1073" s="2" t="str">
        <f>"9780803239777"</f>
        <v>9780803239777</v>
      </c>
      <c r="AI1073" s="1">
        <v>0.0</v>
      </c>
      <c r="AJ1073" s="1">
        <v>3.0</v>
      </c>
      <c r="AK1073" s="1" t="s">
        <v>4868</v>
      </c>
      <c r="AL1073" s="1" t="s">
        <v>28</v>
      </c>
      <c r="AM1073" s="1">
        <v>200.0</v>
      </c>
      <c r="AN1073" s="1">
        <v>2012.0</v>
      </c>
      <c r="AO1073" s="1">
        <v>2007.0</v>
      </c>
      <c r="AQ1073" s="3">
        <v>45147.0</v>
      </c>
      <c r="AR1073" s="1" t="s">
        <v>31</v>
      </c>
      <c r="AS1073" s="1" t="s">
        <v>4869</v>
      </c>
      <c r="AT1073" s="1" t="s">
        <v>31</v>
      </c>
      <c r="AX1073" s="1">
        <v>0.0</v>
      </c>
      <c r="AY1073" s="1">
        <v>0.0</v>
      </c>
    </row>
    <row r="1074" spans="20:51" ht="15.75" hidden="1">
      <c r="T1074" s="1">
        <v>146422.0</v>
      </c>
      <c r="U1074" s="1"/>
      <c r="V1074" s="1"/>
      <c r="W1074" s="1"/>
      <c r="X1074" s="1"/>
      <c r="Y1074" s="1" t="s">
        <v>4870</v>
      </c>
      <c r="Z1074" s="1" t="s">
        <v>1256</v>
      </c>
      <c r="AA1074" s="1" t="s">
        <v>1257</v>
      </c>
      <c r="AB1074" s="1"/>
      <c r="AC1074" s="1"/>
      <c r="AD1074" s="1"/>
      <c r="AE1074" s="1"/>
      <c r="AF1074" s="1" t="s">
        <v>4871</v>
      </c>
      <c r="AG1074" s="2" t="str">
        <f t="shared" si="82" ref="AG1074:AH1074">""</f>
        <v/>
      </c>
      <c r="AH1074" s="2" t="str">
        <f t="shared" si="82"/>
        <v/>
      </c>
      <c r="AI1074" s="1">
        <v>0.0</v>
      </c>
      <c r="AJ1074" s="1">
        <v>4.12</v>
      </c>
      <c r="AK1074" s="1" t="s">
        <v>119</v>
      </c>
      <c r="AL1074" s="1" t="s">
        <v>28</v>
      </c>
      <c r="AM1074" s="1">
        <v>159.0</v>
      </c>
      <c r="AN1074" s="1">
        <v>2001.0</v>
      </c>
      <c r="AO1074" s="1">
        <v>1975.0</v>
      </c>
      <c r="AQ1074" s="3">
        <v>45147.0</v>
      </c>
      <c r="AR1074" s="1" t="s">
        <v>31</v>
      </c>
      <c r="AS1074" s="1" t="s">
        <v>4872</v>
      </c>
      <c r="AT1074" s="1" t="s">
        <v>31</v>
      </c>
      <c r="AX1074" s="1">
        <v>0.0</v>
      </c>
      <c r="AY1074" s="1">
        <v>0.0</v>
      </c>
    </row>
    <row r="1075" spans="20:51" ht="15.75" hidden="1">
      <c r="T1075" s="1">
        <v>11702.0</v>
      </c>
      <c r="U1075" s="1"/>
      <c r="V1075" s="1"/>
      <c r="W1075" s="1"/>
      <c r="X1075" s="1"/>
      <c r="Y1075" s="1" t="s">
        <v>4873</v>
      </c>
      <c r="Z1075" s="1" t="s">
        <v>4874</v>
      </c>
      <c r="AA1075" s="1" t="s">
        <v>4875</v>
      </c>
      <c r="AB1075" s="1"/>
      <c r="AC1075" s="1"/>
      <c r="AD1075" s="1"/>
      <c r="AE1075" s="1"/>
      <c r="AF1075" s="1" t="s">
        <v>4876</v>
      </c>
      <c r="AG1075" s="2" t="str">
        <f>"080215042X"</f>
        <v>080215042X</v>
      </c>
      <c r="AH1075" s="2" t="str">
        <f>"9780802150424"</f>
        <v>9780802150424</v>
      </c>
      <c r="AI1075" s="1">
        <v>0.0</v>
      </c>
      <c r="AJ1075" s="1">
        <v>4.12</v>
      </c>
      <c r="AK1075" s="1" t="s">
        <v>35</v>
      </c>
      <c r="AL1075" s="1" t="s">
        <v>28</v>
      </c>
      <c r="AM1075" s="1">
        <v>398.0</v>
      </c>
      <c r="AN1075" s="1">
        <v>1994.0</v>
      </c>
      <c r="AO1075" s="1">
        <v>1950.0</v>
      </c>
      <c r="AQ1075" s="3">
        <v>45147.0</v>
      </c>
      <c r="AR1075" s="1" t="s">
        <v>31</v>
      </c>
      <c r="AS1075" s="1" t="s">
        <v>4877</v>
      </c>
      <c r="AT1075" s="1" t="s">
        <v>31</v>
      </c>
      <c r="AX1075" s="1">
        <v>0.0</v>
      </c>
      <c r="AY1075" s="1">
        <v>0.0</v>
      </c>
    </row>
    <row r="1076" spans="20:51" ht="15.75" hidden="1">
      <c r="T1076" s="1">
        <v>770305.0</v>
      </c>
      <c r="U1076" s="1"/>
      <c r="V1076" s="1"/>
      <c r="W1076" s="1"/>
      <c r="X1076" s="1"/>
      <c r="Y1076" s="1" t="s">
        <v>4878</v>
      </c>
      <c r="Z1076" s="1" t="s">
        <v>3681</v>
      </c>
      <c r="AA1076" s="1" t="s">
        <v>3682</v>
      </c>
      <c r="AB1076" s="1"/>
      <c r="AC1076" s="1"/>
      <c r="AD1076" s="1"/>
      <c r="AE1076" s="1"/>
      <c r="AG1076" s="2" t="str">
        <f>"0895267071"</f>
        <v>0895267071</v>
      </c>
      <c r="AH1076" s="2" t="str">
        <f>"9780895267078"</f>
        <v>9780895267078</v>
      </c>
      <c r="AI1076" s="1">
        <v>0.0</v>
      </c>
      <c r="AJ1076" s="1">
        <v>3.94</v>
      </c>
      <c r="AK1076" s="1" t="s">
        <v>4410</v>
      </c>
      <c r="AL1076" s="1" t="s">
        <v>28</v>
      </c>
      <c r="AM1076" s="1">
        <v>267.0</v>
      </c>
      <c r="AN1076" s="1">
        <v>1996.0</v>
      </c>
      <c r="AO1076" s="1">
        <v>1917.0</v>
      </c>
      <c r="AQ1076" s="3">
        <v>45147.0</v>
      </c>
      <c r="AR1076" s="1" t="s">
        <v>31</v>
      </c>
      <c r="AS1076" s="1" t="s">
        <v>4879</v>
      </c>
      <c r="AT1076" s="1" t="s">
        <v>31</v>
      </c>
      <c r="AX1076" s="1">
        <v>0.0</v>
      </c>
      <c r="AY1076" s="1">
        <v>0.0</v>
      </c>
    </row>
    <row r="1077" spans="20:51" ht="15.75" hidden="1">
      <c r="T1077" s="1">
        <v>1.7655849E7</v>
      </c>
      <c r="U1077" s="1"/>
      <c r="V1077" s="1"/>
      <c r="W1077" s="1"/>
      <c r="X1077" s="1"/>
      <c r="Y1077" s="1" t="s">
        <v>4880</v>
      </c>
      <c r="Z1077" s="1" t="s">
        <v>4881</v>
      </c>
      <c r="AA1077" s="1" t="s">
        <v>4882</v>
      </c>
      <c r="AB1077" s="1"/>
      <c r="AC1077" s="1"/>
      <c r="AD1077" s="1"/>
      <c r="AE1077" s="1"/>
      <c r="AF1077" s="1" t="s">
        <v>4883</v>
      </c>
      <c r="AG1077" s="2" t="str">
        <f>"1936747642"</f>
        <v>1936747642</v>
      </c>
      <c r="AH1077" s="2" t="str">
        <f>"9781936747641"</f>
        <v>9781936747641</v>
      </c>
      <c r="AI1077" s="1">
        <v>0.0</v>
      </c>
      <c r="AJ1077" s="1">
        <v>3.58</v>
      </c>
      <c r="AK1077" s="1" t="s">
        <v>4550</v>
      </c>
      <c r="AL1077" s="1" t="s">
        <v>28</v>
      </c>
      <c r="AM1077" s="1">
        <v>176.0</v>
      </c>
      <c r="AN1077" s="1">
        <v>2013.0</v>
      </c>
      <c r="AO1077" s="1">
        <v>2013.0</v>
      </c>
      <c r="AQ1077" s="3">
        <v>44814.0</v>
      </c>
      <c r="AR1077" s="1" t="s">
        <v>1196</v>
      </c>
      <c r="AS1077" s="1" t="s">
        <v>4884</v>
      </c>
      <c r="AT1077" s="1" t="s">
        <v>31</v>
      </c>
      <c r="AX1077" s="1">
        <v>0.0</v>
      </c>
      <c r="AY1077" s="1">
        <v>0.0</v>
      </c>
    </row>
    <row r="1078" spans="20:51" ht="15.75" hidden="1">
      <c r="T1078" s="1">
        <v>5369830.0</v>
      </c>
      <c r="U1078" s="1"/>
      <c r="V1078" s="1"/>
      <c r="W1078" s="1"/>
      <c r="X1078" s="1"/>
      <c r="Y1078" s="1" t="s">
        <v>4885</v>
      </c>
      <c r="Z1078" s="1" t="s">
        <v>4886</v>
      </c>
      <c r="AA1078" s="1" t="s">
        <v>4887</v>
      </c>
      <c r="AB1078" s="1"/>
      <c r="AC1078" s="1"/>
      <c r="AD1078" s="1"/>
      <c r="AE1078" s="1"/>
      <c r="AG1078" s="2" t="str">
        <f>"096276955X"</f>
        <v>096276955X</v>
      </c>
      <c r="AH1078" s="2" t="str">
        <f>"9780962769559"</f>
        <v>9780962769559</v>
      </c>
      <c r="AI1078" s="1">
        <v>0.0</v>
      </c>
      <c r="AJ1078" s="1">
        <v>0.0</v>
      </c>
      <c r="AK1078" s="1" t="s">
        <v>4888</v>
      </c>
      <c r="AL1078" s="1" t="s">
        <v>28</v>
      </c>
      <c r="AM1078" s="1">
        <v>150.0</v>
      </c>
      <c r="AN1078" s="1">
        <v>2004.0</v>
      </c>
      <c r="AO1078" s="1">
        <v>1990.0</v>
      </c>
      <c r="AQ1078" s="3">
        <v>45145.0</v>
      </c>
      <c r="AR1078" s="1" t="s">
        <v>2451</v>
      </c>
      <c r="AS1078" s="1" t="s">
        <v>4889</v>
      </c>
      <c r="AT1078" s="1" t="s">
        <v>31</v>
      </c>
      <c r="AX1078" s="1">
        <v>0.0</v>
      </c>
      <c r="AY1078" s="1">
        <v>0.0</v>
      </c>
    </row>
    <row r="1079" spans="20:51" ht="15.75" hidden="1">
      <c r="T1079" s="1">
        <v>1.5997779E7</v>
      </c>
      <c r="U1079" s="1"/>
      <c r="V1079" s="1"/>
      <c r="W1079" s="1"/>
      <c r="X1079" s="1"/>
      <c r="Y1079" s="1" t="s">
        <v>4890</v>
      </c>
      <c r="Z1079" s="1" t="s">
        <v>4891</v>
      </c>
      <c r="AA1079" s="1" t="s">
        <v>4892</v>
      </c>
      <c r="AB1079" s="1"/>
      <c r="AC1079" s="1"/>
      <c r="AD1079" s="1"/>
      <c r="AE1079" s="1"/>
      <c r="AG1079" s="2" t="str">
        <f t="shared" si="83" ref="AG1079:AH1079">""</f>
        <v/>
      </c>
      <c r="AH1079" s="2" t="str">
        <f t="shared" si="83"/>
        <v/>
      </c>
      <c r="AI1079" s="1">
        <v>0.0</v>
      </c>
      <c r="AJ1079" s="1">
        <v>3.94</v>
      </c>
      <c r="AK1079" s="1" t="s">
        <v>4893</v>
      </c>
      <c r="AL1079" s="1" t="s">
        <v>59</v>
      </c>
      <c r="AM1079" s="1">
        <v>233.0</v>
      </c>
      <c r="AN1079" s="1">
        <v>2015.0</v>
      </c>
      <c r="AO1079" s="1">
        <v>2012.0</v>
      </c>
      <c r="AQ1079" s="3">
        <v>45146.0</v>
      </c>
      <c r="AR1079" s="1" t="s">
        <v>31</v>
      </c>
      <c r="AS1079" s="1" t="s">
        <v>4894</v>
      </c>
      <c r="AT1079" s="1" t="s">
        <v>31</v>
      </c>
      <c r="AX1079" s="1">
        <v>0.0</v>
      </c>
      <c r="AY1079" s="1">
        <v>0.0</v>
      </c>
    </row>
    <row r="1080" spans="20:51" ht="15.75" hidden="1">
      <c r="T1080" s="1">
        <v>3.5606238E7</v>
      </c>
      <c r="U1080" s="1"/>
      <c r="V1080" s="1"/>
      <c r="W1080" s="1"/>
      <c r="X1080" s="1"/>
      <c r="Y1080" s="1" t="s">
        <v>4895</v>
      </c>
      <c r="Z1080" s="1" t="s">
        <v>4896</v>
      </c>
      <c r="AA1080" s="1" t="s">
        <v>4897</v>
      </c>
      <c r="AB1080" s="1"/>
      <c r="AC1080" s="1"/>
      <c r="AD1080" s="1"/>
      <c r="AE1080" s="1"/>
      <c r="AF1080" s="1" t="s">
        <v>4896</v>
      </c>
      <c r="AG1080" s="2" t="str">
        <f>"0822371103"</f>
        <v>0822371103</v>
      </c>
      <c r="AH1080" s="2" t="str">
        <f>"9780822371106"</f>
        <v>9780822371106</v>
      </c>
      <c r="AI1080" s="1">
        <v>0.0</v>
      </c>
      <c r="AJ1080" s="1">
        <v>3.73</v>
      </c>
      <c r="AK1080" s="1" t="s">
        <v>896</v>
      </c>
      <c r="AL1080" s="1" t="s">
        <v>28</v>
      </c>
      <c r="AM1080" s="1">
        <v>240.0</v>
      </c>
      <c r="AN1080" s="1">
        <v>2018.0</v>
      </c>
      <c r="AO1080" s="1">
        <v>1924.0</v>
      </c>
      <c r="AQ1080" s="3">
        <v>45145.0</v>
      </c>
      <c r="AR1080" s="1" t="s">
        <v>31</v>
      </c>
      <c r="AS1080" s="1" t="s">
        <v>4898</v>
      </c>
      <c r="AT1080" s="1" t="s">
        <v>31</v>
      </c>
      <c r="AX1080" s="1">
        <v>0.0</v>
      </c>
      <c r="AY1080" s="1">
        <v>0.0</v>
      </c>
    </row>
    <row r="1081" spans="20:51" ht="15.75" hidden="1">
      <c r="T1081" s="1">
        <v>1.3481515E7</v>
      </c>
      <c r="U1081" s="1"/>
      <c r="V1081" s="1"/>
      <c r="W1081" s="1"/>
      <c r="X1081" s="1"/>
      <c r="Y1081" s="1" t="s">
        <v>4899</v>
      </c>
      <c r="Z1081" s="1" t="s">
        <v>4900</v>
      </c>
      <c r="AA1081" s="1" t="s">
        <v>4901</v>
      </c>
      <c r="AB1081" s="1"/>
      <c r="AC1081" s="1"/>
      <c r="AD1081" s="1"/>
      <c r="AE1081" s="1"/>
      <c r="AG1081" s="2" t="str">
        <f t="shared" si="84" ref="AG1081:AH1081">""</f>
        <v/>
      </c>
      <c r="AH1081" s="2" t="str">
        <f t="shared" si="84"/>
        <v/>
      </c>
      <c r="AI1081" s="1">
        <v>0.0</v>
      </c>
      <c r="AJ1081" s="1">
        <v>4.81</v>
      </c>
      <c r="AK1081" s="1" t="s">
        <v>4902</v>
      </c>
      <c r="AL1081" s="1" t="s">
        <v>41</v>
      </c>
      <c r="AN1081" s="1">
        <v>1888.0</v>
      </c>
      <c r="AO1081" s="1">
        <v>1888.0</v>
      </c>
      <c r="AQ1081" s="3">
        <v>43976.0</v>
      </c>
      <c r="AR1081" s="1" t="s">
        <v>4903</v>
      </c>
      <c r="AS1081" s="1" t="s">
        <v>4904</v>
      </c>
      <c r="AT1081" s="1" t="s">
        <v>31</v>
      </c>
      <c r="AX1081" s="1">
        <v>0.0</v>
      </c>
      <c r="AY1081" s="1">
        <v>0.0</v>
      </c>
    </row>
    <row r="1082" spans="20:51" ht="15.75" hidden="1">
      <c r="T1082" s="1">
        <v>5035817.0</v>
      </c>
      <c r="U1082" s="1"/>
      <c r="V1082" s="1"/>
      <c r="W1082" s="1"/>
      <c r="X1082" s="1"/>
      <c r="Y1082" s="1" t="s">
        <v>4905</v>
      </c>
      <c r="Z1082" s="1" t="s">
        <v>4906</v>
      </c>
      <c r="AA1082" s="1" t="s">
        <v>4907</v>
      </c>
      <c r="AB1082" s="1"/>
      <c r="AC1082" s="1"/>
      <c r="AD1082" s="1"/>
      <c r="AE1082" s="1"/>
      <c r="AG1082" s="2" t="str">
        <f>"1413484239"</f>
        <v>1413484239</v>
      </c>
      <c r="AH1082" s="2" t="str">
        <f>"9781413484236"</f>
        <v>9781413484236</v>
      </c>
      <c r="AI1082" s="1">
        <v>0.0</v>
      </c>
      <c r="AJ1082" s="1">
        <v>5.0</v>
      </c>
      <c r="AK1082" s="1" t="s">
        <v>4908</v>
      </c>
      <c r="AL1082" s="1" t="s">
        <v>41</v>
      </c>
      <c r="AM1082" s="1">
        <v>268.0</v>
      </c>
      <c r="AN1082" s="1">
        <v>2005.0</v>
      </c>
      <c r="AO1082" s="1">
        <v>2005.0</v>
      </c>
      <c r="AQ1082" s="3">
        <v>45145.0</v>
      </c>
      <c r="AR1082" s="1" t="s">
        <v>31</v>
      </c>
      <c r="AS1082" s="1" t="s">
        <v>4909</v>
      </c>
      <c r="AT1082" s="1" t="s">
        <v>31</v>
      </c>
      <c r="AX1082" s="1">
        <v>0.0</v>
      </c>
      <c r="AY1082" s="1">
        <v>0.0</v>
      </c>
    </row>
    <row r="1083" spans="20:51" ht="15.75" hidden="1">
      <c r="T1083" s="1">
        <v>2.5330039E7</v>
      </c>
      <c r="U1083" s="1"/>
      <c r="V1083" s="1"/>
      <c r="W1083" s="1"/>
      <c r="X1083" s="1"/>
      <c r="Y1083" s="1" t="s">
        <v>4910</v>
      </c>
      <c r="Z1083" s="1" t="s">
        <v>4911</v>
      </c>
      <c r="AA1083" s="1" t="s">
        <v>4912</v>
      </c>
      <c r="AB1083" s="1"/>
      <c r="AC1083" s="1"/>
      <c r="AD1083" s="1"/>
      <c r="AE1083" s="1"/>
      <c r="AF1083" s="1" t="s">
        <v>4913</v>
      </c>
      <c r="AG1083" s="2" t="str">
        <f>"190871428X"</f>
        <v>190871428X</v>
      </c>
      <c r="AH1083" s="2" t="str">
        <f>"9781908714282"</f>
        <v>9781908714282</v>
      </c>
      <c r="AI1083" s="1">
        <v>0.0</v>
      </c>
      <c r="AJ1083" s="1">
        <v>4.19</v>
      </c>
      <c r="AK1083" s="1" t="s">
        <v>4914</v>
      </c>
      <c r="AL1083" s="1" t="s">
        <v>41</v>
      </c>
      <c r="AM1083" s="1">
        <v>112.0</v>
      </c>
      <c r="AN1083" s="1">
        <v>2015.0</v>
      </c>
      <c r="AO1083" s="1">
        <v>2015.0</v>
      </c>
      <c r="AQ1083" s="3">
        <v>45145.0</v>
      </c>
      <c r="AR1083" s="1" t="s">
        <v>31</v>
      </c>
      <c r="AS1083" s="1" t="s">
        <v>4915</v>
      </c>
      <c r="AT1083" s="1" t="s">
        <v>31</v>
      </c>
      <c r="AX1083" s="1">
        <v>0.0</v>
      </c>
      <c r="AY1083" s="1">
        <v>0.0</v>
      </c>
    </row>
    <row r="1084" spans="20:51" ht="15.75" hidden="1">
      <c r="T1084" s="1">
        <v>3.549069E7</v>
      </c>
      <c r="U1084" s="1"/>
      <c r="V1084" s="1"/>
      <c r="W1084" s="1"/>
      <c r="X1084" s="1"/>
      <c r="Y1084" s="1" t="s">
        <v>4916</v>
      </c>
      <c r="Z1084" s="1" t="s">
        <v>4917</v>
      </c>
      <c r="AA1084" s="1" t="s">
        <v>4918</v>
      </c>
      <c r="AB1084" s="1"/>
      <c r="AC1084" s="1"/>
      <c r="AD1084" s="1"/>
      <c r="AE1084" s="1"/>
      <c r="AG1084" s="2" t="str">
        <f>"1912316048"</f>
        <v>1912316048</v>
      </c>
      <c r="AH1084" s="2" t="str">
        <f>"9781912316045"</f>
        <v>9781912316045</v>
      </c>
      <c r="AI1084" s="1">
        <v>0.0</v>
      </c>
      <c r="AJ1084" s="1">
        <v>4.38</v>
      </c>
      <c r="AK1084" s="1" t="s">
        <v>4919</v>
      </c>
      <c r="AL1084" s="1" t="s">
        <v>28</v>
      </c>
      <c r="AM1084" s="1">
        <v>320.0</v>
      </c>
      <c r="AN1084" s="1">
        <v>2017.0</v>
      </c>
      <c r="AQ1084" s="3">
        <v>45145.0</v>
      </c>
      <c r="AR1084" s="1" t="s">
        <v>31</v>
      </c>
      <c r="AS1084" s="1" t="s">
        <v>4920</v>
      </c>
      <c r="AT1084" s="1" t="s">
        <v>31</v>
      </c>
      <c r="AX1084" s="1">
        <v>0.0</v>
      </c>
      <c r="AY1084" s="1">
        <v>0.0</v>
      </c>
    </row>
    <row r="1085" spans="20:51" ht="15.75" hidden="1">
      <c r="T1085" s="1">
        <v>2.118126E7</v>
      </c>
      <c r="U1085" s="1"/>
      <c r="V1085" s="1"/>
      <c r="W1085" s="1"/>
      <c r="X1085" s="1"/>
      <c r="Y1085" s="1" t="s">
        <v>4921</v>
      </c>
      <c r="Z1085" s="1" t="s">
        <v>4922</v>
      </c>
      <c r="AA1085" s="1" t="s">
        <v>4923</v>
      </c>
      <c r="AB1085" s="1"/>
      <c r="AC1085" s="1"/>
      <c r="AD1085" s="1"/>
      <c r="AE1085" s="1"/>
      <c r="AG1085" s="2" t="str">
        <f t="shared" si="85" ref="AG1085:AH1085">""</f>
        <v/>
      </c>
      <c r="AH1085" s="2" t="str">
        <f t="shared" si="85"/>
        <v/>
      </c>
      <c r="AI1085" s="1">
        <v>0.0</v>
      </c>
      <c r="AJ1085" s="1">
        <v>5.0</v>
      </c>
      <c r="AK1085" s="1" t="s">
        <v>4924</v>
      </c>
      <c r="AL1085" s="1" t="s">
        <v>59</v>
      </c>
      <c r="AM1085" s="1">
        <v>160.0</v>
      </c>
      <c r="AN1085" s="1">
        <v>1987.0</v>
      </c>
      <c r="AO1085" s="1">
        <v>1987.0</v>
      </c>
      <c r="AQ1085" s="3">
        <v>45145.0</v>
      </c>
      <c r="AR1085" s="1" t="s">
        <v>4903</v>
      </c>
      <c r="AS1085" s="1" t="s">
        <v>4925</v>
      </c>
      <c r="AT1085" s="1" t="s">
        <v>31</v>
      </c>
      <c r="AX1085" s="1">
        <v>0.0</v>
      </c>
      <c r="AY1085" s="1">
        <v>0.0</v>
      </c>
    </row>
    <row r="1086" spans="20:51" ht="15.75" hidden="1">
      <c r="T1086" s="1">
        <v>1358530.0</v>
      </c>
      <c r="U1086" s="1"/>
      <c r="V1086" s="1"/>
      <c r="W1086" s="1"/>
      <c r="X1086" s="1"/>
      <c r="Y1086" s="1" t="s">
        <v>4926</v>
      </c>
      <c r="Z1086" s="1" t="s">
        <v>4927</v>
      </c>
      <c r="AA1086" s="1" t="s">
        <v>4928</v>
      </c>
      <c r="AB1086" s="1"/>
      <c r="AC1086" s="1"/>
      <c r="AD1086" s="1"/>
      <c r="AE1086" s="1"/>
      <c r="AG1086" s="2" t="str">
        <f>"048622614X"</f>
        <v>048622614X</v>
      </c>
      <c r="AH1086" s="2" t="str">
        <f>"9780486226149"</f>
        <v>9780486226149</v>
      </c>
      <c r="AI1086" s="1">
        <v>0.0</v>
      </c>
      <c r="AJ1086" s="1">
        <v>3.55</v>
      </c>
      <c r="AK1086" s="1" t="s">
        <v>540</v>
      </c>
      <c r="AL1086" s="1" t="s">
        <v>28</v>
      </c>
      <c r="AM1086" s="1">
        <v>336.0</v>
      </c>
      <c r="AN1086" s="1">
        <v>1970.0</v>
      </c>
      <c r="AO1086" s="1">
        <v>1922.0</v>
      </c>
      <c r="AQ1086" s="3">
        <v>45145.0</v>
      </c>
      <c r="AR1086" s="1" t="s">
        <v>4903</v>
      </c>
      <c r="AS1086" s="1" t="s">
        <v>4929</v>
      </c>
      <c r="AT1086" s="1" t="s">
        <v>31</v>
      </c>
      <c r="AX1086" s="1">
        <v>0.0</v>
      </c>
      <c r="AY1086" s="1">
        <v>0.0</v>
      </c>
    </row>
    <row r="1087" spans="20:51" ht="15.75" hidden="1">
      <c r="T1087" s="1">
        <v>14982.0</v>
      </c>
      <c r="U1087" s="1"/>
      <c r="V1087" s="1"/>
      <c r="W1087" s="1"/>
      <c r="X1087" s="1"/>
      <c r="Y1087" s="1" t="s">
        <v>4930</v>
      </c>
      <c r="Z1087" s="1" t="s">
        <v>4931</v>
      </c>
      <c r="AA1087" s="1" t="s">
        <v>4932</v>
      </c>
      <c r="AB1087" s="1"/>
      <c r="AC1087" s="1"/>
      <c r="AD1087" s="1"/>
      <c r="AE1087" s="1"/>
      <c r="AF1087" s="1" t="s">
        <v>4933</v>
      </c>
      <c r="AG1087" s="2" t="str">
        <f>"3791321447"</f>
        <v>3791321447</v>
      </c>
      <c r="AH1087" s="2" t="str">
        <f>"9783791321448"</f>
        <v>9783791321448</v>
      </c>
      <c r="AI1087" s="1">
        <v>0.0</v>
      </c>
      <c r="AJ1087" s="1">
        <v>4.51</v>
      </c>
      <c r="AK1087" s="1" t="s">
        <v>4934</v>
      </c>
      <c r="AL1087" s="1" t="s">
        <v>41</v>
      </c>
      <c r="AM1087" s="1">
        <v>360.0</v>
      </c>
      <c r="AN1087" s="1">
        <v>2000.0</v>
      </c>
      <c r="AO1087" s="1">
        <v>1982.0</v>
      </c>
      <c r="AQ1087" s="3">
        <v>45145.0</v>
      </c>
      <c r="AR1087" s="1" t="s">
        <v>4903</v>
      </c>
      <c r="AS1087" s="1" t="s">
        <v>4935</v>
      </c>
      <c r="AT1087" s="1" t="s">
        <v>31</v>
      </c>
      <c r="AX1087" s="1">
        <v>0.0</v>
      </c>
      <c r="AY1087" s="1">
        <v>0.0</v>
      </c>
    </row>
    <row r="1088" spans="20:51" ht="15.75" hidden="1">
      <c r="T1088" s="1">
        <v>5.5062198E7</v>
      </c>
      <c r="U1088" s="1"/>
      <c r="V1088" s="1"/>
      <c r="W1088" s="1"/>
      <c r="X1088" s="1"/>
      <c r="Y1088" s="1" t="s">
        <v>4936</v>
      </c>
      <c r="Z1088" s="1" t="s">
        <v>4937</v>
      </c>
      <c r="AA1088" s="1" t="s">
        <v>4938</v>
      </c>
      <c r="AB1088" s="1"/>
      <c r="AC1088" s="1"/>
      <c r="AD1088" s="1"/>
      <c r="AE1088" s="1"/>
      <c r="AG1088" s="2" t="str">
        <f t="shared" si="86" ref="AG1088:AH1088">""</f>
        <v/>
      </c>
      <c r="AH1088" s="2" t="str">
        <f t="shared" si="86"/>
        <v/>
      </c>
      <c r="AI1088" s="1">
        <v>0.0</v>
      </c>
      <c r="AJ1088" s="1">
        <v>0.0</v>
      </c>
      <c r="AK1088" s="1" t="s">
        <v>4939</v>
      </c>
      <c r="AL1088" s="1" t="s">
        <v>41</v>
      </c>
      <c r="AN1088" s="1">
        <v>1951.0</v>
      </c>
      <c r="AO1088" s="1">
        <v>1951.0</v>
      </c>
      <c r="AQ1088" s="3">
        <v>45145.0</v>
      </c>
      <c r="AR1088" s="1" t="s">
        <v>31</v>
      </c>
      <c r="AS1088" s="1" t="s">
        <v>4940</v>
      </c>
      <c r="AT1088" s="1" t="s">
        <v>31</v>
      </c>
      <c r="AX1088" s="1">
        <v>0.0</v>
      </c>
      <c r="AY1088" s="1">
        <v>0.0</v>
      </c>
    </row>
    <row r="1089" spans="20:51" ht="15.75" hidden="1">
      <c r="T1089" s="1">
        <v>1.0957388E7</v>
      </c>
      <c r="U1089" s="1"/>
      <c r="V1089" s="1"/>
      <c r="W1089" s="1"/>
      <c r="X1089" s="1"/>
      <c r="Y1089" s="1" t="s">
        <v>4941</v>
      </c>
      <c r="Z1089" s="1" t="s">
        <v>4942</v>
      </c>
      <c r="AA1089" s="1" t="s">
        <v>4943</v>
      </c>
      <c r="AB1089" s="1"/>
      <c r="AC1089" s="1"/>
      <c r="AD1089" s="1"/>
      <c r="AE1089" s="1"/>
      <c r="AF1089" s="1" t="s">
        <v>4944</v>
      </c>
      <c r="AG1089" s="2" t="str">
        <f>"1564786358"</f>
        <v>1564786358</v>
      </c>
      <c r="AH1089" s="2" t="str">
        <f>"9781564786357"</f>
        <v>9781564786357</v>
      </c>
      <c r="AI1089" s="1">
        <v>0.0</v>
      </c>
      <c r="AJ1089" s="1">
        <v>3.32</v>
      </c>
      <c r="AK1089" s="1" t="s">
        <v>27</v>
      </c>
      <c r="AL1089" s="1" t="s">
        <v>28</v>
      </c>
      <c r="AM1089" s="1">
        <v>160.0</v>
      </c>
      <c r="AN1089" s="1">
        <v>2011.0</v>
      </c>
      <c r="AQ1089" s="3">
        <v>45101.0</v>
      </c>
      <c r="AR1089" s="1" t="s">
        <v>31</v>
      </c>
      <c r="AS1089" s="1" t="s">
        <v>4945</v>
      </c>
      <c r="AT1089" s="1" t="s">
        <v>31</v>
      </c>
      <c r="AX1089" s="1">
        <v>0.0</v>
      </c>
      <c r="AY1089" s="1">
        <v>0.0</v>
      </c>
    </row>
    <row r="1090" spans="20:51" ht="15.75" hidden="1">
      <c r="T1090" s="1">
        <v>331256.0</v>
      </c>
      <c r="U1090" s="1"/>
      <c r="V1090" s="1"/>
      <c r="W1090" s="1"/>
      <c r="X1090" s="1"/>
      <c r="Y1090" s="1" t="s">
        <v>4946</v>
      </c>
      <c r="Z1090" s="1" t="s">
        <v>4947</v>
      </c>
      <c r="AA1090" s="1" t="s">
        <v>4948</v>
      </c>
      <c r="AB1090" s="1"/>
      <c r="AC1090" s="1"/>
      <c r="AD1090" s="1"/>
      <c r="AE1090" s="1"/>
      <c r="AF1090" s="1" t="s">
        <v>4949</v>
      </c>
      <c r="AG1090" s="2" t="str">
        <f>"0575070536"</f>
        <v>0575070536</v>
      </c>
      <c r="AH1090" s="2" t="str">
        <f>"9780575070530"</f>
        <v>9780575070530</v>
      </c>
      <c r="AI1090" s="1">
        <v>0.0</v>
      </c>
      <c r="AJ1090" s="1">
        <v>4.15</v>
      </c>
      <c r="AK1090" s="1" t="s">
        <v>2236</v>
      </c>
      <c r="AL1090" s="1" t="s">
        <v>28</v>
      </c>
      <c r="AM1090" s="1">
        <v>145.0</v>
      </c>
      <c r="AN1090" s="1">
        <v>2000.0</v>
      </c>
      <c r="AO1090" s="1">
        <v>1972.0</v>
      </c>
      <c r="AQ1090" s="3">
        <v>45144.0</v>
      </c>
      <c r="AR1090" s="1" t="s">
        <v>31</v>
      </c>
      <c r="AS1090" s="1" t="s">
        <v>4950</v>
      </c>
      <c r="AT1090" s="1" t="s">
        <v>31</v>
      </c>
      <c r="AX1090" s="1">
        <v>0.0</v>
      </c>
      <c r="AY1090" s="1">
        <v>0.0</v>
      </c>
    </row>
    <row r="1091" spans="20:51" ht="15.75" hidden="1">
      <c r="T1091" s="1">
        <v>5.5278284E7</v>
      </c>
      <c r="U1091" s="1"/>
      <c r="V1091" s="1"/>
      <c r="W1091" s="1"/>
      <c r="X1091" s="1"/>
      <c r="Y1091" s="1" t="s">
        <v>4951</v>
      </c>
      <c r="Z1091" s="1" t="s">
        <v>4952</v>
      </c>
      <c r="AA1091" s="1" t="s">
        <v>4953</v>
      </c>
      <c r="AB1091" s="1"/>
      <c r="AC1091" s="1"/>
      <c r="AD1091" s="1"/>
      <c r="AE1091" s="1"/>
      <c r="AG1091" s="2" t="str">
        <f>"179720730X"</f>
        <v>179720730X</v>
      </c>
      <c r="AH1091" s="2" t="str">
        <f>"9781797207308"</f>
        <v>9781797207308</v>
      </c>
      <c r="AI1091" s="1">
        <v>0.0</v>
      </c>
      <c r="AJ1091" s="1">
        <v>4.27</v>
      </c>
      <c r="AK1091" s="1" t="s">
        <v>2389</v>
      </c>
      <c r="AL1091" s="1" t="s">
        <v>41</v>
      </c>
      <c r="AM1091" s="1">
        <v>256.0</v>
      </c>
      <c r="AN1091" s="1">
        <v>2021.0</v>
      </c>
      <c r="AO1091" s="1">
        <v>2020.0</v>
      </c>
      <c r="AQ1091" s="3">
        <v>45143.0</v>
      </c>
      <c r="AR1091" s="1" t="s">
        <v>31</v>
      </c>
      <c r="AS1091" s="1" t="s">
        <v>4954</v>
      </c>
      <c r="AT1091" s="1" t="s">
        <v>31</v>
      </c>
      <c r="AX1091" s="1">
        <v>0.0</v>
      </c>
      <c r="AY1091" s="1">
        <v>0.0</v>
      </c>
    </row>
    <row r="1092" spans="20:51" ht="15.75" hidden="1">
      <c r="T1092" s="1">
        <v>2.8116739E7</v>
      </c>
      <c r="U1092" s="1"/>
      <c r="V1092" s="1"/>
      <c r="W1092" s="1"/>
      <c r="X1092" s="1"/>
      <c r="Y1092" s="1" t="s">
        <v>4955</v>
      </c>
      <c r="Z1092" s="1" t="s">
        <v>2172</v>
      </c>
      <c r="AA1092" s="1" t="s">
        <v>2173</v>
      </c>
      <c r="AB1092" s="1"/>
      <c r="AC1092" s="1"/>
      <c r="AD1092" s="1"/>
      <c r="AE1092" s="1"/>
      <c r="AG1092" s="2" t="str">
        <f>"0374227764"</f>
        <v>0374227764</v>
      </c>
      <c r="AH1092" s="2" t="str">
        <f>"9780374227760"</f>
        <v>9780374227760</v>
      </c>
      <c r="AI1092" s="1">
        <v>0.0</v>
      </c>
      <c r="AJ1092" s="1">
        <v>3.88</v>
      </c>
      <c r="AK1092" s="1" t="s">
        <v>89</v>
      </c>
      <c r="AL1092" s="1" t="s">
        <v>41</v>
      </c>
      <c r="AM1092" s="1">
        <v>257.0</v>
      </c>
      <c r="AN1092" s="1">
        <v>2016.0</v>
      </c>
      <c r="AO1092" s="1">
        <v>2016.0</v>
      </c>
      <c r="AQ1092" s="3">
        <v>45143.0</v>
      </c>
      <c r="AR1092" s="1" t="s">
        <v>31</v>
      </c>
      <c r="AS1092" s="1" t="s">
        <v>4956</v>
      </c>
      <c r="AT1092" s="1" t="s">
        <v>31</v>
      </c>
      <c r="AX1092" s="1">
        <v>0.0</v>
      </c>
      <c r="AY1092" s="1">
        <v>0.0</v>
      </c>
    </row>
    <row r="1093" spans="20:51" ht="15.75" hidden="1">
      <c r="T1093" s="1">
        <v>3.8212134E7</v>
      </c>
      <c r="U1093" s="1"/>
      <c r="V1093" s="1"/>
      <c r="W1093" s="1"/>
      <c r="X1093" s="1"/>
      <c r="Y1093" s="1" t="s">
        <v>4957</v>
      </c>
      <c r="Z1093" s="1" t="s">
        <v>4958</v>
      </c>
      <c r="AA1093" s="1" t="s">
        <v>4959</v>
      </c>
      <c r="AB1093" s="1"/>
      <c r="AC1093" s="1"/>
      <c r="AD1093" s="1"/>
      <c r="AE1093" s="1"/>
      <c r="AG1093" s="2" t="str">
        <f>"1631493078"</f>
        <v>1631493078</v>
      </c>
      <c r="AH1093" s="2" t="str">
        <f>"9781631493072"</f>
        <v>9781631493072</v>
      </c>
      <c r="AI1093" s="1">
        <v>0.0</v>
      </c>
      <c r="AJ1093" s="1">
        <v>4.29</v>
      </c>
      <c r="AK1093" s="1" t="s">
        <v>958</v>
      </c>
      <c r="AL1093" s="1" t="s">
        <v>41</v>
      </c>
      <c r="AM1093" s="1">
        <v>384.0</v>
      </c>
      <c r="AN1093" s="1">
        <v>2018.0</v>
      </c>
      <c r="AO1093" s="1">
        <v>2018.0</v>
      </c>
      <c r="AQ1093" s="3">
        <v>45143.0</v>
      </c>
      <c r="AR1093" s="1" t="s">
        <v>31</v>
      </c>
      <c r="AS1093" s="1" t="s">
        <v>4960</v>
      </c>
      <c r="AT1093" s="1" t="s">
        <v>31</v>
      </c>
      <c r="AX1093" s="1">
        <v>0.0</v>
      </c>
      <c r="AY1093" s="1">
        <v>0.0</v>
      </c>
    </row>
    <row r="1094" spans="20:51" ht="15.75" hidden="1">
      <c r="T1094" s="1">
        <v>5.8724737E7</v>
      </c>
      <c r="U1094" s="1"/>
      <c r="V1094" s="1"/>
      <c r="W1094" s="1"/>
      <c r="X1094" s="1"/>
      <c r="Y1094" s="1" t="s">
        <v>4961</v>
      </c>
      <c r="Z1094" s="1" t="s">
        <v>4962</v>
      </c>
      <c r="AA1094" s="1" t="s">
        <v>4963</v>
      </c>
      <c r="AB1094" s="1"/>
      <c r="AC1094" s="1"/>
      <c r="AD1094" s="1"/>
      <c r="AE1094" s="1"/>
      <c r="AG1094" s="2" t="str">
        <f>"1250281849"</f>
        <v>1250281849</v>
      </c>
      <c r="AH1094" s="2" t="str">
        <f>"9781250281845"</f>
        <v>9781250281845</v>
      </c>
      <c r="AI1094" s="1">
        <v>0.0</v>
      </c>
      <c r="AJ1094" s="1">
        <v>4.26</v>
      </c>
      <c r="AK1094" s="1" t="s">
        <v>1998</v>
      </c>
      <c r="AL1094" s="1" t="s">
        <v>41</v>
      </c>
      <c r="AM1094" s="1">
        <v>288.0</v>
      </c>
      <c r="AN1094" s="1">
        <v>2022.0</v>
      </c>
      <c r="AO1094" s="1">
        <v>2022.0</v>
      </c>
      <c r="AQ1094" s="3">
        <v>45143.0</v>
      </c>
      <c r="AR1094" s="1" t="s">
        <v>31</v>
      </c>
      <c r="AS1094" s="1" t="s">
        <v>4964</v>
      </c>
      <c r="AT1094" s="1" t="s">
        <v>31</v>
      </c>
      <c r="AX1094" s="1">
        <v>0.0</v>
      </c>
      <c r="AY1094" s="1">
        <v>0.0</v>
      </c>
    </row>
    <row r="1095" spans="20:51" ht="15.75" hidden="1">
      <c r="T1095" s="1">
        <v>2.5213585E7</v>
      </c>
      <c r="U1095" s="1"/>
      <c r="V1095" s="1"/>
      <c r="W1095" s="1"/>
      <c r="X1095" s="1"/>
      <c r="Y1095" s="1" t="s">
        <v>4965</v>
      </c>
      <c r="Z1095" s="1" t="s">
        <v>4966</v>
      </c>
      <c r="AA1095" s="1" t="s">
        <v>4967</v>
      </c>
      <c r="AB1095" s="1"/>
      <c r="AC1095" s="1"/>
      <c r="AD1095" s="1"/>
      <c r="AE1095" s="1"/>
      <c r="AG1095" s="2" t="str">
        <f>"0500252122"</f>
        <v>0500252122</v>
      </c>
      <c r="AH1095" s="2" t="str">
        <f>"9780500252123"</f>
        <v>9780500252123</v>
      </c>
      <c r="AI1095" s="1">
        <v>0.0</v>
      </c>
      <c r="AJ1095" s="1">
        <v>3.94</v>
      </c>
      <c r="AK1095" s="1" t="s">
        <v>435</v>
      </c>
      <c r="AL1095" s="1" t="s">
        <v>41</v>
      </c>
      <c r="AM1095" s="1">
        <v>448.0</v>
      </c>
      <c r="AN1095" s="1">
        <v>2015.0</v>
      </c>
      <c r="AO1095" s="1">
        <v>2015.0</v>
      </c>
      <c r="AQ1095" s="3">
        <v>45143.0</v>
      </c>
      <c r="AR1095" s="1" t="s">
        <v>31</v>
      </c>
      <c r="AS1095" s="1" t="s">
        <v>4968</v>
      </c>
      <c r="AT1095" s="1" t="s">
        <v>31</v>
      </c>
      <c r="AX1095" s="1">
        <v>0.0</v>
      </c>
      <c r="AY1095" s="1">
        <v>0.0</v>
      </c>
    </row>
    <row r="1096" spans="20:51" ht="15.75" hidden="1">
      <c r="T1096" s="1">
        <v>2714607.0</v>
      </c>
      <c r="U1096" s="1"/>
      <c r="V1096" s="1"/>
      <c r="W1096" s="1"/>
      <c r="X1096" s="1"/>
      <c r="Y1096" s="1" t="s">
        <v>4969</v>
      </c>
      <c r="Z1096" s="1" t="s">
        <v>4970</v>
      </c>
      <c r="AA1096" s="1" t="s">
        <v>4971</v>
      </c>
      <c r="AB1096" s="1"/>
      <c r="AC1096" s="1"/>
      <c r="AD1096" s="1"/>
      <c r="AE1096" s="1"/>
      <c r="AG1096" s="2" t="str">
        <f>"1594201927"</f>
        <v>1594201927</v>
      </c>
      <c r="AH1096" s="2" t="str">
        <f>"9781594201929"</f>
        <v>9781594201929</v>
      </c>
      <c r="AI1096" s="1">
        <v>0.0</v>
      </c>
      <c r="AJ1096" s="1">
        <v>3.9</v>
      </c>
      <c r="AK1096" s="1" t="s">
        <v>1236</v>
      </c>
      <c r="AL1096" s="1" t="s">
        <v>41</v>
      </c>
      <c r="AM1096" s="1">
        <v>442.0</v>
      </c>
      <c r="AN1096" s="1">
        <v>2008.0</v>
      </c>
      <c r="AO1096" s="1">
        <v>2007.0</v>
      </c>
      <c r="AQ1096" s="3">
        <v>45143.0</v>
      </c>
      <c r="AR1096" s="1" t="s">
        <v>31</v>
      </c>
      <c r="AS1096" s="1" t="s">
        <v>4972</v>
      </c>
      <c r="AT1096" s="1" t="s">
        <v>31</v>
      </c>
      <c r="AX1096" s="1">
        <v>0.0</v>
      </c>
      <c r="AY1096" s="1">
        <v>0.0</v>
      </c>
    </row>
    <row r="1097" spans="20:51" ht="15.75" hidden="1">
      <c r="T1097" s="1">
        <v>8701960.0</v>
      </c>
      <c r="U1097" s="1"/>
      <c r="V1097" s="1"/>
      <c r="W1097" s="1"/>
      <c r="X1097" s="1"/>
      <c r="Y1097" s="1" t="s">
        <v>4973</v>
      </c>
      <c r="Z1097" s="1" t="s">
        <v>4434</v>
      </c>
      <c r="AA1097" s="1" t="s">
        <v>4435</v>
      </c>
      <c r="AB1097" s="1"/>
      <c r="AC1097" s="1"/>
      <c r="AD1097" s="1"/>
      <c r="AE1097" s="1"/>
      <c r="AG1097" s="2" t="str">
        <f>"0375423729"</f>
        <v>0375423729</v>
      </c>
      <c r="AH1097" s="2" t="str">
        <f>"9780375423727"</f>
        <v>9780375423727</v>
      </c>
      <c r="AI1097" s="1">
        <v>0.0</v>
      </c>
      <c r="AJ1097" s="1">
        <v>4.03</v>
      </c>
      <c r="AK1097" s="1" t="s">
        <v>4974</v>
      </c>
      <c r="AL1097" s="1" t="s">
        <v>41</v>
      </c>
      <c r="AM1097" s="1">
        <v>527.0</v>
      </c>
      <c r="AN1097" s="1">
        <v>2011.0</v>
      </c>
      <c r="AO1097" s="1">
        <v>2011.0</v>
      </c>
      <c r="AQ1097" s="3">
        <v>45143.0</v>
      </c>
      <c r="AR1097" s="1" t="s">
        <v>31</v>
      </c>
      <c r="AS1097" s="1" t="s">
        <v>4975</v>
      </c>
      <c r="AT1097" s="1" t="s">
        <v>31</v>
      </c>
      <c r="AX1097" s="1">
        <v>0.0</v>
      </c>
      <c r="AY1097" s="1">
        <v>0.0</v>
      </c>
    </row>
    <row r="1098" spans="20:51" ht="15.75" hidden="1">
      <c r="T1098" s="1">
        <v>53085.0</v>
      </c>
      <c r="U1098" s="1"/>
      <c r="V1098" s="1"/>
      <c r="W1098" s="1"/>
      <c r="X1098" s="1"/>
      <c r="Y1098" s="1" t="s">
        <v>4976</v>
      </c>
      <c r="Z1098" s="1" t="s">
        <v>521</v>
      </c>
      <c r="AA1098" s="1" t="s">
        <v>4977</v>
      </c>
      <c r="AB1098" s="1"/>
      <c r="AC1098" s="1"/>
      <c r="AD1098" s="1"/>
      <c r="AE1098" s="1"/>
      <c r="AG1098" s="2" t="str">
        <f>"0140166548"</f>
        <v>0140166548</v>
      </c>
      <c r="AH1098" s="2" t="str">
        <f>"9780140166545"</f>
        <v>9780140166545</v>
      </c>
      <c r="AI1098" s="1">
        <v>0.0</v>
      </c>
      <c r="AJ1098" s="1">
        <v>3.98</v>
      </c>
      <c r="AK1098" s="1" t="s">
        <v>460</v>
      </c>
      <c r="AL1098" s="1" t="s">
        <v>28</v>
      </c>
      <c r="AM1098" s="1">
        <v>372.0</v>
      </c>
      <c r="AN1098" s="1">
        <v>1997.0</v>
      </c>
      <c r="AO1098" s="1">
        <v>1996.0</v>
      </c>
      <c r="AQ1098" s="3">
        <v>45143.0</v>
      </c>
      <c r="AR1098" s="1" t="s">
        <v>31</v>
      </c>
      <c r="AS1098" s="1" t="s">
        <v>4978</v>
      </c>
      <c r="AT1098" s="1" t="s">
        <v>31</v>
      </c>
      <c r="AX1098" s="1">
        <v>0.0</v>
      </c>
      <c r="AY1098" s="1">
        <v>0.0</v>
      </c>
    </row>
    <row r="1099" spans="20:51" ht="15.75" hidden="1">
      <c r="T1099" s="1">
        <v>3347.0</v>
      </c>
      <c r="U1099" s="1"/>
      <c r="V1099" s="1"/>
      <c r="W1099" s="1"/>
      <c r="X1099" s="1"/>
      <c r="Y1099" s="1" t="s">
        <v>4979</v>
      </c>
      <c r="Z1099" s="1" t="s">
        <v>4980</v>
      </c>
      <c r="AA1099" s="1" t="s">
        <v>4981</v>
      </c>
      <c r="AB1099" s="1"/>
      <c r="AC1099" s="1"/>
      <c r="AD1099" s="1"/>
      <c r="AE1099" s="1"/>
      <c r="AG1099" s="2" t="str">
        <f>"0140298517"</f>
        <v>0140298517</v>
      </c>
      <c r="AH1099" s="2" t="str">
        <f>"9780140298512"</f>
        <v>9780140298512</v>
      </c>
      <c r="AI1099" s="1">
        <v>0.0</v>
      </c>
      <c r="AJ1099" s="1">
        <v>3.87</v>
      </c>
      <c r="AK1099" s="1" t="s">
        <v>460</v>
      </c>
      <c r="AL1099" s="1" t="s">
        <v>28</v>
      </c>
      <c r="AM1099" s="1">
        <v>400.0</v>
      </c>
      <c r="AN1099" s="1">
        <v>2001.0</v>
      </c>
      <c r="AO1099" s="1">
        <v>1999.0</v>
      </c>
      <c r="AQ1099" s="3">
        <v>45143.0</v>
      </c>
      <c r="AR1099" s="1" t="s">
        <v>31</v>
      </c>
      <c r="AS1099" s="1" t="s">
        <v>4982</v>
      </c>
      <c r="AT1099" s="1" t="s">
        <v>31</v>
      </c>
      <c r="AX1099" s="1">
        <v>0.0</v>
      </c>
      <c r="AY1099" s="1">
        <v>0.0</v>
      </c>
    </row>
    <row r="1100" spans="20:51" ht="15.75" hidden="1">
      <c r="T1100" s="1">
        <v>5.6753473E7</v>
      </c>
      <c r="U1100" s="1"/>
      <c r="V1100" s="1"/>
      <c r="W1100" s="1"/>
      <c r="X1100" s="1"/>
      <c r="Y1100" s="1" t="s">
        <v>4983</v>
      </c>
      <c r="Z1100" s="1" t="s">
        <v>4984</v>
      </c>
      <c r="AA1100" s="1" t="s">
        <v>4985</v>
      </c>
      <c r="AB1100" s="1"/>
      <c r="AC1100" s="1"/>
      <c r="AD1100" s="1"/>
      <c r="AE1100" s="1"/>
      <c r="AG1100" s="2" t="str">
        <f>"1524748390"</f>
        <v>1524748390</v>
      </c>
      <c r="AH1100" s="2" t="str">
        <f>"9781524748395"</f>
        <v>9781524748395</v>
      </c>
      <c r="AI1100" s="1">
        <v>0.0</v>
      </c>
      <c r="AJ1100" s="1">
        <v>4.17</v>
      </c>
      <c r="AK1100" s="1" t="s">
        <v>2550</v>
      </c>
      <c r="AL1100" s="1" t="s">
        <v>41</v>
      </c>
      <c r="AM1100" s="1">
        <v>400.0</v>
      </c>
      <c r="AN1100" s="1">
        <v>2022.0</v>
      </c>
      <c r="AO1100" s="1">
        <v>2022.0</v>
      </c>
      <c r="AQ1100" s="3">
        <v>45143.0</v>
      </c>
      <c r="AR1100" s="1" t="s">
        <v>31</v>
      </c>
      <c r="AS1100" s="1" t="s">
        <v>4986</v>
      </c>
      <c r="AT1100" s="1" t="s">
        <v>31</v>
      </c>
      <c r="AX1100" s="1">
        <v>0.0</v>
      </c>
      <c r="AY1100" s="1">
        <v>0.0</v>
      </c>
    </row>
    <row r="1101" spans="20:51" ht="15.75" hidden="1">
      <c r="T1101" s="1">
        <v>32264.0</v>
      </c>
      <c r="U1101" s="1"/>
      <c r="V1101" s="1"/>
      <c r="W1101" s="1"/>
      <c r="X1101" s="1"/>
      <c r="Y1101" s="1" t="s">
        <v>4987</v>
      </c>
      <c r="Z1101" s="1" t="s">
        <v>4988</v>
      </c>
      <c r="AA1101" s="1" t="s">
        <v>4989</v>
      </c>
      <c r="AB1101" s="1"/>
      <c r="AC1101" s="1"/>
      <c r="AD1101" s="1"/>
      <c r="AE1101" s="1"/>
      <c r="AG1101" s="2" t="str">
        <f>"1400062454"</f>
        <v>1400062454</v>
      </c>
      <c r="AH1101" s="2" t="str">
        <f>"9781400062454"</f>
        <v>9781400062454</v>
      </c>
      <c r="AI1101" s="1">
        <v>0.0</v>
      </c>
      <c r="AJ1101" s="1">
        <v>3.93</v>
      </c>
      <c r="AK1101" s="1" t="s">
        <v>988</v>
      </c>
      <c r="AL1101" s="1" t="s">
        <v>41</v>
      </c>
      <c r="AM1101" s="1">
        <v>336.0</v>
      </c>
      <c r="AN1101" s="1">
        <v>2006.0</v>
      </c>
      <c r="AO1101" s="1">
        <v>2006.0</v>
      </c>
      <c r="AQ1101" s="3">
        <v>45143.0</v>
      </c>
      <c r="AR1101" s="1" t="s">
        <v>31</v>
      </c>
      <c r="AS1101" s="1" t="s">
        <v>4990</v>
      </c>
      <c r="AT1101" s="1" t="s">
        <v>31</v>
      </c>
      <c r="AX1101" s="1">
        <v>0.0</v>
      </c>
      <c r="AY1101" s="1">
        <v>0.0</v>
      </c>
    </row>
    <row r="1102" spans="20:51" ht="15.75" hidden="1">
      <c r="T1102" s="1">
        <v>3.9507318E7</v>
      </c>
      <c r="U1102" s="1"/>
      <c r="V1102" s="1"/>
      <c r="W1102" s="1"/>
      <c r="X1102" s="1"/>
      <c r="Y1102" s="1" t="s">
        <v>4991</v>
      </c>
      <c r="Z1102" s="1" t="s">
        <v>4992</v>
      </c>
      <c r="AA1102" s="1" t="s">
        <v>4993</v>
      </c>
      <c r="AB1102" s="1"/>
      <c r="AC1102" s="1"/>
      <c r="AD1102" s="1"/>
      <c r="AE1102" s="1"/>
      <c r="AG1102" s="2" t="str">
        <f>"1476740186"</f>
        <v>1476740186</v>
      </c>
      <c r="AH1102" s="2" t="str">
        <f>"9781476740188"</f>
        <v>9781476740188</v>
      </c>
      <c r="AI1102" s="1">
        <v>0.0</v>
      </c>
      <c r="AJ1102" s="1">
        <v>3.89</v>
      </c>
      <c r="AK1102" s="1" t="s">
        <v>345</v>
      </c>
      <c r="AL1102" s="1" t="s">
        <v>41</v>
      </c>
      <c r="AM1102" s="1">
        <v>317.0</v>
      </c>
      <c r="AN1102" s="1">
        <v>2018.0</v>
      </c>
      <c r="AO1102" s="1">
        <v>2018.0</v>
      </c>
      <c r="AQ1102" s="3">
        <v>45143.0</v>
      </c>
      <c r="AR1102" s="1" t="s">
        <v>31</v>
      </c>
      <c r="AS1102" s="1" t="s">
        <v>4994</v>
      </c>
      <c r="AT1102" s="1" t="s">
        <v>31</v>
      </c>
      <c r="AX1102" s="1">
        <v>0.0</v>
      </c>
      <c r="AY1102" s="1">
        <v>0.0</v>
      </c>
    </row>
    <row r="1103" spans="20:51" ht="15.75" hidden="1">
      <c r="T1103" s="1">
        <v>3.4625037E7</v>
      </c>
      <c r="U1103" s="1"/>
      <c r="V1103" s="1"/>
      <c r="W1103" s="1"/>
      <c r="X1103" s="1"/>
      <c r="Y1103" s="1" t="s">
        <v>4995</v>
      </c>
      <c r="Z1103" s="1" t="s">
        <v>3340</v>
      </c>
      <c r="AA1103" s="1" t="s">
        <v>3341</v>
      </c>
      <c r="AB1103" s="1"/>
      <c r="AC1103" s="1"/>
      <c r="AD1103" s="1"/>
      <c r="AE1103" s="1"/>
      <c r="AF1103" s="1" t="s">
        <v>4996</v>
      </c>
      <c r="AG1103" s="2" t="str">
        <f>"0190600233"</f>
        <v>0190600233</v>
      </c>
      <c r="AH1103" s="2" t="str">
        <f>"9780190600235"</f>
        <v>9780190600235</v>
      </c>
      <c r="AI1103" s="1">
        <v>0.0</v>
      </c>
      <c r="AJ1103" s="1">
        <v>3.46</v>
      </c>
      <c r="AK1103" s="1" t="s">
        <v>214</v>
      </c>
      <c r="AL1103" s="1" t="s">
        <v>41</v>
      </c>
      <c r="AM1103" s="1">
        <v>264.0</v>
      </c>
      <c r="AN1103" s="1">
        <v>2017.0</v>
      </c>
      <c r="AQ1103" s="3">
        <v>45143.0</v>
      </c>
      <c r="AR1103" s="1" t="s">
        <v>31</v>
      </c>
      <c r="AS1103" s="1" t="s">
        <v>4997</v>
      </c>
      <c r="AT1103" s="1" t="s">
        <v>31</v>
      </c>
      <c r="AX1103" s="1">
        <v>0.0</v>
      </c>
      <c r="AY1103" s="1">
        <v>0.0</v>
      </c>
    </row>
    <row r="1104" spans="20:51" ht="15.75" hidden="1">
      <c r="T1104" s="1">
        <v>226714.0</v>
      </c>
      <c r="U1104" s="1"/>
      <c r="V1104" s="1"/>
      <c r="W1104" s="1"/>
      <c r="X1104" s="1"/>
      <c r="Y1104" s="1" t="s">
        <v>4998</v>
      </c>
      <c r="Z1104" s="1" t="s">
        <v>3340</v>
      </c>
      <c r="AA1104" s="1" t="s">
        <v>3341</v>
      </c>
      <c r="AB1104" s="1"/>
      <c r="AC1104" s="1"/>
      <c r="AD1104" s="1"/>
      <c r="AE1104" s="1"/>
      <c r="AG1104" s="2" t="str">
        <f>"0195074858"</f>
        <v>0195074858</v>
      </c>
      <c r="AH1104" s="2" t="str">
        <f>"9780195074857"</f>
        <v>9780195074857</v>
      </c>
      <c r="AI1104" s="1">
        <v>0.0</v>
      </c>
      <c r="AJ1104" s="1">
        <v>4.11</v>
      </c>
      <c r="AK1104" s="1" t="s">
        <v>214</v>
      </c>
      <c r="AL1104" s="1" t="s">
        <v>28</v>
      </c>
      <c r="AM1104" s="1">
        <v>432.0</v>
      </c>
      <c r="AN1104" s="1">
        <v>1992.0</v>
      </c>
      <c r="AO1104" s="1">
        <v>1990.0</v>
      </c>
      <c r="AQ1104" s="3">
        <v>45143.0</v>
      </c>
      <c r="AR1104" s="1" t="s">
        <v>31</v>
      </c>
      <c r="AS1104" s="1" t="s">
        <v>4999</v>
      </c>
      <c r="AT1104" s="1" t="s">
        <v>31</v>
      </c>
      <c r="AX1104" s="1">
        <v>0.0</v>
      </c>
      <c r="AY1104" s="1">
        <v>0.0</v>
      </c>
    </row>
    <row r="1105" spans="20:51" ht="15.75" hidden="1">
      <c r="T1105" s="1">
        <v>226712.0</v>
      </c>
      <c r="U1105" s="1"/>
      <c r="V1105" s="1"/>
      <c r="W1105" s="1"/>
      <c r="X1105" s="1"/>
      <c r="Y1105" s="1" t="s">
        <v>5000</v>
      </c>
      <c r="Z1105" s="1" t="s">
        <v>3340</v>
      </c>
      <c r="AA1105" s="1" t="s">
        <v>3341</v>
      </c>
      <c r="AB1105" s="1"/>
      <c r="AC1105" s="1"/>
      <c r="AD1105" s="1"/>
      <c r="AE1105" s="1"/>
      <c r="AG1105" s="2" t="str">
        <f>"0807041092"</f>
        <v>0807041092</v>
      </c>
      <c r="AH1105" s="2" t="str">
        <f>"9780807041093"</f>
        <v>9780807041093</v>
      </c>
      <c r="AI1105" s="1">
        <v>0.0</v>
      </c>
      <c r="AJ1105" s="1">
        <v>3.77</v>
      </c>
      <c r="AK1105" s="1" t="s">
        <v>831</v>
      </c>
      <c r="AL1105" s="1" t="s">
        <v>28</v>
      </c>
      <c r="AM1105" s="1">
        <v>168.0</v>
      </c>
      <c r="AN1105" s="1">
        <v>1997.0</v>
      </c>
      <c r="AO1105" s="1">
        <v>1996.0</v>
      </c>
      <c r="AQ1105" s="3">
        <v>45143.0</v>
      </c>
      <c r="AR1105" s="1" t="s">
        <v>31</v>
      </c>
      <c r="AS1105" s="1" t="s">
        <v>5001</v>
      </c>
      <c r="AT1105" s="1" t="s">
        <v>31</v>
      </c>
      <c r="AX1105" s="1">
        <v>0.0</v>
      </c>
      <c r="AY1105" s="1">
        <v>0.0</v>
      </c>
    </row>
    <row r="1106" spans="20:51" ht="15.75" hidden="1">
      <c r="T1106" s="1">
        <v>2482681.0</v>
      </c>
      <c r="U1106" s="1"/>
      <c r="V1106" s="1"/>
      <c r="W1106" s="1"/>
      <c r="X1106" s="1"/>
      <c r="Y1106" s="1" t="s">
        <v>5002</v>
      </c>
      <c r="Z1106" s="1" t="s">
        <v>5003</v>
      </c>
      <c r="AA1106" s="1" t="s">
        <v>5004</v>
      </c>
      <c r="AB1106" s="1"/>
      <c r="AC1106" s="1"/>
      <c r="AD1106" s="1"/>
      <c r="AE1106" s="1"/>
      <c r="AG1106" s="2" t="str">
        <f>"0415324483"</f>
        <v>0415324483</v>
      </c>
      <c r="AH1106" s="2" t="str">
        <f>"9780415324489"</f>
        <v>9780415324489</v>
      </c>
      <c r="AI1106" s="1">
        <v>0.0</v>
      </c>
      <c r="AJ1106" s="1">
        <v>4.19</v>
      </c>
      <c r="AK1106" s="1" t="s">
        <v>132</v>
      </c>
      <c r="AL1106" s="1" t="s">
        <v>41</v>
      </c>
      <c r="AM1106" s="1">
        <v>320.0</v>
      </c>
      <c r="AN1106" s="1">
        <v>2007.0</v>
      </c>
      <c r="AO1106" s="1">
        <v>2007.0</v>
      </c>
      <c r="AQ1106" s="3">
        <v>45143.0</v>
      </c>
      <c r="AR1106" s="1" t="s">
        <v>31</v>
      </c>
      <c r="AS1106" s="1" t="s">
        <v>5005</v>
      </c>
      <c r="AT1106" s="1" t="s">
        <v>31</v>
      </c>
      <c r="AX1106" s="1">
        <v>0.0</v>
      </c>
      <c r="AY1106" s="1">
        <v>0.0</v>
      </c>
    </row>
    <row r="1107" spans="20:51" ht="15.75" hidden="1">
      <c r="T1107" s="1">
        <v>2496730.0</v>
      </c>
      <c r="U1107" s="1"/>
      <c r="V1107" s="1"/>
      <c r="W1107" s="1"/>
      <c r="X1107" s="1"/>
      <c r="Y1107" s="1" t="s">
        <v>5006</v>
      </c>
      <c r="Z1107" s="1" t="s">
        <v>5007</v>
      </c>
      <c r="AA1107" s="1" t="s">
        <v>5008</v>
      </c>
      <c r="AB1107" s="1"/>
      <c r="AC1107" s="1"/>
      <c r="AD1107" s="1"/>
      <c r="AE1107" s="1"/>
      <c r="AG1107" s="2" t="str">
        <f>"0415248736"</f>
        <v>0415248736</v>
      </c>
      <c r="AH1107" s="2" t="str">
        <f>"9780415248730"</f>
        <v>9780415248730</v>
      </c>
      <c r="AI1107" s="1">
        <v>0.0</v>
      </c>
      <c r="AJ1107" s="1">
        <v>3.89</v>
      </c>
      <c r="AK1107" s="1" t="s">
        <v>132</v>
      </c>
      <c r="AL1107" s="1" t="s">
        <v>28</v>
      </c>
      <c r="AM1107" s="1">
        <v>272.0</v>
      </c>
      <c r="AN1107" s="1">
        <v>2002.0</v>
      </c>
      <c r="AO1107" s="1">
        <v>2002.0</v>
      </c>
      <c r="AQ1107" s="3">
        <v>45143.0</v>
      </c>
      <c r="AR1107" s="1" t="s">
        <v>31</v>
      </c>
      <c r="AS1107" s="1" t="s">
        <v>5009</v>
      </c>
      <c r="AT1107" s="1" t="s">
        <v>31</v>
      </c>
      <c r="AX1107" s="1">
        <v>0.0</v>
      </c>
      <c r="AY1107" s="1">
        <v>0.0</v>
      </c>
    </row>
    <row r="1108" spans="20:51" ht="15.75" hidden="1">
      <c r="T1108" s="1">
        <v>665852.0</v>
      </c>
      <c r="U1108" s="1"/>
      <c r="V1108" s="1"/>
      <c r="W1108" s="1"/>
      <c r="X1108" s="1"/>
      <c r="Y1108" s="1" t="s">
        <v>5010</v>
      </c>
      <c r="Z1108" s="1" t="s">
        <v>5011</v>
      </c>
      <c r="AA1108" s="1" t="s">
        <v>5012</v>
      </c>
      <c r="AB1108" s="1"/>
      <c r="AC1108" s="1"/>
      <c r="AD1108" s="1"/>
      <c r="AE1108" s="1"/>
      <c r="AG1108" s="2" t="str">
        <f>"0285621378"</f>
        <v>0285621378</v>
      </c>
      <c r="AH1108" s="2" t="str">
        <f>"9780285621374"</f>
        <v>9780285621374</v>
      </c>
      <c r="AI1108" s="1">
        <v>0.0</v>
      </c>
      <c r="AJ1108" s="1">
        <v>4.22</v>
      </c>
      <c r="AK1108" s="1" t="s">
        <v>5013</v>
      </c>
      <c r="AL1108" s="1" t="s">
        <v>28</v>
      </c>
      <c r="AM1108" s="1">
        <v>284.0</v>
      </c>
      <c r="AN1108" s="1">
        <v>1982.0</v>
      </c>
      <c r="AO1108" s="1">
        <v>1953.0</v>
      </c>
      <c r="AQ1108" s="3">
        <v>45141.0</v>
      </c>
      <c r="AR1108" s="1" t="s">
        <v>31</v>
      </c>
      <c r="AS1108" s="1" t="s">
        <v>5014</v>
      </c>
      <c r="AT1108" s="1" t="s">
        <v>31</v>
      </c>
      <c r="AX1108" s="1">
        <v>0.0</v>
      </c>
      <c r="AY1108" s="1">
        <v>0.0</v>
      </c>
    </row>
    <row r="1109" spans="20:51" ht="15.75" hidden="1">
      <c r="T1109" s="1">
        <v>66770.0</v>
      </c>
      <c r="U1109" s="1"/>
      <c r="V1109" s="1"/>
      <c r="W1109" s="1"/>
      <c r="X1109" s="1"/>
      <c r="Y1109" s="1" t="s">
        <v>5015</v>
      </c>
      <c r="Z1109" s="1" t="s">
        <v>563</v>
      </c>
      <c r="AA1109" s="1" t="s">
        <v>564</v>
      </c>
      <c r="AB1109" s="1"/>
      <c r="AC1109" s="1"/>
      <c r="AD1109" s="1"/>
      <c r="AE1109" s="1"/>
      <c r="AF1109" s="1" t="s">
        <v>5016</v>
      </c>
      <c r="AG1109" s="2" t="str">
        <f>"0486429784"</f>
        <v>0486429784</v>
      </c>
      <c r="AH1109" s="2" t="str">
        <f>"9780486429786"</f>
        <v>9780486429786</v>
      </c>
      <c r="AI1109" s="1">
        <v>0.0</v>
      </c>
      <c r="AJ1109" s="1">
        <v>3.93</v>
      </c>
      <c r="AK1109" s="1" t="s">
        <v>540</v>
      </c>
      <c r="AL1109" s="1" t="s">
        <v>28</v>
      </c>
      <c r="AM1109" s="1">
        <v>128.0</v>
      </c>
      <c r="AN1109" s="1">
        <v>2003.0</v>
      </c>
      <c r="AO1109" s="1">
        <v>1990.0</v>
      </c>
      <c r="AQ1109" s="3">
        <v>45141.0</v>
      </c>
      <c r="AR1109" s="1" t="s">
        <v>31</v>
      </c>
      <c r="AS1109" s="1" t="s">
        <v>5017</v>
      </c>
      <c r="AT1109" s="1" t="s">
        <v>31</v>
      </c>
      <c r="AX1109" s="1">
        <v>0.0</v>
      </c>
      <c r="AY1109" s="1">
        <v>0.0</v>
      </c>
    </row>
    <row r="1110" spans="20:51" ht="15.75" hidden="1">
      <c r="T1110" s="1">
        <v>410056.0</v>
      </c>
      <c r="U1110" s="1"/>
      <c r="V1110" s="1"/>
      <c r="W1110" s="1"/>
      <c r="X1110" s="1"/>
      <c r="Y1110" s="1" t="s">
        <v>5018</v>
      </c>
      <c r="Z1110" s="1" t="s">
        <v>563</v>
      </c>
      <c r="AA1110" s="1" t="s">
        <v>564</v>
      </c>
      <c r="AB1110" s="1"/>
      <c r="AC1110" s="1"/>
      <c r="AD1110" s="1"/>
      <c r="AE1110" s="1"/>
      <c r="AF1110" s="1" t="s">
        <v>5016</v>
      </c>
      <c r="AG1110" s="2" t="str">
        <f>"048643981X"</f>
        <v>048643981X</v>
      </c>
      <c r="AH1110" s="2" t="str">
        <f>"9780486439815"</f>
        <v>9780486439815</v>
      </c>
      <c r="AI1110" s="1">
        <v>0.0</v>
      </c>
      <c r="AJ1110" s="1">
        <v>4.0</v>
      </c>
      <c r="AK1110" s="1" t="s">
        <v>540</v>
      </c>
      <c r="AL1110" s="1" t="s">
        <v>28</v>
      </c>
      <c r="AM1110" s="1">
        <v>192.0</v>
      </c>
      <c r="AN1110" s="1">
        <v>2005.0</v>
      </c>
      <c r="AO1110" s="1">
        <v>2005.0</v>
      </c>
      <c r="AQ1110" s="3">
        <v>45141.0</v>
      </c>
      <c r="AR1110" s="1" t="s">
        <v>31</v>
      </c>
      <c r="AS1110" s="1" t="s">
        <v>5019</v>
      </c>
      <c r="AT1110" s="1" t="s">
        <v>31</v>
      </c>
      <c r="AX1110" s="1">
        <v>0.0</v>
      </c>
      <c r="AY1110" s="1">
        <v>0.0</v>
      </c>
    </row>
    <row r="1111" spans="20:51" ht="15.75" hidden="1">
      <c r="T1111" s="1">
        <v>1270813.0</v>
      </c>
      <c r="U1111" s="1"/>
      <c r="V1111" s="1"/>
      <c r="W1111" s="1"/>
      <c r="X1111" s="1"/>
      <c r="Y1111" s="1" t="s">
        <v>5020</v>
      </c>
      <c r="Z1111" s="1" t="s">
        <v>5021</v>
      </c>
      <c r="AA1111" s="1" t="s">
        <v>5022</v>
      </c>
      <c r="AB1111" s="1"/>
      <c r="AC1111" s="1"/>
      <c r="AD1111" s="1"/>
      <c r="AE1111" s="1"/>
      <c r="AG1111" s="2" t="str">
        <f>"0486210790"</f>
        <v>0486210790</v>
      </c>
      <c r="AH1111" s="2" t="str">
        <f>"9780486210797"</f>
        <v>9780486210797</v>
      </c>
      <c r="AI1111" s="1">
        <v>0.0</v>
      </c>
      <c r="AJ1111" s="1">
        <v>4.09</v>
      </c>
      <c r="AK1111" s="1" t="s">
        <v>540</v>
      </c>
      <c r="AL1111" s="1" t="s">
        <v>28</v>
      </c>
      <c r="AM1111" s="1">
        <v>563.0</v>
      </c>
      <c r="AN1111" s="1">
        <v>1963.0</v>
      </c>
      <c r="AO1111" s="1">
        <v>1899.0</v>
      </c>
      <c r="AQ1111" s="3">
        <v>45141.0</v>
      </c>
      <c r="AR1111" s="1" t="s">
        <v>31</v>
      </c>
      <c r="AS1111" s="1" t="s">
        <v>5023</v>
      </c>
      <c r="AT1111" s="1" t="s">
        <v>31</v>
      </c>
      <c r="AX1111" s="1">
        <v>0.0</v>
      </c>
      <c r="AY1111" s="1">
        <v>0.0</v>
      </c>
    </row>
    <row r="1112" spans="20:51" ht="15.75" hidden="1">
      <c r="T1112" s="1">
        <v>7734045.0</v>
      </c>
      <c r="U1112" s="1"/>
      <c r="V1112" s="1"/>
      <c r="W1112" s="1"/>
      <c r="X1112" s="1"/>
      <c r="Y1112" s="1" t="s">
        <v>5024</v>
      </c>
      <c r="Z1112" s="1" t="s">
        <v>5025</v>
      </c>
      <c r="AA1112" s="1" t="s">
        <v>5026</v>
      </c>
      <c r="AB1112" s="1"/>
      <c r="AC1112" s="1"/>
      <c r="AD1112" s="1"/>
      <c r="AE1112" s="1"/>
      <c r="AG1112" s="2" t="str">
        <f>"1405110872"</f>
        <v>1405110872</v>
      </c>
      <c r="AH1112" s="2" t="str">
        <f>"9781405110877"</f>
        <v>9781405110877</v>
      </c>
      <c r="AI1112" s="1">
        <v>0.0</v>
      </c>
      <c r="AJ1112" s="1">
        <v>3.74</v>
      </c>
      <c r="AK1112" s="1" t="s">
        <v>1315</v>
      </c>
      <c r="AL1112" s="1" t="s">
        <v>41</v>
      </c>
      <c r="AM1112" s="1">
        <v>176.0</v>
      </c>
      <c r="AN1112" s="1">
        <v>2006.0</v>
      </c>
      <c r="AO1112" s="1">
        <v>2006.0</v>
      </c>
      <c r="AQ1112" s="3">
        <v>45140.0</v>
      </c>
      <c r="AR1112" s="1" t="s">
        <v>31</v>
      </c>
      <c r="AS1112" s="1" t="s">
        <v>5027</v>
      </c>
      <c r="AT1112" s="1" t="s">
        <v>31</v>
      </c>
      <c r="AX1112" s="1">
        <v>0.0</v>
      </c>
      <c r="AY1112" s="1">
        <v>0.0</v>
      </c>
    </row>
    <row r="1113" spans="20:51" ht="15.75" hidden="1">
      <c r="T1113" s="1">
        <v>1.9053197E7</v>
      </c>
      <c r="U1113" s="1"/>
      <c r="V1113" s="1"/>
      <c r="W1113" s="1"/>
      <c r="X1113" s="1"/>
      <c r="Y1113" s="1" t="s">
        <v>5028</v>
      </c>
      <c r="Z1113" s="1" t="s">
        <v>5029</v>
      </c>
      <c r="AA1113" s="1" t="s">
        <v>5030</v>
      </c>
      <c r="AB1113" s="1"/>
      <c r="AC1113" s="1"/>
      <c r="AD1113" s="1"/>
      <c r="AE1113" s="1"/>
      <c r="AF1113" s="1" t="s">
        <v>5031</v>
      </c>
      <c r="AG1113" s="2" t="str">
        <f t="shared" si="87" ref="AG1113:AH1113">""</f>
        <v/>
      </c>
      <c r="AH1113" s="2" t="str">
        <f t="shared" si="87"/>
        <v/>
      </c>
      <c r="AI1113" s="1">
        <v>0.0</v>
      </c>
      <c r="AJ1113" s="1">
        <v>4.17</v>
      </c>
      <c r="AK1113" s="1" t="s">
        <v>5032</v>
      </c>
      <c r="AL1113" s="1" t="s">
        <v>59</v>
      </c>
      <c r="AM1113" s="1">
        <v>192.0</v>
      </c>
      <c r="AN1113" s="1">
        <v>2008.0</v>
      </c>
      <c r="AO1113" s="1">
        <v>2008.0</v>
      </c>
      <c r="AQ1113" s="3">
        <v>45140.0</v>
      </c>
      <c r="AR1113" s="1" t="s">
        <v>31</v>
      </c>
      <c r="AS1113" s="1" t="s">
        <v>5033</v>
      </c>
      <c r="AT1113" s="1" t="s">
        <v>31</v>
      </c>
      <c r="AX1113" s="1">
        <v>0.0</v>
      </c>
      <c r="AY1113" s="1">
        <v>0.0</v>
      </c>
    </row>
    <row r="1114" spans="20:51" ht="15.75" hidden="1">
      <c r="T1114" s="1">
        <v>215460.0</v>
      </c>
      <c r="U1114" s="1"/>
      <c r="V1114" s="1"/>
      <c r="W1114" s="1"/>
      <c r="X1114" s="1"/>
      <c r="Y1114" s="1" t="s">
        <v>5034</v>
      </c>
      <c r="Z1114" s="1" t="s">
        <v>2881</v>
      </c>
      <c r="AA1114" s="1" t="s">
        <v>5035</v>
      </c>
      <c r="AB1114" s="1"/>
      <c r="AC1114" s="1"/>
      <c r="AD1114" s="1"/>
      <c r="AE1114" s="1"/>
      <c r="AF1114" s="1" t="s">
        <v>5036</v>
      </c>
      <c r="AG1114" s="2" t="str">
        <f>"0877289085"</f>
        <v>0877289085</v>
      </c>
      <c r="AH1114" s="2" t="str">
        <f>"9780877289081"</f>
        <v>9780877289081</v>
      </c>
      <c r="AI1114" s="1">
        <v>0.0</v>
      </c>
      <c r="AJ1114" s="1">
        <v>4.25</v>
      </c>
      <c r="AK1114" s="1" t="s">
        <v>5032</v>
      </c>
      <c r="AL1114" s="1" t="s">
        <v>41</v>
      </c>
      <c r="AM1114" s="1">
        <v>640.0</v>
      </c>
      <c r="AN1114" s="1">
        <v>2002.0</v>
      </c>
      <c r="AO1114" s="1">
        <v>2002.0</v>
      </c>
      <c r="AQ1114" s="3">
        <v>45140.0</v>
      </c>
      <c r="AR1114" s="1" t="s">
        <v>31</v>
      </c>
      <c r="AS1114" s="1" t="s">
        <v>5037</v>
      </c>
      <c r="AT1114" s="1" t="s">
        <v>31</v>
      </c>
      <c r="AX1114" s="1">
        <v>0.0</v>
      </c>
      <c r="AY1114" s="1">
        <v>0.0</v>
      </c>
    </row>
    <row r="1115" spans="20:51" ht="15.75" hidden="1">
      <c r="T1115" s="1">
        <v>4.5894125E7</v>
      </c>
      <c r="U1115" s="1"/>
      <c r="V1115" s="1"/>
      <c r="W1115" s="1"/>
      <c r="X1115" s="1"/>
      <c r="Y1115" s="1" t="s">
        <v>5038</v>
      </c>
      <c r="Z1115" s="1" t="s">
        <v>5039</v>
      </c>
      <c r="AA1115" s="1" t="s">
        <v>5040</v>
      </c>
      <c r="AB1115" s="1"/>
      <c r="AC1115" s="1"/>
      <c r="AD1115" s="1"/>
      <c r="AE1115" s="1"/>
      <c r="AG1115" s="2" t="str">
        <f>"0393634841"</f>
        <v>0393634841</v>
      </c>
      <c r="AH1115" s="2" t="str">
        <f>"9780393634846"</f>
        <v>9780393634846</v>
      </c>
      <c r="AI1115" s="1">
        <v>0.0</v>
      </c>
      <c r="AJ1115" s="1">
        <v>3.91</v>
      </c>
      <c r="AK1115" s="1" t="s">
        <v>113</v>
      </c>
      <c r="AL1115" s="1" t="s">
        <v>41</v>
      </c>
      <c r="AM1115" s="1">
        <v>336.0</v>
      </c>
      <c r="AN1115" s="1">
        <v>2020.0</v>
      </c>
      <c r="AQ1115" s="3">
        <v>45140.0</v>
      </c>
      <c r="AR1115" s="1" t="s">
        <v>31</v>
      </c>
      <c r="AS1115" s="1" t="s">
        <v>5041</v>
      </c>
      <c r="AT1115" s="1" t="s">
        <v>31</v>
      </c>
      <c r="AX1115" s="1">
        <v>0.0</v>
      </c>
      <c r="AY1115" s="1">
        <v>0.0</v>
      </c>
    </row>
    <row r="1116" spans="20:51" ht="15.75" hidden="1">
      <c r="T1116" s="1">
        <v>3.8614632E7</v>
      </c>
      <c r="U1116" s="1"/>
      <c r="V1116" s="1"/>
      <c r="W1116" s="1"/>
      <c r="X1116" s="1"/>
      <c r="Y1116" s="1" t="s">
        <v>5042</v>
      </c>
      <c r="Z1116" s="1" t="s">
        <v>5043</v>
      </c>
      <c r="AA1116" s="1" t="s">
        <v>5044</v>
      </c>
      <c r="AB1116" s="1"/>
      <c r="AC1116" s="1"/>
      <c r="AD1116" s="1"/>
      <c r="AE1116" s="1"/>
      <c r="AF1116" s="1" t="s">
        <v>5045</v>
      </c>
      <c r="AG1116" s="2" t="str">
        <f t="shared" si="88" ref="AG1116:AH1116">""</f>
        <v/>
      </c>
      <c r="AH1116" s="2" t="str">
        <f t="shared" si="88"/>
        <v/>
      </c>
      <c r="AI1116" s="1">
        <v>0.0</v>
      </c>
      <c r="AJ1116" s="1">
        <v>3.97</v>
      </c>
      <c r="AL1116" s="1" t="s">
        <v>59</v>
      </c>
      <c r="AM1116" s="1">
        <v>165.0</v>
      </c>
      <c r="AN1116" s="1">
        <v>2018.0</v>
      </c>
      <c r="AO1116" s="1">
        <v>150.0</v>
      </c>
      <c r="AQ1116" s="3">
        <v>45140.0</v>
      </c>
      <c r="AR1116" s="1" t="s">
        <v>31</v>
      </c>
      <c r="AS1116" s="1" t="s">
        <v>5046</v>
      </c>
      <c r="AT1116" s="1" t="s">
        <v>31</v>
      </c>
      <c r="AX1116" s="1">
        <v>0.0</v>
      </c>
      <c r="AY1116" s="1">
        <v>0.0</v>
      </c>
    </row>
    <row r="1117" spans="20:51" ht="15.75" hidden="1">
      <c r="T1117" s="1">
        <v>1067210.0</v>
      </c>
      <c r="U1117" s="1"/>
      <c r="V1117" s="1"/>
      <c r="W1117" s="1"/>
      <c r="X1117" s="1"/>
      <c r="Y1117" s="1" t="s">
        <v>5047</v>
      </c>
      <c r="Z1117" s="1" t="s">
        <v>5048</v>
      </c>
      <c r="AA1117" s="1" t="s">
        <v>5049</v>
      </c>
      <c r="AB1117" s="1"/>
      <c r="AC1117" s="1"/>
      <c r="AD1117" s="1"/>
      <c r="AE1117" s="1"/>
      <c r="AG1117" s="2" t="str">
        <f>"0882252992"</f>
        <v>0882252992</v>
      </c>
      <c r="AH1117" s="2" t="str">
        <f>"9780882252995"</f>
        <v>9780882252995</v>
      </c>
      <c r="AI1117" s="1">
        <v>0.0</v>
      </c>
      <c r="AJ1117" s="1">
        <v>3.93</v>
      </c>
      <c r="AK1117" s="1" t="s">
        <v>5050</v>
      </c>
      <c r="AL1117" s="1" t="s">
        <v>41</v>
      </c>
      <c r="AM1117" s="1">
        <v>352.0</v>
      </c>
      <c r="AN1117" s="1">
        <v>1981.0</v>
      </c>
      <c r="AO1117" s="1">
        <v>1981.0</v>
      </c>
      <c r="AQ1117" s="3">
        <v>45140.0</v>
      </c>
      <c r="AR1117" s="1" t="s">
        <v>31</v>
      </c>
      <c r="AS1117" s="1" t="s">
        <v>5051</v>
      </c>
      <c r="AT1117" s="1" t="s">
        <v>31</v>
      </c>
      <c r="AX1117" s="1">
        <v>0.0</v>
      </c>
      <c r="AY1117" s="1">
        <v>0.0</v>
      </c>
    </row>
    <row r="1118" spans="20:51" ht="15.75" hidden="1">
      <c r="T1118" s="1">
        <v>2.0231805E7</v>
      </c>
      <c r="U1118" s="1"/>
      <c r="V1118" s="1"/>
      <c r="W1118" s="1"/>
      <c r="X1118" s="1"/>
      <c r="Y1118" s="1" t="s">
        <v>5052</v>
      </c>
      <c r="Z1118" s="1" t="s">
        <v>5048</v>
      </c>
      <c r="AA1118" s="1" t="s">
        <v>5049</v>
      </c>
      <c r="AB1118" s="1"/>
      <c r="AC1118" s="1"/>
      <c r="AD1118" s="1"/>
      <c r="AE1118" s="1"/>
      <c r="AG1118" s="2" t="str">
        <f t="shared" si="89" ref="AG1118:AH1118">""</f>
        <v/>
      </c>
      <c r="AH1118" s="2" t="str">
        <f t="shared" si="89"/>
        <v/>
      </c>
      <c r="AI1118" s="1">
        <v>0.0</v>
      </c>
      <c r="AJ1118" s="1">
        <v>3.75</v>
      </c>
      <c r="AK1118" s="1" t="s">
        <v>345</v>
      </c>
      <c r="AL1118" s="1" t="s">
        <v>59</v>
      </c>
      <c r="AM1118" s="1">
        <v>384.0</v>
      </c>
      <c r="AN1118" s="1">
        <v>2005.0</v>
      </c>
      <c r="AO1118" s="1">
        <v>2005.0</v>
      </c>
      <c r="AQ1118" s="3">
        <v>45140.0</v>
      </c>
      <c r="AR1118" s="1" t="s">
        <v>31</v>
      </c>
      <c r="AS1118" s="1" t="s">
        <v>5053</v>
      </c>
      <c r="AT1118" s="1" t="s">
        <v>31</v>
      </c>
      <c r="AX1118" s="1">
        <v>0.0</v>
      </c>
      <c r="AY1118" s="1">
        <v>0.0</v>
      </c>
    </row>
    <row r="1119" spans="20:51" ht="15.75" hidden="1">
      <c r="T1119" s="1">
        <v>1.23041142E8</v>
      </c>
      <c r="U1119" s="1"/>
      <c r="V1119" s="1"/>
      <c r="W1119" s="1"/>
      <c r="X1119" s="1"/>
      <c r="Y1119" s="1" t="s">
        <v>5054</v>
      </c>
      <c r="Z1119" s="1" t="s">
        <v>373</v>
      </c>
      <c r="AA1119" s="1" t="s">
        <v>5055</v>
      </c>
      <c r="AB1119" s="1"/>
      <c r="AC1119" s="1"/>
      <c r="AD1119" s="1"/>
      <c r="AE1119" s="1"/>
      <c r="AF1119" s="1" t="s">
        <v>5056</v>
      </c>
      <c r="AG1119" s="2" t="str">
        <f>"0882141317"</f>
        <v>0882141317</v>
      </c>
      <c r="AH1119" s="2" t="str">
        <f>"9780882141312"</f>
        <v>9780882141312</v>
      </c>
      <c r="AI1119" s="1">
        <v>0.0</v>
      </c>
      <c r="AJ1119" s="1">
        <v>4.0</v>
      </c>
      <c r="AK1119" s="1" t="s">
        <v>465</v>
      </c>
      <c r="AL1119" s="1" t="s">
        <v>28</v>
      </c>
      <c r="AM1119" s="1">
        <v>156.0</v>
      </c>
      <c r="AN1119" s="1">
        <v>2023.0</v>
      </c>
      <c r="AO1119" s="1">
        <v>1995.0</v>
      </c>
      <c r="AQ1119" s="3">
        <v>45140.0</v>
      </c>
      <c r="AR1119" s="1" t="s">
        <v>31</v>
      </c>
      <c r="AS1119" s="1" t="s">
        <v>5057</v>
      </c>
      <c r="AT1119" s="1" t="s">
        <v>31</v>
      </c>
      <c r="AX1119" s="1">
        <v>0.0</v>
      </c>
      <c r="AY1119" s="1">
        <v>0.0</v>
      </c>
    </row>
    <row r="1120" spans="20:51" ht="15.75" hidden="1">
      <c r="T1120" s="1">
        <v>1.7341476E7</v>
      </c>
      <c r="U1120" s="1"/>
      <c r="V1120" s="1"/>
      <c r="W1120" s="1"/>
      <c r="X1120" s="1"/>
      <c r="Y1120" s="1" t="s">
        <v>5058</v>
      </c>
      <c r="Z1120" s="1" t="s">
        <v>250</v>
      </c>
      <c r="AA1120" s="1" t="s">
        <v>251</v>
      </c>
      <c r="AB1120" s="1"/>
      <c r="AC1120" s="1"/>
      <c r="AD1120" s="1"/>
      <c r="AE1120" s="1"/>
      <c r="AG1120" s="2" t="str">
        <f t="shared" si="90" ref="AG1120:AH1120">""</f>
        <v/>
      </c>
      <c r="AH1120" s="2" t="str">
        <f t="shared" si="90"/>
        <v/>
      </c>
      <c r="AI1120" s="1">
        <v>0.0</v>
      </c>
      <c r="AJ1120" s="1">
        <v>4.06</v>
      </c>
      <c r="AK1120" s="1" t="s">
        <v>460</v>
      </c>
      <c r="AL1120" s="1" t="s">
        <v>28</v>
      </c>
      <c r="AM1120" s="1">
        <v>156.0</v>
      </c>
      <c r="AN1120" s="1">
        <v>1965.0</v>
      </c>
      <c r="AO1120" s="1">
        <v>1944.0</v>
      </c>
      <c r="AQ1120" s="3">
        <v>45140.0</v>
      </c>
      <c r="AR1120" s="1" t="s">
        <v>31</v>
      </c>
      <c r="AS1120" s="1" t="s">
        <v>5059</v>
      </c>
      <c r="AT1120" s="1" t="s">
        <v>31</v>
      </c>
      <c r="AX1120" s="1">
        <v>0.0</v>
      </c>
      <c r="AY1120" s="1">
        <v>0.0</v>
      </c>
    </row>
    <row r="1121" spans="20:51" ht="15.75" hidden="1">
      <c r="T1121" s="1">
        <v>857353.0</v>
      </c>
      <c r="U1121" s="1"/>
      <c r="V1121" s="1"/>
      <c r="W1121" s="1"/>
      <c r="X1121" s="1"/>
      <c r="Y1121" s="1" t="s">
        <v>5060</v>
      </c>
      <c r="Z1121" s="1" t="s">
        <v>5061</v>
      </c>
      <c r="AA1121" s="1" t="s">
        <v>5062</v>
      </c>
      <c r="AB1121" s="1"/>
      <c r="AC1121" s="1"/>
      <c r="AD1121" s="1"/>
      <c r="AE1121" s="1"/>
      <c r="AF1121" s="1" t="s">
        <v>5063</v>
      </c>
      <c r="AG1121" s="2" t="str">
        <f>"0811204537"</f>
        <v>0811204537</v>
      </c>
      <c r="AH1121" s="2" t="str">
        <f>"9780811204538"</f>
        <v>9780811204538</v>
      </c>
      <c r="AI1121" s="1">
        <v>0.0</v>
      </c>
      <c r="AJ1121" s="1">
        <v>4.11</v>
      </c>
      <c r="AK1121" s="1" t="s">
        <v>95</v>
      </c>
      <c r="AL1121" s="1" t="s">
        <v>41</v>
      </c>
      <c r="AM1121" s="1">
        <v>117.0</v>
      </c>
      <c r="AN1121" s="1">
        <v>1972.0</v>
      </c>
      <c r="AO1121" s="1">
        <v>1972.0</v>
      </c>
      <c r="AQ1121" s="3">
        <v>45140.0</v>
      </c>
      <c r="AR1121" s="1" t="s">
        <v>31</v>
      </c>
      <c r="AS1121" s="1" t="s">
        <v>5064</v>
      </c>
      <c r="AT1121" s="1" t="s">
        <v>31</v>
      </c>
      <c r="AX1121" s="1">
        <v>0.0</v>
      </c>
      <c r="AY1121" s="1">
        <v>0.0</v>
      </c>
    </row>
    <row r="1122" spans="20:51" ht="15.75" hidden="1">
      <c r="T1122" s="1">
        <v>823612.0</v>
      </c>
      <c r="U1122" s="1"/>
      <c r="V1122" s="1"/>
      <c r="W1122" s="1"/>
      <c r="X1122" s="1"/>
      <c r="Y1122" s="1" t="s">
        <v>5065</v>
      </c>
      <c r="Z1122" s="1" t="s">
        <v>5061</v>
      </c>
      <c r="AA1122" s="1" t="s">
        <v>5062</v>
      </c>
      <c r="AB1122" s="1"/>
      <c r="AC1122" s="1"/>
      <c r="AD1122" s="1"/>
      <c r="AE1122" s="1"/>
      <c r="AG1122" s="2" t="str">
        <f>"0811205444"</f>
        <v>0811205444</v>
      </c>
      <c r="AH1122" s="2" t="str">
        <f>"9780811205443"</f>
        <v>9780811205443</v>
      </c>
      <c r="AI1122" s="1">
        <v>0.0</v>
      </c>
      <c r="AJ1122" s="1">
        <v>4.11</v>
      </c>
      <c r="AK1122" s="1" t="s">
        <v>95</v>
      </c>
      <c r="AL1122" s="1" t="s">
        <v>28</v>
      </c>
      <c r="AM1122" s="1">
        <v>304.0</v>
      </c>
      <c r="AN1122" s="1">
        <v>1974.0</v>
      </c>
      <c r="AO1122" s="1">
        <v>1924.0</v>
      </c>
      <c r="AQ1122" s="3">
        <v>45140.0</v>
      </c>
      <c r="AR1122" s="1" t="s">
        <v>31</v>
      </c>
      <c r="AS1122" s="1" t="s">
        <v>5066</v>
      </c>
      <c r="AT1122" s="1" t="s">
        <v>31</v>
      </c>
      <c r="AX1122" s="1">
        <v>0.0</v>
      </c>
      <c r="AY1122" s="1">
        <v>0.0</v>
      </c>
    </row>
    <row r="1123" spans="20:51" ht="15.75" hidden="1">
      <c r="T1123" s="1">
        <v>1.9661616E7</v>
      </c>
      <c r="U1123" s="1"/>
      <c r="V1123" s="1"/>
      <c r="W1123" s="1"/>
      <c r="X1123" s="1"/>
      <c r="Y1123" s="1" t="s">
        <v>5067</v>
      </c>
      <c r="Z1123" s="1" t="s">
        <v>5061</v>
      </c>
      <c r="AA1123" s="1" t="s">
        <v>5062</v>
      </c>
      <c r="AB1123" s="1"/>
      <c r="AC1123" s="1"/>
      <c r="AD1123" s="1"/>
      <c r="AE1123" s="1"/>
      <c r="AF1123" s="1" t="s">
        <v>5068</v>
      </c>
      <c r="AG1123" s="2" t="str">
        <f t="shared" si="91" ref="AG1123:AH1123">""</f>
        <v/>
      </c>
      <c r="AH1123" s="2" t="str">
        <f t="shared" si="91"/>
        <v/>
      </c>
      <c r="AI1123" s="1">
        <v>0.0</v>
      </c>
      <c r="AJ1123" s="1">
        <v>4.62</v>
      </c>
      <c r="AK1123" s="1" t="s">
        <v>95</v>
      </c>
      <c r="AL1123" s="1" t="s">
        <v>28</v>
      </c>
      <c r="AM1123" s="1">
        <v>288.0</v>
      </c>
      <c r="AN1123" s="1">
        <v>2003.0</v>
      </c>
      <c r="AO1123" s="1">
        <v>2003.0</v>
      </c>
      <c r="AQ1123" s="3">
        <v>45140.0</v>
      </c>
      <c r="AR1123" s="1" t="s">
        <v>31</v>
      </c>
      <c r="AS1123" s="1" t="s">
        <v>5069</v>
      </c>
      <c r="AT1123" s="1" t="s">
        <v>31</v>
      </c>
      <c r="AX1123" s="1">
        <v>0.0</v>
      </c>
      <c r="AY1123" s="1">
        <v>0.0</v>
      </c>
    </row>
    <row r="1124" spans="20:51" ht="15.75" hidden="1">
      <c r="T1124" s="1">
        <v>58832.0</v>
      </c>
      <c r="U1124" s="1"/>
      <c r="V1124" s="1"/>
      <c r="W1124" s="1"/>
      <c r="X1124" s="1"/>
      <c r="Y1124" s="1" t="s">
        <v>5070</v>
      </c>
      <c r="Z1124" s="1" t="s">
        <v>5071</v>
      </c>
      <c r="AA1124" s="1" t="s">
        <v>5072</v>
      </c>
      <c r="AB1124" s="1"/>
      <c r="AC1124" s="1"/>
      <c r="AD1124" s="1"/>
      <c r="AE1124" s="1"/>
      <c r="AF1124" s="1" t="s">
        <v>5073</v>
      </c>
      <c r="AG1124" s="2" t="str">
        <f>"0811216985"</f>
        <v>0811216985</v>
      </c>
      <c r="AH1124" s="2" t="str">
        <f>"9780811216982"</f>
        <v>9780811216982</v>
      </c>
      <c r="AI1124" s="1">
        <v>0.0</v>
      </c>
      <c r="AJ1124" s="1">
        <v>3.95</v>
      </c>
      <c r="AK1124" s="1" t="s">
        <v>95</v>
      </c>
      <c r="AL1124" s="1" t="s">
        <v>28</v>
      </c>
      <c r="AM1124" s="1">
        <v>178.0</v>
      </c>
      <c r="AN1124" s="1">
        <v>2007.0</v>
      </c>
      <c r="AO1124" s="1">
        <v>2000.0</v>
      </c>
      <c r="AQ1124" s="3">
        <v>45140.0</v>
      </c>
      <c r="AR1124" s="1" t="s">
        <v>31</v>
      </c>
      <c r="AS1124" s="1" t="s">
        <v>5074</v>
      </c>
      <c r="AT1124" s="1" t="s">
        <v>31</v>
      </c>
      <c r="AX1124" s="1">
        <v>0.0</v>
      </c>
      <c r="AY1124" s="1">
        <v>0.0</v>
      </c>
    </row>
    <row r="1125" spans="20:51" ht="15.75" hidden="1">
      <c r="T1125" s="1">
        <v>4.9232437E7</v>
      </c>
      <c r="U1125" s="1"/>
      <c r="V1125" s="1"/>
      <c r="W1125" s="1"/>
      <c r="X1125" s="1"/>
      <c r="Y1125" s="1" t="s">
        <v>5075</v>
      </c>
      <c r="Z1125" s="1" t="s">
        <v>5076</v>
      </c>
      <c r="AA1125" s="1" t="s">
        <v>5077</v>
      </c>
      <c r="AB1125" s="1"/>
      <c r="AC1125" s="1"/>
      <c r="AD1125" s="1"/>
      <c r="AE1125" s="1"/>
      <c r="AF1125" s="1" t="s">
        <v>5078</v>
      </c>
      <c r="AG1125" s="2" t="str">
        <f>"1910695920"</f>
        <v>1910695920</v>
      </c>
      <c r="AH1125" s="2" t="str">
        <f>""</f>
        <v/>
      </c>
      <c r="AI1125" s="1">
        <v>0.0</v>
      </c>
      <c r="AJ1125" s="1">
        <v>4.17</v>
      </c>
      <c r="AK1125" s="1" t="s">
        <v>138</v>
      </c>
      <c r="AL1125" s="1" t="s">
        <v>59</v>
      </c>
      <c r="AM1125" s="1">
        <v>340.0</v>
      </c>
      <c r="AN1125" s="1">
        <v>2019.0</v>
      </c>
      <c r="AO1125" s="1">
        <v>2019.0</v>
      </c>
      <c r="AQ1125" s="3">
        <v>45140.0</v>
      </c>
      <c r="AR1125" s="1" t="s">
        <v>31</v>
      </c>
      <c r="AS1125" s="1" t="s">
        <v>5079</v>
      </c>
      <c r="AT1125" s="1" t="s">
        <v>31</v>
      </c>
      <c r="AX1125" s="1">
        <v>0.0</v>
      </c>
      <c r="AY1125" s="1">
        <v>0.0</v>
      </c>
    </row>
    <row r="1126" spans="20:51" ht="15.75" hidden="1">
      <c r="T1126" s="1">
        <v>2.9335881E7</v>
      </c>
      <c r="U1126" s="1"/>
      <c r="V1126" s="1"/>
      <c r="W1126" s="1"/>
      <c r="X1126" s="1"/>
      <c r="Y1126" s="1" t="s">
        <v>5080</v>
      </c>
      <c r="Z1126" s="1" t="s">
        <v>4344</v>
      </c>
      <c r="AA1126" s="1" t="s">
        <v>4345</v>
      </c>
      <c r="AB1126" s="1"/>
      <c r="AC1126" s="1"/>
      <c r="AD1126" s="1"/>
      <c r="AE1126" s="1"/>
      <c r="AF1126" s="1" t="s">
        <v>5081</v>
      </c>
      <c r="AG1126" s="2" t="str">
        <f t="shared" si="92" ref="AG1126:AH1126">""</f>
        <v/>
      </c>
      <c r="AH1126" s="2" t="str">
        <f t="shared" si="92"/>
        <v/>
      </c>
      <c r="AI1126" s="1">
        <v>0.0</v>
      </c>
      <c r="AJ1126" s="1">
        <v>4.33</v>
      </c>
      <c r="AK1126" s="1" t="s">
        <v>95</v>
      </c>
      <c r="AL1126" s="1" t="s">
        <v>59</v>
      </c>
      <c r="AM1126" s="1">
        <v>200.0</v>
      </c>
      <c r="AN1126" s="1">
        <v>2012.0</v>
      </c>
      <c r="AO1126" s="1">
        <v>2012.0</v>
      </c>
      <c r="AQ1126" s="3">
        <v>45140.0</v>
      </c>
      <c r="AR1126" s="1" t="s">
        <v>31</v>
      </c>
      <c r="AS1126" s="1" t="s">
        <v>5082</v>
      </c>
      <c r="AT1126" s="1" t="s">
        <v>31</v>
      </c>
      <c r="AX1126" s="1">
        <v>0.0</v>
      </c>
      <c r="AY1126" s="1">
        <v>0.0</v>
      </c>
    </row>
    <row r="1127" spans="20:51" ht="15.75" hidden="1">
      <c r="T1127" s="1">
        <v>5.1182084E7</v>
      </c>
      <c r="U1127" s="1"/>
      <c r="V1127" s="1"/>
      <c r="W1127" s="1"/>
      <c r="X1127" s="1"/>
      <c r="Y1127" s="1" t="s">
        <v>5083</v>
      </c>
      <c r="Z1127" s="1" t="s">
        <v>4157</v>
      </c>
      <c r="AA1127" s="1" t="s">
        <v>4158</v>
      </c>
      <c r="AB1127" s="1"/>
      <c r="AC1127" s="1"/>
      <c r="AD1127" s="1"/>
      <c r="AE1127" s="1"/>
      <c r="AF1127" s="1" t="s">
        <v>5084</v>
      </c>
      <c r="AG1127" s="2" t="str">
        <f>"1786277522"</f>
        <v>1786277522</v>
      </c>
      <c r="AH1127" s="2" t="str">
        <f>"9781786277527"</f>
        <v>9781786277527</v>
      </c>
      <c r="AI1127" s="1">
        <v>0.0</v>
      </c>
      <c r="AJ1127" s="1">
        <v>4.05</v>
      </c>
      <c r="AK1127" s="1" t="s">
        <v>5085</v>
      </c>
      <c r="AL1127" s="1" t="s">
        <v>41</v>
      </c>
      <c r="AM1127" s="1">
        <v>64.0</v>
      </c>
      <c r="AN1127" s="1">
        <v>2020.0</v>
      </c>
      <c r="AO1127" s="1">
        <v>1926.0</v>
      </c>
      <c r="AQ1127" s="3">
        <v>45138.0</v>
      </c>
      <c r="AR1127" s="1" t="s">
        <v>31</v>
      </c>
      <c r="AS1127" s="1" t="s">
        <v>5086</v>
      </c>
      <c r="AT1127" s="1" t="s">
        <v>31</v>
      </c>
      <c r="AX1127" s="1">
        <v>0.0</v>
      </c>
      <c r="AY1127" s="1">
        <v>0.0</v>
      </c>
    </row>
    <row r="1128" spans="20:51" ht="15.75" hidden="1">
      <c r="T1128" s="1">
        <v>3284612.0</v>
      </c>
      <c r="U1128" s="1"/>
      <c r="V1128" s="1"/>
      <c r="W1128" s="1"/>
      <c r="X1128" s="1"/>
      <c r="Y1128" s="1" t="s">
        <v>5087</v>
      </c>
      <c r="Z1128" s="1" t="s">
        <v>5088</v>
      </c>
      <c r="AA1128" s="1" t="s">
        <v>5089</v>
      </c>
      <c r="AB1128" s="1"/>
      <c r="AC1128" s="1"/>
      <c r="AD1128" s="1"/>
      <c r="AE1128" s="1"/>
      <c r="AG1128" s="2" t="str">
        <f>"0847831124"</f>
        <v>0847831124</v>
      </c>
      <c r="AH1128" s="2" t="str">
        <f>"9780847831128"</f>
        <v>9780847831128</v>
      </c>
      <c r="AI1128" s="1">
        <v>0.0</v>
      </c>
      <c r="AJ1128" s="1">
        <v>3.98</v>
      </c>
      <c r="AK1128" s="1" t="s">
        <v>5090</v>
      </c>
      <c r="AL1128" s="1" t="s">
        <v>28</v>
      </c>
      <c r="AM1128" s="1">
        <v>256.0</v>
      </c>
      <c r="AN1128" s="1">
        <v>2008.0</v>
      </c>
      <c r="AO1128" s="1">
        <v>2008.0</v>
      </c>
      <c r="AQ1128" s="3">
        <v>45138.0</v>
      </c>
      <c r="AR1128" s="1" t="s">
        <v>31</v>
      </c>
      <c r="AS1128" s="1" t="s">
        <v>5091</v>
      </c>
      <c r="AT1128" s="1" t="s">
        <v>31</v>
      </c>
      <c r="AX1128" s="1">
        <v>0.0</v>
      </c>
      <c r="AY1128" s="1">
        <v>0.0</v>
      </c>
    </row>
    <row r="1129" spans="20:51" ht="15.75" hidden="1">
      <c r="T1129" s="1">
        <v>1.8339728E7</v>
      </c>
      <c r="U1129" s="1"/>
      <c r="V1129" s="1"/>
      <c r="W1129" s="1"/>
      <c r="X1129" s="1"/>
      <c r="Y1129" s="1" t="s">
        <v>5092</v>
      </c>
      <c r="Z1129" s="1" t="s">
        <v>5093</v>
      </c>
      <c r="AA1129" s="1" t="s">
        <v>5094</v>
      </c>
      <c r="AB1129" s="1"/>
      <c r="AC1129" s="1"/>
      <c r="AD1129" s="1"/>
      <c r="AE1129" s="1"/>
      <c r="AG1129" s="2" t="str">
        <f>"0789327260"</f>
        <v>0789327260</v>
      </c>
      <c r="AH1129" s="2" t="str">
        <f>"9780789327260"</f>
        <v>9780789327260</v>
      </c>
      <c r="AI1129" s="1">
        <v>0.0</v>
      </c>
      <c r="AJ1129" s="1">
        <v>3.73</v>
      </c>
      <c r="AK1129" s="1" t="s">
        <v>5090</v>
      </c>
      <c r="AL1129" s="1" t="s">
        <v>28</v>
      </c>
      <c r="AM1129" s="1">
        <v>256.0</v>
      </c>
      <c r="AN1129" s="1">
        <v>2014.0</v>
      </c>
      <c r="AO1129" s="1">
        <v>2013.0</v>
      </c>
      <c r="AQ1129" s="3">
        <v>45138.0</v>
      </c>
      <c r="AR1129" s="1" t="s">
        <v>31</v>
      </c>
      <c r="AS1129" s="1" t="s">
        <v>5095</v>
      </c>
      <c r="AT1129" s="1" t="s">
        <v>31</v>
      </c>
      <c r="AX1129" s="1">
        <v>0.0</v>
      </c>
      <c r="AY1129" s="1">
        <v>0.0</v>
      </c>
    </row>
    <row r="1130" spans="20:51" ht="15.75" hidden="1">
      <c r="T1130" s="1">
        <v>3.1328503E7</v>
      </c>
      <c r="U1130" s="1"/>
      <c r="V1130" s="1"/>
      <c r="W1130" s="1"/>
      <c r="X1130" s="1"/>
      <c r="Y1130" s="1" t="s">
        <v>5096</v>
      </c>
      <c r="Z1130" s="1" t="s">
        <v>5093</v>
      </c>
      <c r="AA1130" s="1" t="s">
        <v>5094</v>
      </c>
      <c r="AB1130" s="1"/>
      <c r="AC1130" s="1"/>
      <c r="AD1130" s="1"/>
      <c r="AE1130" s="1"/>
      <c r="AG1130" s="2" t="str">
        <f>"0789332728"</f>
        <v>0789332728</v>
      </c>
      <c r="AH1130" s="2" t="str">
        <f>"9780789332721"</f>
        <v>9780789332721</v>
      </c>
      <c r="AI1130" s="1">
        <v>0.0</v>
      </c>
      <c r="AJ1130" s="1">
        <v>3.77</v>
      </c>
      <c r="AK1130" s="1" t="s">
        <v>2849</v>
      </c>
      <c r="AL1130" s="1" t="s">
        <v>28</v>
      </c>
      <c r="AM1130" s="1">
        <v>256.0</v>
      </c>
      <c r="AN1130" s="1">
        <v>2017.0</v>
      </c>
      <c r="AQ1130" s="3">
        <v>45138.0</v>
      </c>
      <c r="AR1130" s="1" t="s">
        <v>31</v>
      </c>
      <c r="AS1130" s="1" t="s">
        <v>5097</v>
      </c>
      <c r="AT1130" s="1" t="s">
        <v>31</v>
      </c>
      <c r="AX1130" s="1">
        <v>0.0</v>
      </c>
      <c r="AY1130" s="1">
        <v>0.0</v>
      </c>
    </row>
    <row r="1131" spans="20:51" ht="15.75" hidden="1">
      <c r="T1131" s="1">
        <v>13037.0</v>
      </c>
      <c r="U1131" s="1"/>
      <c r="V1131" s="1"/>
      <c r="W1131" s="1"/>
      <c r="X1131" s="1"/>
      <c r="Y1131" s="1" t="s">
        <v>5098</v>
      </c>
      <c r="Z1131" s="1" t="s">
        <v>56</v>
      </c>
      <c r="AA1131" s="1" t="s">
        <v>57</v>
      </c>
      <c r="AB1131" s="1"/>
      <c r="AC1131" s="1"/>
      <c r="AD1131" s="1"/>
      <c r="AE1131" s="1"/>
      <c r="AG1131" s="2" t="str">
        <f>"0140153195"</f>
        <v>0140153195</v>
      </c>
      <c r="AH1131" s="2" t="str">
        <f>"9780140153194"</f>
        <v>9780140153194</v>
      </c>
      <c r="AI1131" s="1">
        <v>0.0</v>
      </c>
      <c r="AJ1131" s="1">
        <v>3.86</v>
      </c>
      <c r="AK1131" s="1" t="s">
        <v>151</v>
      </c>
      <c r="AL1131" s="1" t="s">
        <v>28</v>
      </c>
      <c r="AM1131" s="1">
        <v>253.0</v>
      </c>
      <c r="AN1131" s="1">
        <v>1991.0</v>
      </c>
      <c r="AO1131" s="1">
        <v>1957.0</v>
      </c>
      <c r="AQ1131" s="3">
        <v>45137.0</v>
      </c>
      <c r="AR1131" s="1" t="s">
        <v>31</v>
      </c>
      <c r="AS1131" s="1" t="s">
        <v>5099</v>
      </c>
      <c r="AT1131" s="1" t="s">
        <v>31</v>
      </c>
      <c r="AX1131" s="1">
        <v>0.0</v>
      </c>
      <c r="AY1131" s="1">
        <v>0.0</v>
      </c>
    </row>
    <row r="1132" spans="20:51" ht="15.75" hidden="1">
      <c r="T1132" s="1">
        <v>3.6236136E7</v>
      </c>
      <c r="U1132" s="1"/>
      <c r="V1132" s="1"/>
      <c r="W1132" s="1"/>
      <c r="X1132" s="1"/>
      <c r="Y1132" s="1" t="s">
        <v>5100</v>
      </c>
      <c r="Z1132" s="1" t="s">
        <v>5101</v>
      </c>
      <c r="AA1132" s="1" t="s">
        <v>5102</v>
      </c>
      <c r="AB1132" s="1"/>
      <c r="AC1132" s="1"/>
      <c r="AD1132" s="1"/>
      <c r="AE1132" s="1"/>
      <c r="AF1132" s="1" t="s">
        <v>5103</v>
      </c>
      <c r="AG1132" s="2" t="str">
        <f>"0871404966"</f>
        <v>0871404966</v>
      </c>
      <c r="AH1132" s="2" t="str">
        <f>"9780871404961"</f>
        <v>9780871404961</v>
      </c>
      <c r="AI1132" s="1">
        <v>0.0</v>
      </c>
      <c r="AJ1132" s="1">
        <v>4.27</v>
      </c>
      <c r="AK1132" s="1" t="s">
        <v>958</v>
      </c>
      <c r="AL1132" s="1" t="s">
        <v>41</v>
      </c>
      <c r="AM1132" s="1">
        <v>960.0</v>
      </c>
      <c r="AN1132" s="1">
        <v>2018.0</v>
      </c>
      <c r="AQ1132" s="3">
        <v>45137.0</v>
      </c>
      <c r="AR1132" s="1" t="s">
        <v>31</v>
      </c>
      <c r="AS1132" s="1" t="s">
        <v>5104</v>
      </c>
      <c r="AT1132" s="1" t="s">
        <v>31</v>
      </c>
      <c r="AX1132" s="1">
        <v>0.0</v>
      </c>
      <c r="AY1132" s="1">
        <v>0.0</v>
      </c>
    </row>
    <row r="1133" spans="20:51" ht="15.75" hidden="1">
      <c r="T1133" s="1">
        <v>2.9875923E7</v>
      </c>
      <c r="U1133" s="1"/>
      <c r="V1133" s="1"/>
      <c r="W1133" s="1"/>
      <c r="X1133" s="1"/>
      <c r="Y1133" s="1" t="s">
        <v>5105</v>
      </c>
      <c r="Z1133" s="1" t="s">
        <v>5106</v>
      </c>
      <c r="AA1133" s="1" t="s">
        <v>5107</v>
      </c>
      <c r="AB1133" s="1"/>
      <c r="AC1133" s="1"/>
      <c r="AD1133" s="1"/>
      <c r="AE1133" s="1"/>
      <c r="AG1133" s="2" t="str">
        <f>"1555977626"</f>
        <v>1555977626</v>
      </c>
      <c r="AH1133" s="2" t="str">
        <f>"9781555977627"</f>
        <v>9781555977627</v>
      </c>
      <c r="AI1133" s="1">
        <v>0.0</v>
      </c>
      <c r="AJ1133" s="1">
        <v>3.86</v>
      </c>
      <c r="AK1133" s="1" t="s">
        <v>971</v>
      </c>
      <c r="AL1133" s="1" t="s">
        <v>28</v>
      </c>
      <c r="AM1133" s="1">
        <v>336.0</v>
      </c>
      <c r="AN1133" s="1">
        <v>2017.0</v>
      </c>
      <c r="AO1133" s="1">
        <v>2007.0</v>
      </c>
      <c r="AQ1133" s="3">
        <v>45137.0</v>
      </c>
      <c r="AR1133" s="1" t="s">
        <v>31</v>
      </c>
      <c r="AS1133" s="1" t="s">
        <v>5108</v>
      </c>
      <c r="AT1133" s="1" t="s">
        <v>31</v>
      </c>
      <c r="AX1133" s="1">
        <v>0.0</v>
      </c>
      <c r="AY1133" s="1">
        <v>0.0</v>
      </c>
    </row>
    <row r="1134" spans="20:51" ht="15.75" hidden="1">
      <c r="T1134" s="1">
        <v>1.1455485E7</v>
      </c>
      <c r="U1134" s="1"/>
      <c r="V1134" s="1"/>
      <c r="W1134" s="1"/>
      <c r="X1134" s="1"/>
      <c r="Y1134" s="1" t="s">
        <v>5109</v>
      </c>
      <c r="Z1134" s="1" t="s">
        <v>1701</v>
      </c>
      <c r="AA1134" s="1" t="s">
        <v>1702</v>
      </c>
      <c r="AB1134" s="1"/>
      <c r="AC1134" s="1"/>
      <c r="AD1134" s="1"/>
      <c r="AE1134" s="1"/>
      <c r="AF1134" s="1" t="s">
        <v>1703</v>
      </c>
      <c r="AG1134" s="2" t="str">
        <f>"0811217345"</f>
        <v>0811217345</v>
      </c>
      <c r="AH1134" s="2" t="str">
        <f>"9780811217347"</f>
        <v>9780811217347</v>
      </c>
      <c r="AI1134" s="1">
        <v>0.0</v>
      </c>
      <c r="AJ1134" s="1">
        <v>4.13</v>
      </c>
      <c r="AK1134" s="1" t="s">
        <v>95</v>
      </c>
      <c r="AL1134" s="1" t="s">
        <v>41</v>
      </c>
      <c r="AM1134" s="1">
        <v>274.0</v>
      </c>
      <c r="AN1134" s="1">
        <v>2012.0</v>
      </c>
      <c r="AO1134" s="1">
        <v>1985.0</v>
      </c>
      <c r="AQ1134" s="3">
        <v>45137.0</v>
      </c>
      <c r="AR1134" s="1" t="s">
        <v>31</v>
      </c>
      <c r="AS1134" s="1" t="s">
        <v>5110</v>
      </c>
      <c r="AT1134" s="1" t="s">
        <v>31</v>
      </c>
      <c r="AX1134" s="1">
        <v>0.0</v>
      </c>
      <c r="AY1134" s="1">
        <v>0.0</v>
      </c>
    </row>
    <row r="1135" spans="20:51" ht="15.75" hidden="1">
      <c r="T1135" s="1">
        <v>1585295.0</v>
      </c>
      <c r="U1135" s="1"/>
      <c r="V1135" s="1"/>
      <c r="W1135" s="1"/>
      <c r="X1135" s="1"/>
      <c r="Y1135" s="1" t="s">
        <v>5111</v>
      </c>
      <c r="Z1135" s="1" t="s">
        <v>5112</v>
      </c>
      <c r="AA1135" s="1" t="s">
        <v>5113</v>
      </c>
      <c r="AB1135" s="1"/>
      <c r="AC1135" s="1"/>
      <c r="AD1135" s="1"/>
      <c r="AE1135" s="1"/>
      <c r="AF1135" s="1" t="s">
        <v>5114</v>
      </c>
      <c r="AG1135" s="2" t="str">
        <f>"0899508669"</f>
        <v>0899508669</v>
      </c>
      <c r="AH1135" s="2" t="str">
        <f>"9780899508665"</f>
        <v>9780899508665</v>
      </c>
      <c r="AI1135" s="1">
        <v>0.0</v>
      </c>
      <c r="AJ1135" s="1">
        <v>4.0</v>
      </c>
      <c r="AK1135" s="1" t="s">
        <v>5115</v>
      </c>
      <c r="AL1135" s="1" t="s">
        <v>41</v>
      </c>
      <c r="AM1135" s="1">
        <v>242.0</v>
      </c>
      <c r="AN1135" s="1">
        <v>1993.0</v>
      </c>
      <c r="AO1135" s="1">
        <v>1993.0</v>
      </c>
      <c r="AQ1135" s="3">
        <v>45137.0</v>
      </c>
      <c r="AR1135" s="1" t="s">
        <v>31</v>
      </c>
      <c r="AS1135" s="1" t="s">
        <v>5116</v>
      </c>
      <c r="AT1135" s="1" t="s">
        <v>31</v>
      </c>
      <c r="AX1135" s="1">
        <v>0.0</v>
      </c>
      <c r="AY1135" s="1">
        <v>0.0</v>
      </c>
    </row>
    <row r="1136" spans="20:51" ht="15.75" hidden="1">
      <c r="T1136" s="1">
        <v>483110.0</v>
      </c>
      <c r="U1136" s="1"/>
      <c r="V1136" s="1"/>
      <c r="W1136" s="1"/>
      <c r="X1136" s="1"/>
      <c r="Y1136" s="1" t="s">
        <v>5117</v>
      </c>
      <c r="Z1136" s="1" t="s">
        <v>5118</v>
      </c>
      <c r="AA1136" s="1" t="s">
        <v>5119</v>
      </c>
      <c r="AB1136" s="1"/>
      <c r="AC1136" s="1"/>
      <c r="AD1136" s="1"/>
      <c r="AE1136" s="1"/>
      <c r="AF1136" s="1" t="s">
        <v>5120</v>
      </c>
      <c r="AG1136" s="2" t="str">
        <f>"1590170946"</f>
        <v>1590170946</v>
      </c>
      <c r="AH1136" s="2" t="str">
        <f>"9781590170946"</f>
        <v>9781590170946</v>
      </c>
      <c r="AI1136" s="1">
        <v>0.0</v>
      </c>
      <c r="AJ1136" s="1">
        <v>3.39</v>
      </c>
      <c r="AK1136" s="1" t="s">
        <v>77</v>
      </c>
      <c r="AL1136" s="1" t="s">
        <v>28</v>
      </c>
      <c r="AM1136" s="1">
        <v>272.0</v>
      </c>
      <c r="AN1136" s="1">
        <v>2004.0</v>
      </c>
      <c r="AO1136" s="1">
        <v>1966.0</v>
      </c>
      <c r="AQ1136" s="3">
        <v>45137.0</v>
      </c>
      <c r="AR1136" s="1" t="s">
        <v>31</v>
      </c>
      <c r="AS1136" s="1" t="s">
        <v>5121</v>
      </c>
      <c r="AT1136" s="1" t="s">
        <v>31</v>
      </c>
      <c r="AX1136" s="1">
        <v>0.0</v>
      </c>
      <c r="AY1136" s="1">
        <v>0.0</v>
      </c>
    </row>
    <row r="1137" spans="20:51" ht="15.75" hidden="1">
      <c r="T1137" s="1">
        <v>117565.0</v>
      </c>
      <c r="U1137" s="1"/>
      <c r="V1137" s="1"/>
      <c r="W1137" s="1"/>
      <c r="X1137" s="1"/>
      <c r="Y1137" s="1" t="s">
        <v>5122</v>
      </c>
      <c r="Z1137" s="1" t="s">
        <v>221</v>
      </c>
      <c r="AA1137" s="1" t="s">
        <v>222</v>
      </c>
      <c r="AB1137" s="1"/>
      <c r="AC1137" s="1"/>
      <c r="AD1137" s="1"/>
      <c r="AE1137" s="1"/>
      <c r="AG1137" s="2" t="str">
        <f>"0226106756"</f>
        <v>0226106756</v>
      </c>
      <c r="AH1137" s="2" t="str">
        <f>"9780226106755"</f>
        <v>9780226106755</v>
      </c>
      <c r="AI1137" s="1">
        <v>0.0</v>
      </c>
      <c r="AJ1137" s="1">
        <v>4.1</v>
      </c>
      <c r="AK1137" s="1" t="s">
        <v>5123</v>
      </c>
      <c r="AL1137" s="1" t="s">
        <v>28</v>
      </c>
      <c r="AM1137" s="1">
        <v>224.0</v>
      </c>
      <c r="AN1137" s="1">
        <v>1998.0</v>
      </c>
      <c r="AO1137" s="1">
        <v>1956.0</v>
      </c>
      <c r="AQ1137" s="3">
        <v>45137.0</v>
      </c>
      <c r="AR1137" s="1" t="s">
        <v>31</v>
      </c>
      <c r="AS1137" s="1" t="s">
        <v>5124</v>
      </c>
      <c r="AT1137" s="1" t="s">
        <v>31</v>
      </c>
      <c r="AX1137" s="1">
        <v>0.0</v>
      </c>
      <c r="AY1137" s="1">
        <v>0.0</v>
      </c>
    </row>
    <row r="1138" spans="20:51" ht="15.75" hidden="1">
      <c r="T1138" s="1">
        <v>6.1094787E7</v>
      </c>
      <c r="U1138" s="1"/>
      <c r="V1138" s="1"/>
      <c r="W1138" s="1"/>
      <c r="X1138" s="1"/>
      <c r="Y1138" s="1" t="s">
        <v>5125</v>
      </c>
      <c r="Z1138" s="1" t="s">
        <v>5126</v>
      </c>
      <c r="AA1138" s="1" t="s">
        <v>5127</v>
      </c>
      <c r="AB1138" s="1"/>
      <c r="AC1138" s="1"/>
      <c r="AD1138" s="1"/>
      <c r="AE1138" s="1"/>
      <c r="AG1138" s="2" t="str">
        <f t="shared" si="93" ref="AG1138:AH1138">""</f>
        <v/>
      </c>
      <c r="AH1138" s="2" t="str">
        <f t="shared" si="93"/>
        <v/>
      </c>
      <c r="AI1138" s="1">
        <v>0.0</v>
      </c>
      <c r="AJ1138" s="1">
        <v>4.21</v>
      </c>
      <c r="AK1138" s="1" t="s">
        <v>89</v>
      </c>
      <c r="AL1138" s="1" t="s">
        <v>59</v>
      </c>
      <c r="AM1138" s="1">
        <v>376.0</v>
      </c>
      <c r="AN1138" s="1">
        <v>2022.0</v>
      </c>
      <c r="AO1138" s="1">
        <v>2022.0</v>
      </c>
      <c r="AQ1138" s="3">
        <v>45137.0</v>
      </c>
      <c r="AR1138" s="1" t="s">
        <v>31</v>
      </c>
      <c r="AS1138" s="1" t="s">
        <v>5128</v>
      </c>
      <c r="AT1138" s="1" t="s">
        <v>31</v>
      </c>
      <c r="AX1138" s="1">
        <v>0.0</v>
      </c>
      <c r="AY1138" s="1">
        <v>0.0</v>
      </c>
    </row>
    <row r="1139" spans="20:51" ht="15.75" hidden="1">
      <c r="T1139" s="1">
        <v>232567.0</v>
      </c>
      <c r="U1139" s="1"/>
      <c r="V1139" s="1"/>
      <c r="W1139" s="1"/>
      <c r="X1139" s="1"/>
      <c r="Y1139" s="1" t="s">
        <v>5129</v>
      </c>
      <c r="Z1139" s="1" t="s">
        <v>5130</v>
      </c>
      <c r="AA1139" s="1" t="s">
        <v>5131</v>
      </c>
      <c r="AB1139" s="1"/>
      <c r="AC1139" s="1"/>
      <c r="AD1139" s="1"/>
      <c r="AE1139" s="1"/>
      <c r="AG1139" s="2" t="str">
        <f>"006090495X"</f>
        <v>006090495X</v>
      </c>
      <c r="AH1139" s="2" t="str">
        <f>"9780060904951"</f>
        <v>9780060904951</v>
      </c>
      <c r="AI1139" s="1">
        <v>0.0</v>
      </c>
      <c r="AJ1139" s="1">
        <v>4.07</v>
      </c>
      <c r="AK1139" s="1" t="s">
        <v>474</v>
      </c>
      <c r="AL1139" s="1" t="s">
        <v>28</v>
      </c>
      <c r="AM1139" s="1">
        <v>320.0</v>
      </c>
      <c r="AN1139" s="1">
        <v>1976.0</v>
      </c>
      <c r="AO1139" s="1">
        <v>1955.0</v>
      </c>
      <c r="AQ1139" s="3">
        <v>45137.0</v>
      </c>
      <c r="AR1139" s="1" t="s">
        <v>31</v>
      </c>
      <c r="AS1139" s="1" t="s">
        <v>5132</v>
      </c>
      <c r="AT1139" s="1" t="s">
        <v>31</v>
      </c>
      <c r="AX1139" s="1">
        <v>0.0</v>
      </c>
      <c r="AY1139" s="1">
        <v>0.0</v>
      </c>
    </row>
    <row r="1140" spans="20:51" ht="15.75" hidden="1">
      <c r="T1140" s="1">
        <v>90286.0</v>
      </c>
      <c r="U1140" s="1"/>
      <c r="V1140" s="1"/>
      <c r="W1140" s="1"/>
      <c r="X1140" s="1"/>
      <c r="Y1140" s="1" t="s">
        <v>5133</v>
      </c>
      <c r="Z1140" s="1" t="s">
        <v>5134</v>
      </c>
      <c r="AA1140" s="1" t="s">
        <v>5135</v>
      </c>
      <c r="AB1140" s="1"/>
      <c r="AC1140" s="1"/>
      <c r="AD1140" s="1"/>
      <c r="AE1140" s="1"/>
      <c r="AG1140" s="2" t="str">
        <f>"0028740173"</f>
        <v>0028740173</v>
      </c>
      <c r="AH1140" s="2" t="str">
        <f>"9780028740171"</f>
        <v>9780028740171</v>
      </c>
      <c r="AI1140" s="1">
        <v>0.0</v>
      </c>
      <c r="AJ1140" s="1">
        <v>3.96</v>
      </c>
      <c r="AK1140" s="1" t="s">
        <v>280</v>
      </c>
      <c r="AL1140" s="1" t="s">
        <v>28</v>
      </c>
      <c r="AM1140" s="1">
        <v>244.0</v>
      </c>
      <c r="AN1140" s="1">
        <v>1995.0</v>
      </c>
      <c r="AO1140" s="1">
        <v>1993.0</v>
      </c>
      <c r="AQ1140" s="3">
        <v>45137.0</v>
      </c>
      <c r="AR1140" s="1" t="s">
        <v>31</v>
      </c>
      <c r="AS1140" s="1" t="s">
        <v>5136</v>
      </c>
      <c r="AT1140" s="1" t="s">
        <v>31</v>
      </c>
      <c r="AX1140" s="1">
        <v>0.0</v>
      </c>
      <c r="AY1140" s="1">
        <v>0.0</v>
      </c>
    </row>
    <row r="1141" spans="20:51" ht="15.75" hidden="1">
      <c r="T1141" s="1">
        <v>2.6530322E7</v>
      </c>
      <c r="U1141" s="1"/>
      <c r="V1141" s="1"/>
      <c r="W1141" s="1"/>
      <c r="X1141" s="1"/>
      <c r="Y1141" s="1" t="s">
        <v>5137</v>
      </c>
      <c r="Z1141" s="1" t="s">
        <v>5138</v>
      </c>
      <c r="AA1141" s="1" t="s">
        <v>5139</v>
      </c>
      <c r="AB1141" s="1"/>
      <c r="AC1141" s="1"/>
      <c r="AD1141" s="1"/>
      <c r="AE1141" s="1"/>
      <c r="AG1141" s="2" t="str">
        <f>"0393246183"</f>
        <v>0393246183</v>
      </c>
      <c r="AH1141" s="2" t="str">
        <f>"9780393246186"</f>
        <v>9780393246186</v>
      </c>
      <c r="AI1141" s="1">
        <v>0.0</v>
      </c>
      <c r="AJ1141" s="1">
        <v>3.96</v>
      </c>
      <c r="AK1141" s="1" t="s">
        <v>113</v>
      </c>
      <c r="AL1141" s="1" t="s">
        <v>41</v>
      </c>
      <c r="AM1141" s="1">
        <v>340.0</v>
      </c>
      <c r="AN1141" s="1">
        <v>2016.0</v>
      </c>
      <c r="AO1141" s="1">
        <v>2016.0</v>
      </c>
      <c r="AQ1141" s="3">
        <v>45137.0</v>
      </c>
      <c r="AR1141" s="1" t="s">
        <v>31</v>
      </c>
      <c r="AS1141" s="1" t="s">
        <v>5140</v>
      </c>
      <c r="AT1141" s="1" t="s">
        <v>31</v>
      </c>
      <c r="AX1141" s="1">
        <v>0.0</v>
      </c>
      <c r="AY1141" s="1">
        <v>0.0</v>
      </c>
    </row>
    <row r="1142" spans="20:51" ht="15.75" hidden="1">
      <c r="T1142" s="1">
        <v>276249.0</v>
      </c>
      <c r="U1142" s="1"/>
      <c r="V1142" s="1"/>
      <c r="W1142" s="1"/>
      <c r="X1142" s="1"/>
      <c r="Y1142" s="1" t="s">
        <v>5141</v>
      </c>
      <c r="Z1142" s="1" t="s">
        <v>5142</v>
      </c>
      <c r="AA1142" s="1" t="s">
        <v>5143</v>
      </c>
      <c r="AB1142" s="1"/>
      <c r="AC1142" s="1"/>
      <c r="AD1142" s="1"/>
      <c r="AE1142" s="1"/>
      <c r="AG1142" s="2" t="str">
        <f>"0674598466"</f>
        <v>0674598466</v>
      </c>
      <c r="AH1142" s="2" t="str">
        <f>"9780674598461"</f>
        <v>9780674598461</v>
      </c>
      <c r="AI1142" s="1">
        <v>0.0</v>
      </c>
      <c r="AJ1142" s="1">
        <v>4.0</v>
      </c>
      <c r="AK1142" s="1" t="s">
        <v>107</v>
      </c>
      <c r="AL1142" s="1" t="s">
        <v>28</v>
      </c>
      <c r="AM1142" s="1">
        <v>192.0</v>
      </c>
      <c r="AN1142" s="1">
        <v>1980.0</v>
      </c>
      <c r="AO1142" s="1">
        <v>1980.0</v>
      </c>
      <c r="AQ1142" s="3">
        <v>45137.0</v>
      </c>
      <c r="AR1142" s="1" t="s">
        <v>31</v>
      </c>
      <c r="AS1142" s="1" t="s">
        <v>5144</v>
      </c>
      <c r="AT1142" s="1" t="s">
        <v>31</v>
      </c>
      <c r="AX1142" s="1">
        <v>0.0</v>
      </c>
      <c r="AY1142" s="1">
        <v>0.0</v>
      </c>
    </row>
    <row r="1143" spans="20:51" ht="15.75" hidden="1">
      <c r="T1143" s="1">
        <v>3.4137147E7</v>
      </c>
      <c r="U1143" s="1"/>
      <c r="V1143" s="1"/>
      <c r="W1143" s="1"/>
      <c r="X1143" s="1"/>
      <c r="Y1143" s="1" t="s">
        <v>5145</v>
      </c>
      <c r="Z1143" s="1" t="s">
        <v>5146</v>
      </c>
      <c r="AA1143" s="1" t="s">
        <v>5147</v>
      </c>
      <c r="AB1143" s="1"/>
      <c r="AC1143" s="1"/>
      <c r="AD1143" s="1"/>
      <c r="AE1143" s="1"/>
      <c r="AG1143" s="2" t="str">
        <f t="shared" si="94" ref="AG1143:AH1143">""</f>
        <v/>
      </c>
      <c r="AH1143" s="2" t="str">
        <f t="shared" si="94"/>
        <v/>
      </c>
      <c r="AI1143" s="1">
        <v>0.0</v>
      </c>
      <c r="AJ1143" s="1">
        <v>3.93</v>
      </c>
      <c r="AK1143" s="1" t="s">
        <v>5148</v>
      </c>
      <c r="AL1143" s="1" t="s">
        <v>41</v>
      </c>
      <c r="AM1143" s="1">
        <v>480.0</v>
      </c>
      <c r="AN1143" s="1">
        <v>2008.0</v>
      </c>
      <c r="AO1143" s="1">
        <v>2006.0</v>
      </c>
      <c r="AQ1143" s="3">
        <v>45136.0</v>
      </c>
      <c r="AR1143" s="1" t="s">
        <v>31</v>
      </c>
      <c r="AS1143" s="1" t="s">
        <v>5149</v>
      </c>
      <c r="AT1143" s="1" t="s">
        <v>31</v>
      </c>
      <c r="AX1143" s="1">
        <v>0.0</v>
      </c>
      <c r="AY1143" s="1">
        <v>0.0</v>
      </c>
    </row>
    <row r="1144" spans="20:51" ht="15.75" hidden="1">
      <c r="T1144" s="1">
        <v>2.7843368E7</v>
      </c>
      <c r="U1144" s="1"/>
      <c r="V1144" s="1"/>
      <c r="W1144" s="1"/>
      <c r="X1144" s="1"/>
      <c r="Y1144" s="1" t="s">
        <v>5150</v>
      </c>
      <c r="Z1144" s="1" t="s">
        <v>5151</v>
      </c>
      <c r="AA1144" s="1" t="s">
        <v>5152</v>
      </c>
      <c r="AB1144" s="1"/>
      <c r="AC1144" s="1"/>
      <c r="AD1144" s="1"/>
      <c r="AE1144" s="1"/>
      <c r="AG1144" s="2" t="str">
        <f>"0299278735"</f>
        <v>0299278735</v>
      </c>
      <c r="AH1144" s="2" t="str">
        <f>"9780299278731"</f>
        <v>9780299278731</v>
      </c>
      <c r="AI1144" s="1">
        <v>0.0</v>
      </c>
      <c r="AJ1144" s="1">
        <v>0.0</v>
      </c>
      <c r="AK1144" s="1" t="s">
        <v>5153</v>
      </c>
      <c r="AL1144" s="1" t="s">
        <v>59</v>
      </c>
      <c r="AM1144" s="1">
        <v>244.0</v>
      </c>
      <c r="AN1144" s="1">
        <v>2011.0</v>
      </c>
      <c r="AO1144" s="1">
        <v>2011.0</v>
      </c>
      <c r="AQ1144" s="3">
        <v>45136.0</v>
      </c>
      <c r="AR1144" s="1" t="s">
        <v>31</v>
      </c>
      <c r="AS1144" s="1" t="s">
        <v>5154</v>
      </c>
      <c r="AT1144" s="1" t="s">
        <v>31</v>
      </c>
      <c r="AX1144" s="1">
        <v>0.0</v>
      </c>
      <c r="AY1144" s="1">
        <v>0.0</v>
      </c>
    </row>
    <row r="1145" spans="20:51" ht="15.75" hidden="1">
      <c r="T1145" s="1">
        <v>5.6618625E7</v>
      </c>
      <c r="U1145" s="1"/>
      <c r="V1145" s="1"/>
      <c r="W1145" s="1"/>
      <c r="X1145" s="1"/>
      <c r="Y1145" s="1" t="s">
        <v>5155</v>
      </c>
      <c r="Z1145" s="1" t="s">
        <v>5156</v>
      </c>
      <c r="AA1145" s="1" t="s">
        <v>5157</v>
      </c>
      <c r="AB1145" s="1"/>
      <c r="AC1145" s="1"/>
      <c r="AD1145" s="1"/>
      <c r="AE1145" s="1"/>
      <c r="AF1145" s="1" t="s">
        <v>5158</v>
      </c>
      <c r="AG1145" s="2" t="str">
        <f>"1681375141"</f>
        <v>1681375141</v>
      </c>
      <c r="AH1145" s="2" t="str">
        <f>"9781681375144"</f>
        <v>9781681375144</v>
      </c>
      <c r="AI1145" s="1">
        <v>0.0</v>
      </c>
      <c r="AJ1145" s="1">
        <v>4.16</v>
      </c>
      <c r="AK1145" s="1" t="s">
        <v>671</v>
      </c>
      <c r="AL1145" s="1" t="s">
        <v>28</v>
      </c>
      <c r="AM1145" s="1">
        <v>400.0</v>
      </c>
      <c r="AN1145" s="1">
        <v>2022.0</v>
      </c>
      <c r="AO1145" s="1">
        <v>1946.0</v>
      </c>
      <c r="AQ1145" s="3">
        <v>45136.0</v>
      </c>
      <c r="AR1145" s="1" t="s">
        <v>31</v>
      </c>
      <c r="AS1145" s="1" t="s">
        <v>5159</v>
      </c>
      <c r="AT1145" s="1" t="s">
        <v>31</v>
      </c>
      <c r="AX1145" s="1">
        <v>0.0</v>
      </c>
      <c r="AY1145" s="1">
        <v>0.0</v>
      </c>
    </row>
    <row r="1146" spans="20:51" ht="15.75" hidden="1">
      <c r="T1146" s="1">
        <v>6.1107329E7</v>
      </c>
      <c r="U1146" s="1"/>
      <c r="V1146" s="1"/>
      <c r="W1146" s="1"/>
      <c r="X1146" s="1"/>
      <c r="Y1146" s="1" t="s">
        <v>5160</v>
      </c>
      <c r="Z1146" s="1" t="s">
        <v>5161</v>
      </c>
      <c r="AA1146" s="1" t="s">
        <v>5162</v>
      </c>
      <c r="AB1146" s="1"/>
      <c r="AC1146" s="1"/>
      <c r="AD1146" s="1"/>
      <c r="AE1146" s="1"/>
      <c r="AF1146" s="1" t="s">
        <v>5163</v>
      </c>
      <c r="AG1146" s="2" t="str">
        <f>"1939663881"</f>
        <v>1939663881</v>
      </c>
      <c r="AH1146" s="2" t="str">
        <f>"9781939663887"</f>
        <v>9781939663887</v>
      </c>
      <c r="AI1146" s="1">
        <v>0.0</v>
      </c>
      <c r="AJ1146" s="1">
        <v>4.21</v>
      </c>
      <c r="AK1146" s="1" t="s">
        <v>5164</v>
      </c>
      <c r="AL1146" s="1" t="s">
        <v>28</v>
      </c>
      <c r="AM1146" s="1">
        <v>208.0</v>
      </c>
      <c r="AN1146" s="1">
        <v>2022.0</v>
      </c>
      <c r="AO1146" s="1">
        <v>1988.0</v>
      </c>
      <c r="AQ1146" s="3">
        <v>45136.0</v>
      </c>
      <c r="AR1146" s="1" t="s">
        <v>31</v>
      </c>
      <c r="AS1146" s="1" t="s">
        <v>5165</v>
      </c>
      <c r="AT1146" s="1" t="s">
        <v>31</v>
      </c>
      <c r="AX1146" s="1">
        <v>0.0</v>
      </c>
      <c r="AY1146" s="1">
        <v>0.0</v>
      </c>
    </row>
    <row r="1147" spans="20:51" ht="15.75" hidden="1">
      <c r="T1147" s="1">
        <v>5.8878802E7</v>
      </c>
      <c r="U1147" s="1"/>
      <c r="V1147" s="1"/>
      <c r="W1147" s="1"/>
      <c r="X1147" s="1"/>
      <c r="Y1147" s="1" t="s">
        <v>5166</v>
      </c>
      <c r="Z1147" s="1" t="s">
        <v>5167</v>
      </c>
      <c r="AA1147" s="1" t="s">
        <v>5168</v>
      </c>
      <c r="AB1147" s="1"/>
      <c r="AC1147" s="1"/>
      <c r="AD1147" s="1"/>
      <c r="AE1147" s="1"/>
      <c r="AF1147" s="1" t="s">
        <v>5169</v>
      </c>
      <c r="AG1147" s="2" t="str">
        <f>"0472038966"</f>
        <v>0472038966</v>
      </c>
      <c r="AH1147" s="2" t="str">
        <f>"9780472038961"</f>
        <v>9780472038961</v>
      </c>
      <c r="AI1147" s="1">
        <v>0.0</v>
      </c>
      <c r="AJ1147" s="1">
        <v>4.71</v>
      </c>
      <c r="AK1147" s="1" t="s">
        <v>5170</v>
      </c>
      <c r="AL1147" s="1" t="s">
        <v>28</v>
      </c>
      <c r="AM1147" s="1">
        <v>816.0</v>
      </c>
      <c r="AN1147" s="1">
        <v>2022.0</v>
      </c>
      <c r="AQ1147" s="3">
        <v>45136.0</v>
      </c>
      <c r="AR1147" s="1" t="s">
        <v>31</v>
      </c>
      <c r="AS1147" s="1" t="s">
        <v>5171</v>
      </c>
      <c r="AT1147" s="1" t="s">
        <v>31</v>
      </c>
      <c r="AX1147" s="1">
        <v>0.0</v>
      </c>
      <c r="AY1147" s="1">
        <v>0.0</v>
      </c>
    </row>
    <row r="1148" spans="20:51" ht="15.75" hidden="1">
      <c r="T1148" s="1">
        <v>2598819.0</v>
      </c>
      <c r="U1148" s="1"/>
      <c r="V1148" s="1"/>
      <c r="W1148" s="1"/>
      <c r="X1148" s="1"/>
      <c r="Y1148" s="1" t="s">
        <v>5172</v>
      </c>
      <c r="Z1148" s="1" t="s">
        <v>5173</v>
      </c>
      <c r="AA1148" s="1" t="s">
        <v>5174</v>
      </c>
      <c r="AB1148" s="1"/>
      <c r="AC1148" s="1"/>
      <c r="AD1148" s="1"/>
      <c r="AE1148" s="1"/>
      <c r="AF1148" s="1" t="s">
        <v>5175</v>
      </c>
      <c r="AG1148" s="2" t="str">
        <f>"0520256433"</f>
        <v>0520256433</v>
      </c>
      <c r="AH1148" s="2" t="str">
        <f>"9780520256439"</f>
        <v>9780520256439</v>
      </c>
      <c r="AI1148" s="1">
        <v>0.0</v>
      </c>
      <c r="AJ1148" s="1">
        <v>4.18</v>
      </c>
      <c r="AK1148" s="1" t="s">
        <v>1306</v>
      </c>
      <c r="AL1148" s="1" t="s">
        <v>28</v>
      </c>
      <c r="AM1148" s="1">
        <v>254.0</v>
      </c>
      <c r="AN1148" s="1">
        <v>2008.0</v>
      </c>
      <c r="AO1148" s="1">
        <v>1993.0</v>
      </c>
      <c r="AQ1148" s="3">
        <v>45136.0</v>
      </c>
      <c r="AR1148" s="1" t="s">
        <v>31</v>
      </c>
      <c r="AS1148" s="1" t="s">
        <v>5176</v>
      </c>
      <c r="AT1148" s="1" t="s">
        <v>31</v>
      </c>
      <c r="AX1148" s="1">
        <v>0.0</v>
      </c>
      <c r="AY1148" s="1">
        <v>0.0</v>
      </c>
    </row>
    <row r="1149" spans="20:51" ht="15.75" hidden="1">
      <c r="T1149" s="1">
        <v>15962.0</v>
      </c>
      <c r="U1149" s="1"/>
      <c r="V1149" s="1"/>
      <c r="W1149" s="1"/>
      <c r="X1149" s="1"/>
      <c r="Y1149" s="1" t="s">
        <v>5177</v>
      </c>
      <c r="Z1149" s="1" t="s">
        <v>5178</v>
      </c>
      <c r="AA1149" s="1" t="s">
        <v>5179</v>
      </c>
      <c r="AB1149" s="1"/>
      <c r="AC1149" s="1"/>
      <c r="AD1149" s="1"/>
      <c r="AE1149" s="1"/>
      <c r="AG1149" s="2" t="str">
        <f>"0452265819"</f>
        <v>0452265819</v>
      </c>
      <c r="AH1149" s="2" t="str">
        <f>"9780452265813"</f>
        <v>9780452265813</v>
      </c>
      <c r="AI1149" s="1">
        <v>0.0</v>
      </c>
      <c r="AJ1149" s="1">
        <v>3.89</v>
      </c>
      <c r="AK1149" s="1" t="s">
        <v>721</v>
      </c>
      <c r="AL1149" s="1" t="s">
        <v>28</v>
      </c>
      <c r="AM1149" s="1">
        <v>416.0</v>
      </c>
      <c r="AN1149" s="1">
        <v>1991.0</v>
      </c>
      <c r="AO1149" s="1">
        <v>1990.0</v>
      </c>
      <c r="AQ1149" s="3">
        <v>45135.0</v>
      </c>
      <c r="AR1149" s="1" t="s">
        <v>31</v>
      </c>
      <c r="AS1149" s="1" t="s">
        <v>5180</v>
      </c>
      <c r="AT1149" s="1" t="s">
        <v>31</v>
      </c>
      <c r="AX1149" s="1">
        <v>0.0</v>
      </c>
      <c r="AY1149" s="1">
        <v>0.0</v>
      </c>
    </row>
    <row r="1150" spans="20:51" ht="15.75" hidden="1">
      <c r="T1150" s="1">
        <v>5.0202953E7</v>
      </c>
      <c r="U1150" s="1"/>
      <c r="V1150" s="1"/>
      <c r="W1150" s="1"/>
      <c r="X1150" s="1"/>
      <c r="Y1150" s="1" t="s">
        <v>5181</v>
      </c>
      <c r="Z1150" s="1" t="s">
        <v>5182</v>
      </c>
      <c r="AA1150" s="1" t="s">
        <v>5183</v>
      </c>
      <c r="AB1150" s="1"/>
      <c r="AC1150" s="1"/>
      <c r="AD1150" s="1"/>
      <c r="AE1150" s="1"/>
      <c r="AG1150" s="2" t="str">
        <f>"163557563X"</f>
        <v>163557563X</v>
      </c>
      <c r="AH1150" s="2" t="str">
        <f>"9781635575637"</f>
        <v>9781635575637</v>
      </c>
      <c r="AI1150" s="1">
        <v>0.0</v>
      </c>
      <c r="AJ1150" s="1">
        <v>4.23</v>
      </c>
      <c r="AK1150" s="1" t="s">
        <v>5184</v>
      </c>
      <c r="AL1150" s="1" t="s">
        <v>41</v>
      </c>
      <c r="AM1150" s="1">
        <v>272.0</v>
      </c>
      <c r="AN1150" s="1">
        <v>2020.0</v>
      </c>
      <c r="AO1150" s="1">
        <v>2020.0</v>
      </c>
      <c r="AQ1150" s="3">
        <v>45134.0</v>
      </c>
      <c r="AR1150" s="1" t="s">
        <v>31</v>
      </c>
      <c r="AS1150" s="1" t="s">
        <v>5185</v>
      </c>
      <c r="AT1150" s="1" t="s">
        <v>31</v>
      </c>
      <c r="AX1150" s="1">
        <v>0.0</v>
      </c>
      <c r="AY1150" s="1">
        <v>0.0</v>
      </c>
    </row>
    <row r="1151" spans="20:51" ht="15.75" hidden="1">
      <c r="T1151" s="1">
        <v>1025695.0</v>
      </c>
      <c r="U1151" s="1"/>
      <c r="V1151" s="1"/>
      <c r="W1151" s="1"/>
      <c r="X1151" s="1"/>
      <c r="Y1151" s="1" t="s">
        <v>5186</v>
      </c>
      <c r="Z1151" s="1" t="s">
        <v>5187</v>
      </c>
      <c r="AA1151" s="1" t="s">
        <v>5188</v>
      </c>
      <c r="AB1151" s="1"/>
      <c r="AC1151" s="1"/>
      <c r="AD1151" s="1"/>
      <c r="AE1151" s="1"/>
      <c r="AG1151" s="2" t="str">
        <f>"0521607264"</f>
        <v>0521607264</v>
      </c>
      <c r="AH1151" s="2" t="str">
        <f>"9780521607261"</f>
        <v>9780521607261</v>
      </c>
      <c r="AI1151" s="1">
        <v>0.0</v>
      </c>
      <c r="AJ1151" s="1">
        <v>4.0</v>
      </c>
      <c r="AK1151" s="1" t="s">
        <v>605</v>
      </c>
      <c r="AL1151" s="1" t="s">
        <v>28</v>
      </c>
      <c r="AM1151" s="1">
        <v>554.0</v>
      </c>
      <c r="AN1151" s="1">
        <v>2008.0</v>
      </c>
      <c r="AO1151" s="1">
        <v>2007.0</v>
      </c>
      <c r="AQ1151" s="3">
        <v>45134.0</v>
      </c>
      <c r="AR1151" s="1" t="s">
        <v>31</v>
      </c>
      <c r="AS1151" s="1" t="s">
        <v>5189</v>
      </c>
      <c r="AT1151" s="1" t="s">
        <v>31</v>
      </c>
      <c r="AX1151" s="1">
        <v>0.0</v>
      </c>
      <c r="AY1151" s="1">
        <v>0.0</v>
      </c>
    </row>
    <row r="1152" spans="20:51" ht="15.75" hidden="1">
      <c r="T1152" s="1">
        <v>2.113609E7</v>
      </c>
      <c r="U1152" s="1"/>
      <c r="V1152" s="1"/>
      <c r="W1152" s="1"/>
      <c r="X1152" s="1"/>
      <c r="Y1152" s="1" t="s">
        <v>5190</v>
      </c>
      <c r="Z1152" s="1" t="s">
        <v>5175</v>
      </c>
      <c r="AA1152" s="1" t="s">
        <v>5191</v>
      </c>
      <c r="AB1152" s="1"/>
      <c r="AC1152" s="1"/>
      <c r="AD1152" s="1"/>
      <c r="AE1152" s="1"/>
      <c r="AG1152" s="2" t="str">
        <f t="shared" si="95" ref="AG1152:AH1152">""</f>
        <v/>
      </c>
      <c r="AH1152" s="2" t="str">
        <f t="shared" si="95"/>
        <v/>
      </c>
      <c r="AI1152" s="1">
        <v>0.0</v>
      </c>
      <c r="AJ1152" s="1">
        <v>3.93</v>
      </c>
      <c r="AK1152" s="1" t="s">
        <v>605</v>
      </c>
      <c r="AL1152" s="1" t="s">
        <v>59</v>
      </c>
      <c r="AM1152" s="1">
        <v>472.0</v>
      </c>
      <c r="AN1152" s="1">
        <v>1999.0</v>
      </c>
      <c r="AO1152" s="1">
        <v>1995.0</v>
      </c>
      <c r="AQ1152" s="3">
        <v>45134.0</v>
      </c>
      <c r="AR1152" s="1" t="s">
        <v>31</v>
      </c>
      <c r="AS1152" s="1" t="s">
        <v>5192</v>
      </c>
      <c r="AT1152" s="1" t="s">
        <v>31</v>
      </c>
      <c r="AX1152" s="1">
        <v>0.0</v>
      </c>
      <c r="AY1152" s="1">
        <v>0.0</v>
      </c>
    </row>
    <row r="1153" spans="20:51" ht="15.75" hidden="1">
      <c r="T1153" s="1">
        <v>6.0470412E7</v>
      </c>
      <c r="U1153" s="1"/>
      <c r="V1153" s="1"/>
      <c r="W1153" s="1"/>
      <c r="X1153" s="1"/>
      <c r="Y1153" s="1" t="s">
        <v>5193</v>
      </c>
      <c r="Z1153" s="1" t="s">
        <v>5194</v>
      </c>
      <c r="AA1153" s="1" t="s">
        <v>5195</v>
      </c>
      <c r="AB1153" s="1"/>
      <c r="AC1153" s="1"/>
      <c r="AD1153" s="1"/>
      <c r="AE1153" s="1"/>
      <c r="AF1153" s="1" t="s">
        <v>5196</v>
      </c>
      <c r="AG1153" s="2" t="str">
        <f>"0190648317"</f>
        <v>0190648317</v>
      </c>
      <c r="AH1153" s="2" t="str">
        <f>"9780190648312"</f>
        <v>9780190648312</v>
      </c>
      <c r="AI1153" s="1">
        <v>0.0</v>
      </c>
      <c r="AJ1153" s="1">
        <v>0.0</v>
      </c>
      <c r="AK1153" s="1" t="s">
        <v>214</v>
      </c>
      <c r="AL1153" s="1" t="s">
        <v>41</v>
      </c>
      <c r="AM1153" s="1">
        <v>624.0</v>
      </c>
      <c r="AN1153" s="1">
        <v>2022.0</v>
      </c>
      <c r="AQ1153" s="3">
        <v>45134.0</v>
      </c>
      <c r="AR1153" s="1" t="s">
        <v>31</v>
      </c>
      <c r="AS1153" s="1" t="s">
        <v>5197</v>
      </c>
      <c r="AT1153" s="1" t="s">
        <v>31</v>
      </c>
      <c r="AX1153" s="1">
        <v>0.0</v>
      </c>
      <c r="AY1153" s="1">
        <v>0.0</v>
      </c>
    </row>
    <row r="1154" spans="20:51" ht="15.75" hidden="1">
      <c r="T1154" s="1">
        <v>1.9489891E7</v>
      </c>
      <c r="U1154" s="1"/>
      <c r="V1154" s="1"/>
      <c r="W1154" s="1"/>
      <c r="X1154" s="1"/>
      <c r="Y1154" s="1" t="s">
        <v>5198</v>
      </c>
      <c r="Z1154" s="1" t="s">
        <v>498</v>
      </c>
      <c r="AA1154" s="1" t="s">
        <v>499</v>
      </c>
      <c r="AB1154" s="1"/>
      <c r="AC1154" s="1"/>
      <c r="AD1154" s="1"/>
      <c r="AE1154" s="1"/>
      <c r="AF1154" s="1" t="s">
        <v>5199</v>
      </c>
      <c r="AG1154" s="2" t="str">
        <f t="shared" si="96" ref="AG1154:AH1154">""</f>
        <v/>
      </c>
      <c r="AH1154" s="2" t="str">
        <f t="shared" si="96"/>
        <v/>
      </c>
      <c r="AI1154" s="1">
        <v>0.0</v>
      </c>
      <c r="AJ1154" s="1">
        <v>3.97</v>
      </c>
      <c r="AK1154" s="1" t="s">
        <v>5200</v>
      </c>
      <c r="AL1154" s="1" t="s">
        <v>59</v>
      </c>
      <c r="AM1154" s="1">
        <v>247.0</v>
      </c>
      <c r="AN1154" s="1">
        <v>2012.0</v>
      </c>
      <c r="AO1154" s="1">
        <v>2007.0</v>
      </c>
      <c r="AQ1154" s="3">
        <v>45134.0</v>
      </c>
      <c r="AR1154" s="1" t="s">
        <v>31</v>
      </c>
      <c r="AS1154" s="1" t="s">
        <v>5201</v>
      </c>
      <c r="AT1154" s="1" t="s">
        <v>31</v>
      </c>
      <c r="AX1154" s="1">
        <v>0.0</v>
      </c>
      <c r="AY1154" s="1">
        <v>0.0</v>
      </c>
    </row>
    <row r="1155" spans="20:51" ht="15.75" hidden="1">
      <c r="T1155" s="1">
        <v>6.1361681E7</v>
      </c>
      <c r="U1155" s="1"/>
      <c r="V1155" s="1"/>
      <c r="W1155" s="1"/>
      <c r="X1155" s="1"/>
      <c r="Y1155" s="1" t="s">
        <v>5202</v>
      </c>
      <c r="Z1155" s="1" t="s">
        <v>5203</v>
      </c>
      <c r="AA1155" s="1" t="s">
        <v>5204</v>
      </c>
      <c r="AB1155" s="1"/>
      <c r="AC1155" s="1"/>
      <c r="AD1155" s="1"/>
      <c r="AE1155" s="1"/>
      <c r="AG1155" s="2" t="str">
        <f>"1728268230"</f>
        <v>1728268230</v>
      </c>
      <c r="AH1155" s="2" t="str">
        <f>"9781728268231"</f>
        <v>9781728268231</v>
      </c>
      <c r="AI1155" s="1">
        <v>0.0</v>
      </c>
      <c r="AJ1155" s="1">
        <v>4.28</v>
      </c>
      <c r="AK1155" s="1" t="s">
        <v>5205</v>
      </c>
      <c r="AL1155" s="1" t="s">
        <v>41</v>
      </c>
      <c r="AM1155" s="1">
        <v>448.0</v>
      </c>
      <c r="AN1155" s="1">
        <v>2023.0</v>
      </c>
      <c r="AO1155" s="1">
        <v>2023.0</v>
      </c>
      <c r="AQ1155" s="3">
        <v>45132.0</v>
      </c>
      <c r="AR1155" s="1" t="s">
        <v>31</v>
      </c>
      <c r="AS1155" s="1" t="s">
        <v>5206</v>
      </c>
      <c r="AT1155" s="1" t="s">
        <v>31</v>
      </c>
      <c r="AX1155" s="1">
        <v>0.0</v>
      </c>
      <c r="AY1155" s="1">
        <v>0.0</v>
      </c>
    </row>
    <row r="1156" spans="20:51" ht="15.75" hidden="1">
      <c r="T1156" s="1">
        <v>238155.0</v>
      </c>
      <c r="U1156" s="1"/>
      <c r="V1156" s="1"/>
      <c r="W1156" s="1"/>
      <c r="X1156" s="1"/>
      <c r="Y1156" s="1" t="s">
        <v>5207</v>
      </c>
      <c r="Z1156" s="1" t="s">
        <v>4301</v>
      </c>
      <c r="AA1156" s="1" t="s">
        <v>4302</v>
      </c>
      <c r="AB1156" s="1"/>
      <c r="AC1156" s="1"/>
      <c r="AD1156" s="1"/>
      <c r="AE1156" s="1"/>
      <c r="AG1156" s="2" t="str">
        <f>"0525475281"</f>
        <v>0525475281</v>
      </c>
      <c r="AH1156" s="2" t="str">
        <f>"9780525475286"</f>
        <v>9780525475286</v>
      </c>
      <c r="AI1156" s="1">
        <v>0.0</v>
      </c>
      <c r="AJ1156" s="1">
        <v>3.24</v>
      </c>
      <c r="AK1156" s="1" t="s">
        <v>5208</v>
      </c>
      <c r="AL1156" s="1" t="s">
        <v>28</v>
      </c>
      <c r="AM1156" s="1">
        <v>144.0</v>
      </c>
      <c r="AN1156" s="1">
        <v>1972.0</v>
      </c>
      <c r="AO1156" s="1">
        <v>1967.0</v>
      </c>
      <c r="AQ1156" s="3">
        <v>43972.0</v>
      </c>
      <c r="AR1156" s="1" t="s">
        <v>31</v>
      </c>
      <c r="AS1156" s="1" t="s">
        <v>5209</v>
      </c>
      <c r="AT1156" s="1" t="s">
        <v>31</v>
      </c>
      <c r="AX1156" s="1">
        <v>0.0</v>
      </c>
      <c r="AY1156" s="1">
        <v>0.0</v>
      </c>
    </row>
    <row r="1157" spans="20:51" ht="15.75" hidden="1">
      <c r="T1157" s="1">
        <v>1.2401695E7</v>
      </c>
      <c r="U1157" s="1"/>
      <c r="V1157" s="1"/>
      <c r="W1157" s="1"/>
      <c r="X1157" s="1"/>
      <c r="Y1157" s="1" t="s">
        <v>5210</v>
      </c>
      <c r="Z1157" s="1" t="s">
        <v>5211</v>
      </c>
      <c r="AA1157" s="1" t="s">
        <v>5212</v>
      </c>
      <c r="AB1157" s="1"/>
      <c r="AC1157" s="1"/>
      <c r="AD1157" s="1"/>
      <c r="AE1157" s="1"/>
      <c r="AG1157" s="2" t="str">
        <f>"1250002494"</f>
        <v>1250002494</v>
      </c>
      <c r="AH1157" s="2" t="str">
        <f>"9781250002495"</f>
        <v>9781250002495</v>
      </c>
      <c r="AI1157" s="1">
        <v>0.0</v>
      </c>
      <c r="AJ1157" s="1">
        <v>3.71</v>
      </c>
      <c r="AK1157" s="1" t="s">
        <v>945</v>
      </c>
      <c r="AL1157" s="1" t="s">
        <v>28</v>
      </c>
      <c r="AM1157" s="1">
        <v>384.0</v>
      </c>
      <c r="AN1157" s="1">
        <v>2012.0</v>
      </c>
      <c r="AQ1157" s="4">
        <v>44480.0</v>
      </c>
      <c r="AR1157" s="1" t="s">
        <v>31</v>
      </c>
      <c r="AS1157" s="1" t="s">
        <v>5213</v>
      </c>
      <c r="AT1157" s="1" t="s">
        <v>31</v>
      </c>
      <c r="AX1157" s="1">
        <v>0.0</v>
      </c>
      <c r="AY1157" s="1">
        <v>0.0</v>
      </c>
    </row>
    <row r="1158" spans="20:51" ht="15.75" hidden="1">
      <c r="T1158" s="1">
        <v>52350.0</v>
      </c>
      <c r="U1158" s="1"/>
      <c r="V1158" s="1"/>
      <c r="W1158" s="1"/>
      <c r="X1158" s="1"/>
      <c r="Y1158" s="1" t="s">
        <v>5214</v>
      </c>
      <c r="Z1158" s="1" t="s">
        <v>1936</v>
      </c>
      <c r="AA1158" s="1" t="s">
        <v>1937</v>
      </c>
      <c r="AB1158" s="1"/>
      <c r="AC1158" s="1"/>
      <c r="AD1158" s="1"/>
      <c r="AE1158" s="1"/>
      <c r="AF1158" s="1" t="s">
        <v>5215</v>
      </c>
      <c r="AG1158" s="2" t="str">
        <f>"0060080841"</f>
        <v>0060080841</v>
      </c>
      <c r="AH1158" s="2" t="str">
        <f>"9780060080846"</f>
        <v>9780060080846</v>
      </c>
      <c r="AI1158" s="1">
        <v>0.0</v>
      </c>
      <c r="AJ1158" s="1">
        <v>3.83</v>
      </c>
      <c r="AK1158" s="1" t="s">
        <v>5216</v>
      </c>
      <c r="AL1158" s="1" t="s">
        <v>28</v>
      </c>
      <c r="AM1158" s="1">
        <v>144.0</v>
      </c>
      <c r="AN1158" s="1">
        <v>2002.0</v>
      </c>
      <c r="AO1158" s="1">
        <v>1972.0</v>
      </c>
      <c r="AQ1158" s="4">
        <v>44859.0</v>
      </c>
      <c r="AR1158" s="1" t="s">
        <v>31</v>
      </c>
      <c r="AS1158" s="1" t="s">
        <v>5217</v>
      </c>
      <c r="AT1158" s="1" t="s">
        <v>31</v>
      </c>
      <c r="AX1158" s="1">
        <v>0.0</v>
      </c>
      <c r="AY1158" s="1">
        <v>0.0</v>
      </c>
    </row>
    <row r="1159" spans="20:51" ht="15.75" hidden="1">
      <c r="T1159" s="1">
        <v>567610.0</v>
      </c>
      <c r="U1159" s="1"/>
      <c r="V1159" s="1"/>
      <c r="W1159" s="1"/>
      <c r="X1159" s="1"/>
      <c r="Y1159" s="1" t="s">
        <v>5218</v>
      </c>
      <c r="Z1159" s="1" t="s">
        <v>5219</v>
      </c>
      <c r="AA1159" s="1" t="s">
        <v>5220</v>
      </c>
      <c r="AB1159" s="1"/>
      <c r="AC1159" s="1"/>
      <c r="AD1159" s="1"/>
      <c r="AE1159" s="1"/>
      <c r="AF1159" s="1" t="s">
        <v>5221</v>
      </c>
      <c r="AG1159" s="2" t="str">
        <f t="shared" si="97" ref="AG1159:AH1159">""</f>
        <v/>
      </c>
      <c r="AH1159" s="2" t="str">
        <f t="shared" si="97"/>
        <v/>
      </c>
      <c r="AI1159" s="1">
        <v>0.0</v>
      </c>
      <c r="AJ1159" s="1">
        <v>3.98</v>
      </c>
      <c r="AK1159" s="1" t="s">
        <v>5222</v>
      </c>
      <c r="AL1159" s="1" t="s">
        <v>28</v>
      </c>
      <c r="AM1159" s="1">
        <v>426.0</v>
      </c>
      <c r="AN1159" s="1">
        <v>1972.0</v>
      </c>
      <c r="AO1159" s="1">
        <v>1940.0</v>
      </c>
      <c r="AQ1159" s="3">
        <v>43934.0</v>
      </c>
      <c r="AR1159" s="1" t="s">
        <v>5223</v>
      </c>
      <c r="AS1159" s="1" t="s">
        <v>5224</v>
      </c>
      <c r="AT1159" s="1" t="s">
        <v>31</v>
      </c>
      <c r="AX1159" s="1">
        <v>0.0</v>
      </c>
      <c r="AY1159" s="1">
        <v>0.0</v>
      </c>
    </row>
    <row r="1160" spans="20:51" ht="15.75" hidden="1">
      <c r="T1160" s="1">
        <v>429983.0</v>
      </c>
      <c r="U1160" s="1"/>
      <c r="V1160" s="1"/>
      <c r="W1160" s="1"/>
      <c r="X1160" s="1"/>
      <c r="Y1160" s="1" t="s">
        <v>5225</v>
      </c>
      <c r="Z1160" s="1" t="s">
        <v>1583</v>
      </c>
      <c r="AA1160" s="1" t="s">
        <v>1584</v>
      </c>
      <c r="AB1160" s="1"/>
      <c r="AC1160" s="1"/>
      <c r="AD1160" s="1"/>
      <c r="AE1160" s="1"/>
      <c r="AF1160" s="1" t="s">
        <v>5226</v>
      </c>
      <c r="AG1160" s="2" t="str">
        <f>"0060168358"</f>
        <v>0060168358</v>
      </c>
      <c r="AH1160" s="2" t="str">
        <f>"9780060168353"</f>
        <v>9780060168353</v>
      </c>
      <c r="AI1160" s="1">
        <v>0.0</v>
      </c>
      <c r="AJ1160" s="1">
        <v>4.25</v>
      </c>
      <c r="AK1160" s="1" t="s">
        <v>5227</v>
      </c>
      <c r="AL1160" s="1" t="s">
        <v>28</v>
      </c>
      <c r="AM1160" s="1">
        <v>250.0</v>
      </c>
      <c r="AN1160" s="1">
        <v>1992.0</v>
      </c>
      <c r="AO1160" s="1">
        <v>1979.0</v>
      </c>
      <c r="AQ1160" s="3">
        <v>45129.0</v>
      </c>
      <c r="AR1160" s="1" t="s">
        <v>31</v>
      </c>
      <c r="AS1160" s="1" t="s">
        <v>5228</v>
      </c>
      <c r="AT1160" s="1" t="s">
        <v>31</v>
      </c>
      <c r="AX1160" s="1">
        <v>0.0</v>
      </c>
      <c r="AY1160" s="1">
        <v>0.0</v>
      </c>
    </row>
    <row r="1161" spans="20:51" ht="15.75" hidden="1">
      <c r="T1161" s="1">
        <v>10530.0</v>
      </c>
      <c r="U1161" s="1"/>
      <c r="V1161" s="1"/>
      <c r="W1161" s="1"/>
      <c r="X1161" s="1"/>
      <c r="Y1161" s="1" t="s">
        <v>5229</v>
      </c>
      <c r="Z1161" s="1" t="s">
        <v>3049</v>
      </c>
      <c r="AA1161" s="1" t="s">
        <v>3050</v>
      </c>
      <c r="AB1161" s="1"/>
      <c r="AC1161" s="1"/>
      <c r="AD1161" s="1"/>
      <c r="AE1161" s="1"/>
      <c r="AG1161" s="2" t="str">
        <f>"0674810511"</f>
        <v>0674810511</v>
      </c>
      <c r="AH1161" s="2" t="str">
        <f>"9780674810518"</f>
        <v>9780674810518</v>
      </c>
      <c r="AI1161" s="1">
        <v>0.0</v>
      </c>
      <c r="AJ1161" s="1">
        <v>4.14</v>
      </c>
      <c r="AK1161" s="1" t="s">
        <v>107</v>
      </c>
      <c r="AL1161" s="1" t="s">
        <v>28</v>
      </c>
      <c r="AM1161" s="1">
        <v>160.0</v>
      </c>
      <c r="AN1161" s="1">
        <v>1998.0</v>
      </c>
      <c r="AO1161" s="1">
        <v>1994.0</v>
      </c>
      <c r="AQ1161" s="3">
        <v>45129.0</v>
      </c>
      <c r="AR1161" s="1" t="s">
        <v>5223</v>
      </c>
      <c r="AS1161" s="1" t="s">
        <v>5230</v>
      </c>
      <c r="AT1161" s="1" t="s">
        <v>31</v>
      </c>
      <c r="AX1161" s="1">
        <v>0.0</v>
      </c>
      <c r="AY1161" s="1">
        <v>0.0</v>
      </c>
    </row>
    <row r="1162" spans="20:51" ht="15.75" hidden="1">
      <c r="T1162" s="1">
        <v>249203.0</v>
      </c>
      <c r="U1162" s="1"/>
      <c r="V1162" s="1"/>
      <c r="W1162" s="1"/>
      <c r="X1162" s="1"/>
      <c r="Y1162" s="1" t="s">
        <v>5231</v>
      </c>
      <c r="Z1162" s="1" t="s">
        <v>5232</v>
      </c>
      <c r="AA1162" s="1" t="s">
        <v>5233</v>
      </c>
      <c r="AB1162" s="1"/>
      <c r="AC1162" s="1"/>
      <c r="AD1162" s="1"/>
      <c r="AE1162" s="1"/>
      <c r="AG1162" s="2" t="str">
        <f>"0151012512"</f>
        <v>0151012512</v>
      </c>
      <c r="AH1162" s="2" t="str">
        <f>"9780151012510"</f>
        <v>9780151012510</v>
      </c>
      <c r="AI1162" s="1">
        <v>0.0</v>
      </c>
      <c r="AJ1162" s="1">
        <v>3.88</v>
      </c>
      <c r="AK1162" s="1" t="s">
        <v>2685</v>
      </c>
      <c r="AL1162" s="1" t="s">
        <v>41</v>
      </c>
      <c r="AM1162" s="1">
        <v>341.0</v>
      </c>
      <c r="AN1162" s="1">
        <v>2007.0</v>
      </c>
      <c r="AO1162" s="1">
        <v>2007.0</v>
      </c>
      <c r="AQ1162" s="3">
        <v>45129.0</v>
      </c>
      <c r="AR1162" s="1" t="s">
        <v>5223</v>
      </c>
      <c r="AS1162" s="1" t="s">
        <v>5234</v>
      </c>
      <c r="AT1162" s="1" t="s">
        <v>31</v>
      </c>
      <c r="AX1162" s="1">
        <v>0.0</v>
      </c>
      <c r="AY1162" s="1">
        <v>0.0</v>
      </c>
    </row>
    <row r="1163" spans="20:51" ht="15.75" hidden="1">
      <c r="T1163" s="1">
        <v>204011.0</v>
      </c>
      <c r="U1163" s="1"/>
      <c r="V1163" s="1"/>
      <c r="W1163" s="1"/>
      <c r="X1163" s="1"/>
      <c r="Y1163" s="1" t="s">
        <v>5235</v>
      </c>
      <c r="Z1163" s="1" t="s">
        <v>5236</v>
      </c>
      <c r="AA1163" s="1" t="s">
        <v>5237</v>
      </c>
      <c r="AB1163" s="1"/>
      <c r="AC1163" s="1"/>
      <c r="AD1163" s="1"/>
      <c r="AE1163" s="1"/>
      <c r="AF1163" s="1" t="s">
        <v>5238</v>
      </c>
      <c r="AG1163" s="2" t="str">
        <f>"0822310902"</f>
        <v>0822310902</v>
      </c>
      <c r="AH1163" s="2" t="str">
        <f>"9780822310907"</f>
        <v>9780822310907</v>
      </c>
      <c r="AI1163" s="1">
        <v>0.0</v>
      </c>
      <c r="AJ1163" s="1">
        <v>4.0</v>
      </c>
      <c r="AK1163" s="1" t="s">
        <v>5239</v>
      </c>
      <c r="AL1163" s="1" t="s">
        <v>28</v>
      </c>
      <c r="AM1163" s="1">
        <v>438.0</v>
      </c>
      <c r="AN1163" s="1">
        <v>1992.0</v>
      </c>
      <c r="AO1163" s="1">
        <v>1991.0</v>
      </c>
      <c r="AQ1163" s="3">
        <v>45129.0</v>
      </c>
      <c r="AR1163" s="1" t="s">
        <v>31</v>
      </c>
      <c r="AS1163" s="1" t="s">
        <v>5240</v>
      </c>
      <c r="AT1163" s="1" t="s">
        <v>31</v>
      </c>
      <c r="AX1163" s="1">
        <v>0.0</v>
      </c>
      <c r="AY1163" s="1">
        <v>0.0</v>
      </c>
    </row>
    <row r="1164" spans="20:51" ht="15.75" hidden="1">
      <c r="T1164" s="1">
        <v>162174.0</v>
      </c>
      <c r="U1164" s="1"/>
      <c r="V1164" s="1"/>
      <c r="W1164" s="1"/>
      <c r="X1164" s="1"/>
      <c r="Y1164" s="1" t="s">
        <v>5241</v>
      </c>
      <c r="Z1164" s="1" t="s">
        <v>3803</v>
      </c>
      <c r="AA1164" s="1" t="s">
        <v>3804</v>
      </c>
      <c r="AB1164" s="1"/>
      <c r="AC1164" s="1"/>
      <c r="AD1164" s="1"/>
      <c r="AE1164" s="1"/>
      <c r="AF1164" s="1" t="s">
        <v>5242</v>
      </c>
      <c r="AG1164" s="2" t="str">
        <f>"0415254043"</f>
        <v>0415254043</v>
      </c>
      <c r="AH1164" s="2" t="str">
        <f>"9780415254045"</f>
        <v>9780415254045</v>
      </c>
      <c r="AI1164" s="1">
        <v>0.0</v>
      </c>
      <c r="AJ1164" s="1">
        <v>3.67</v>
      </c>
      <c r="AK1164" s="1" t="s">
        <v>132</v>
      </c>
      <c r="AL1164" s="1" t="s">
        <v>28</v>
      </c>
      <c r="AM1164" s="1">
        <v>280.0</v>
      </c>
      <c r="AN1164" s="1">
        <v>2001.0</v>
      </c>
      <c r="AO1164" s="1">
        <v>1948.0</v>
      </c>
      <c r="AQ1164" s="3">
        <v>45129.0</v>
      </c>
      <c r="AR1164" s="1" t="s">
        <v>31</v>
      </c>
      <c r="AS1164" s="1" t="s">
        <v>5243</v>
      </c>
      <c r="AT1164" s="1" t="s">
        <v>31</v>
      </c>
      <c r="AX1164" s="1">
        <v>0.0</v>
      </c>
      <c r="AY1164" s="1">
        <v>0.0</v>
      </c>
    </row>
    <row r="1165" spans="20:51" ht="15.75" hidden="1">
      <c r="T1165" s="1">
        <v>666634.0</v>
      </c>
      <c r="U1165" s="1"/>
      <c r="V1165" s="1"/>
      <c r="W1165" s="1"/>
      <c r="X1165" s="1"/>
      <c r="Y1165" s="1" t="s">
        <v>5244</v>
      </c>
      <c r="Z1165" s="1" t="s">
        <v>5245</v>
      </c>
      <c r="AA1165" s="1" t="s">
        <v>5246</v>
      </c>
      <c r="AB1165" s="1"/>
      <c r="AC1165" s="1"/>
      <c r="AD1165" s="1"/>
      <c r="AE1165" s="1"/>
      <c r="AF1165" s="1" t="s">
        <v>5247</v>
      </c>
      <c r="AG1165" s="2" t="str">
        <f>"0486201058"</f>
        <v>0486201058</v>
      </c>
      <c r="AH1165" s="2" t="str">
        <f>"9780486201054"</f>
        <v>9780486201054</v>
      </c>
      <c r="AI1165" s="1">
        <v>0.0</v>
      </c>
      <c r="AJ1165" s="1">
        <v>4.03</v>
      </c>
      <c r="AK1165" s="1" t="s">
        <v>540</v>
      </c>
      <c r="AL1165" s="1" t="s">
        <v>28</v>
      </c>
      <c r="AM1165" s="1">
        <v>106.0</v>
      </c>
      <c r="AN1165" s="1">
        <v>1973.0</v>
      </c>
      <c r="AO1165" s="1">
        <v>1927.0</v>
      </c>
      <c r="AQ1165" s="3">
        <v>45129.0</v>
      </c>
      <c r="AR1165" s="1" t="s">
        <v>31</v>
      </c>
      <c r="AS1165" s="1" t="s">
        <v>5248</v>
      </c>
      <c r="AT1165" s="1" t="s">
        <v>31</v>
      </c>
      <c r="AX1165" s="1">
        <v>0.0</v>
      </c>
      <c r="AY1165" s="1">
        <v>0.0</v>
      </c>
    </row>
    <row r="1166" spans="20:51" ht="15.75" hidden="1">
      <c r="T1166" s="1">
        <v>249201.0</v>
      </c>
      <c r="U1166" s="1"/>
      <c r="V1166" s="1"/>
      <c r="W1166" s="1"/>
      <c r="X1166" s="1"/>
      <c r="Y1166" s="1" t="s">
        <v>5249</v>
      </c>
      <c r="Z1166" s="1" t="s">
        <v>5232</v>
      </c>
      <c r="AA1166" s="1" t="s">
        <v>5233</v>
      </c>
      <c r="AB1166" s="1"/>
      <c r="AC1166" s="1"/>
      <c r="AD1166" s="1"/>
      <c r="AE1166" s="1"/>
      <c r="AG1166" s="2" t="str">
        <f>"0393329631"</f>
        <v>0393329631</v>
      </c>
      <c r="AH1166" s="2" t="str">
        <f>"9780393329636"</f>
        <v>9780393329636</v>
      </c>
      <c r="AI1166" s="1">
        <v>0.0</v>
      </c>
      <c r="AJ1166" s="1">
        <v>4.27</v>
      </c>
      <c r="AK1166" s="1" t="s">
        <v>2254</v>
      </c>
      <c r="AL1166" s="1" t="s">
        <v>28</v>
      </c>
      <c r="AM1166" s="1">
        <v>558.0</v>
      </c>
      <c r="AN1166" s="1">
        <v>2007.0</v>
      </c>
      <c r="AO1166" s="1">
        <v>2004.0</v>
      </c>
      <c r="AQ1166" s="3">
        <v>45129.0</v>
      </c>
      <c r="AR1166" s="1" t="s">
        <v>5223</v>
      </c>
      <c r="AS1166" s="1" t="s">
        <v>5250</v>
      </c>
      <c r="AT1166" s="1" t="s">
        <v>31</v>
      </c>
      <c r="AX1166" s="1">
        <v>0.0</v>
      </c>
      <c r="AY1166" s="1">
        <v>0.0</v>
      </c>
    </row>
    <row r="1167" spans="20:51" ht="15.75" hidden="1">
      <c r="T1167" s="1">
        <v>1.1778315E7</v>
      </c>
      <c r="U1167" s="1"/>
      <c r="V1167" s="1"/>
      <c r="W1167" s="1"/>
      <c r="X1167" s="1"/>
      <c r="Y1167" s="1" t="s">
        <v>5251</v>
      </c>
      <c r="Z1167" s="1" t="s">
        <v>5252</v>
      </c>
      <c r="AA1167" s="1" t="s">
        <v>5253</v>
      </c>
      <c r="AB1167" s="1"/>
      <c r="AC1167" s="1"/>
      <c r="AD1167" s="1"/>
      <c r="AE1167" s="1"/>
      <c r="AG1167" s="2" t="str">
        <f>"0307595846"</f>
        <v>0307595846</v>
      </c>
      <c r="AH1167" s="2" t="str">
        <f>"9780307595843"</f>
        <v>9780307595843</v>
      </c>
      <c r="AI1167" s="1">
        <v>0.0</v>
      </c>
      <c r="AJ1167" s="1">
        <v>4.18</v>
      </c>
      <c r="AK1167" s="1" t="s">
        <v>634</v>
      </c>
      <c r="AL1167" s="1" t="s">
        <v>41</v>
      </c>
      <c r="AM1167" s="1">
        <v>368.0</v>
      </c>
      <c r="AN1167" s="1">
        <v>2012.0</v>
      </c>
      <c r="AO1167" s="1">
        <v>2012.0</v>
      </c>
      <c r="AQ1167" s="3">
        <v>45129.0</v>
      </c>
      <c r="AR1167" s="1" t="s">
        <v>31</v>
      </c>
      <c r="AS1167" s="1" t="s">
        <v>5254</v>
      </c>
      <c r="AT1167" s="1" t="s">
        <v>31</v>
      </c>
      <c r="AX1167" s="1">
        <v>0.0</v>
      </c>
      <c r="AY1167" s="1">
        <v>0.0</v>
      </c>
    </row>
    <row r="1168" spans="20:51" ht="15.75" hidden="1">
      <c r="T1168" s="1">
        <v>58374.0</v>
      </c>
      <c r="U1168" s="1"/>
      <c r="V1168" s="1"/>
      <c r="W1168" s="1"/>
      <c r="X1168" s="1"/>
      <c r="Y1168" s="1" t="s">
        <v>5255</v>
      </c>
      <c r="Z1168" s="1" t="s">
        <v>5256</v>
      </c>
      <c r="AA1168" s="1" t="s">
        <v>5257</v>
      </c>
      <c r="AB1168" s="1"/>
      <c r="AC1168" s="1"/>
      <c r="AD1168" s="1"/>
      <c r="AE1168" s="1"/>
      <c r="AF1168" s="1" t="s">
        <v>1634</v>
      </c>
      <c r="AG1168" s="2" t="str">
        <f>"1932416188"</f>
        <v>1932416188</v>
      </c>
      <c r="AH1168" s="2" t="str">
        <f>"9781932416183"</f>
        <v>9781932416183</v>
      </c>
      <c r="AI1168" s="1">
        <v>0.0</v>
      </c>
      <c r="AJ1168" s="1">
        <v>3.95</v>
      </c>
      <c r="AK1168" s="1" t="s">
        <v>5258</v>
      </c>
      <c r="AL1168" s="1" t="s">
        <v>28</v>
      </c>
      <c r="AM1168" s="1">
        <v>247.0</v>
      </c>
      <c r="AN1168" s="1">
        <v>2005.0</v>
      </c>
      <c r="AO1168" s="1">
        <v>1991.0</v>
      </c>
      <c r="AQ1168" s="3">
        <v>45129.0</v>
      </c>
      <c r="AR1168" s="1" t="s">
        <v>31</v>
      </c>
      <c r="AS1168" s="1" t="s">
        <v>5259</v>
      </c>
      <c r="AT1168" s="1" t="s">
        <v>31</v>
      </c>
      <c r="AX1168" s="1">
        <v>0.0</v>
      </c>
      <c r="AY1168" s="1">
        <v>0.0</v>
      </c>
    </row>
    <row r="1169" spans="20:51" ht="15.75" hidden="1">
      <c r="T1169" s="1">
        <v>249042.0</v>
      </c>
      <c r="U1169" s="1"/>
      <c r="V1169" s="1"/>
      <c r="W1169" s="1"/>
      <c r="X1169" s="1"/>
      <c r="Y1169" s="1" t="s">
        <v>5260</v>
      </c>
      <c r="Z1169" s="1" t="s">
        <v>5261</v>
      </c>
      <c r="AA1169" s="1" t="s">
        <v>5262</v>
      </c>
      <c r="AB1169" s="1"/>
      <c r="AC1169" s="1"/>
      <c r="AD1169" s="1"/>
      <c r="AE1169" s="1"/>
      <c r="AG1169" s="2" t="str">
        <f>"0679736395"</f>
        <v>0679736395</v>
      </c>
      <c r="AH1169" s="2" t="str">
        <f>"9780679736394"</f>
        <v>9780679736394</v>
      </c>
      <c r="AI1169" s="1">
        <v>0.0</v>
      </c>
      <c r="AJ1169" s="1">
        <v>3.99</v>
      </c>
      <c r="AK1169" s="1" t="s">
        <v>83</v>
      </c>
      <c r="AL1169" s="1" t="s">
        <v>28</v>
      </c>
      <c r="AM1169" s="1">
        <v>84.0</v>
      </c>
      <c r="AN1169" s="1">
        <v>1992.0</v>
      </c>
      <c r="AO1169" s="1">
        <v>1990.0</v>
      </c>
      <c r="AQ1169" s="3">
        <v>45129.0</v>
      </c>
      <c r="AR1169" s="1" t="s">
        <v>31</v>
      </c>
      <c r="AS1169" s="1" t="s">
        <v>5263</v>
      </c>
      <c r="AT1169" s="1" t="s">
        <v>31</v>
      </c>
      <c r="AX1169" s="1">
        <v>0.0</v>
      </c>
      <c r="AY1169" s="1">
        <v>0.0</v>
      </c>
    </row>
    <row r="1170" spans="20:51" ht="15.75" hidden="1">
      <c r="T1170" s="1">
        <v>1.5826957E7</v>
      </c>
      <c r="U1170" s="1"/>
      <c r="V1170" s="1"/>
      <c r="W1170" s="1"/>
      <c r="X1170" s="1"/>
      <c r="Y1170" s="1" t="s">
        <v>5264</v>
      </c>
      <c r="Z1170" s="1" t="s">
        <v>5265</v>
      </c>
      <c r="AA1170" s="1" t="s">
        <v>5266</v>
      </c>
      <c r="AB1170" s="1"/>
      <c r="AC1170" s="1"/>
      <c r="AD1170" s="1"/>
      <c r="AE1170" s="1"/>
      <c r="AG1170" s="2" t="str">
        <f>"0262018047"</f>
        <v>0262018047</v>
      </c>
      <c r="AH1170" s="2" t="str">
        <f>"9780262018043"</f>
        <v>9780262018043</v>
      </c>
      <c r="AI1170" s="1">
        <v>0.0</v>
      </c>
      <c r="AJ1170" s="1">
        <v>3.89</v>
      </c>
      <c r="AK1170" s="1" t="s">
        <v>4431</v>
      </c>
      <c r="AL1170" s="1" t="s">
        <v>41</v>
      </c>
      <c r="AM1170" s="1">
        <v>168.0</v>
      </c>
      <c r="AN1170" s="1">
        <v>2012.0</v>
      </c>
      <c r="AO1170" s="1">
        <v>2012.0</v>
      </c>
      <c r="AQ1170" s="3">
        <v>45129.0</v>
      </c>
      <c r="AR1170" s="1" t="s">
        <v>5267</v>
      </c>
      <c r="AS1170" s="1" t="s">
        <v>5268</v>
      </c>
      <c r="AT1170" s="1" t="s">
        <v>31</v>
      </c>
      <c r="AX1170" s="1">
        <v>0.0</v>
      </c>
      <c r="AY1170" s="1">
        <v>0.0</v>
      </c>
    </row>
    <row r="1171" spans="20:51" ht="15.75" hidden="1">
      <c r="T1171" s="1">
        <v>382468.0</v>
      </c>
      <c r="U1171" s="1"/>
      <c r="V1171" s="1"/>
      <c r="W1171" s="1"/>
      <c r="X1171" s="1"/>
      <c r="Y1171" s="1" t="s">
        <v>5269</v>
      </c>
      <c r="Z1171" s="1" t="s">
        <v>5270</v>
      </c>
      <c r="AA1171" s="1" t="s">
        <v>5271</v>
      </c>
      <c r="AB1171" s="1"/>
      <c r="AC1171" s="1"/>
      <c r="AD1171" s="1"/>
      <c r="AE1171" s="1"/>
      <c r="AG1171" s="2" t="str">
        <f>"0156006006"</f>
        <v>0156006006</v>
      </c>
      <c r="AH1171" s="2" t="str">
        <f>"9780156006002"</f>
        <v>9780156006002</v>
      </c>
      <c r="AI1171" s="1">
        <v>0.0</v>
      </c>
      <c r="AJ1171" s="1">
        <v>3.71</v>
      </c>
      <c r="AK1171" s="1" t="s">
        <v>237</v>
      </c>
      <c r="AL1171" s="1" t="s">
        <v>28</v>
      </c>
      <c r="AM1171" s="1">
        <v>352.0</v>
      </c>
      <c r="AN1171" s="1">
        <v>1998.0</v>
      </c>
      <c r="AO1171" s="1">
        <v>1997.0</v>
      </c>
      <c r="AQ1171" s="3">
        <v>45129.0</v>
      </c>
      <c r="AR1171" s="1" t="s">
        <v>5267</v>
      </c>
      <c r="AS1171" s="1" t="s">
        <v>5272</v>
      </c>
      <c r="AT1171" s="1" t="s">
        <v>31</v>
      </c>
      <c r="AX1171" s="1">
        <v>0.0</v>
      </c>
      <c r="AY1171" s="1">
        <v>0.0</v>
      </c>
    </row>
    <row r="1172" spans="20:51" ht="15.75" hidden="1">
      <c r="T1172" s="1">
        <v>4.2943693E7</v>
      </c>
      <c r="U1172" s="1"/>
      <c r="V1172" s="1"/>
      <c r="W1172" s="1"/>
      <c r="X1172" s="1"/>
      <c r="Y1172" s="1" t="s">
        <v>5273</v>
      </c>
      <c r="Z1172" s="1" t="s">
        <v>5274</v>
      </c>
      <c r="AA1172" s="1" t="s">
        <v>5275</v>
      </c>
      <c r="AB1172" s="1"/>
      <c r="AC1172" s="1"/>
      <c r="AD1172" s="1"/>
      <c r="AE1172" s="1"/>
      <c r="AG1172" s="2" t="str">
        <f>"1948340054"</f>
        <v>1948340054</v>
      </c>
      <c r="AH1172" s="2" t="str">
        <f>"9781948340052"</f>
        <v>9781948340052</v>
      </c>
      <c r="AI1172" s="1">
        <v>0.0</v>
      </c>
      <c r="AJ1172" s="1">
        <v>3.81</v>
      </c>
      <c r="AK1172" s="1" t="s">
        <v>5276</v>
      </c>
      <c r="AL1172" s="1" t="s">
        <v>28</v>
      </c>
      <c r="AM1172" s="1">
        <v>280.0</v>
      </c>
      <c r="AN1172" s="1">
        <v>2019.0</v>
      </c>
      <c r="AO1172" s="1">
        <v>2019.0</v>
      </c>
      <c r="AQ1172" s="3">
        <v>45129.0</v>
      </c>
      <c r="AR1172" s="1" t="s">
        <v>5267</v>
      </c>
      <c r="AS1172" s="1" t="s">
        <v>5277</v>
      </c>
      <c r="AT1172" s="1" t="s">
        <v>31</v>
      </c>
      <c r="AX1172" s="1">
        <v>0.0</v>
      </c>
      <c r="AY1172" s="1">
        <v>0.0</v>
      </c>
    </row>
    <row r="1173" spans="20:51" ht="15.75" hidden="1">
      <c r="T1173" s="1">
        <v>3.0383747E7</v>
      </c>
      <c r="U1173" s="1"/>
      <c r="V1173" s="1"/>
      <c r="W1173" s="1"/>
      <c r="X1173" s="1"/>
      <c r="Y1173" s="1" t="s">
        <v>5278</v>
      </c>
      <c r="Z1173" s="1" t="s">
        <v>5279</v>
      </c>
      <c r="AA1173" s="1" t="s">
        <v>5280</v>
      </c>
      <c r="AB1173" s="1"/>
      <c r="AC1173" s="1"/>
      <c r="AD1173" s="1"/>
      <c r="AE1173" s="1"/>
      <c r="AG1173" s="2" t="str">
        <f>"1349476137"</f>
        <v>1349476137</v>
      </c>
      <c r="AH1173" s="2" t="str">
        <f>"9781349476138"</f>
        <v>9781349476138</v>
      </c>
      <c r="AI1173" s="1">
        <v>0.0</v>
      </c>
      <c r="AJ1173" s="1">
        <v>3.0</v>
      </c>
      <c r="AK1173" s="1" t="s">
        <v>1443</v>
      </c>
      <c r="AL1173" s="1" t="s">
        <v>28</v>
      </c>
      <c r="AM1173" s="1">
        <v>295.0</v>
      </c>
      <c r="AN1173" s="1">
        <v>2014.0</v>
      </c>
      <c r="AO1173" s="1">
        <v>2014.0</v>
      </c>
      <c r="AQ1173" s="3">
        <v>45129.0</v>
      </c>
      <c r="AR1173" s="1" t="s">
        <v>5267</v>
      </c>
      <c r="AS1173" s="1" t="s">
        <v>5281</v>
      </c>
      <c r="AT1173" s="1" t="s">
        <v>31</v>
      </c>
      <c r="AX1173" s="1">
        <v>0.0</v>
      </c>
      <c r="AY1173" s="1">
        <v>0.0</v>
      </c>
    </row>
    <row r="1174" spans="20:51" ht="15.75" hidden="1">
      <c r="T1174" s="1">
        <v>1.7934655E7</v>
      </c>
      <c r="U1174" s="1"/>
      <c r="V1174" s="1"/>
      <c r="W1174" s="1"/>
      <c r="X1174" s="1"/>
      <c r="Y1174" s="1" t="s">
        <v>5282</v>
      </c>
      <c r="Z1174" s="1" t="s">
        <v>5283</v>
      </c>
      <c r="AA1174" s="1" t="s">
        <v>5284</v>
      </c>
      <c r="AB1174" s="1"/>
      <c r="AC1174" s="1"/>
      <c r="AD1174" s="1"/>
      <c r="AE1174" s="1"/>
      <c r="AG1174" s="2" t="str">
        <f>"1555976719"</f>
        <v>1555976719</v>
      </c>
      <c r="AH1174" s="2" t="str">
        <f>"9781555976712"</f>
        <v>9781555976712</v>
      </c>
      <c r="AI1174" s="1">
        <v>0.0</v>
      </c>
      <c r="AJ1174" s="1">
        <v>3.66</v>
      </c>
      <c r="AK1174" s="1" t="s">
        <v>971</v>
      </c>
      <c r="AL1174" s="1" t="s">
        <v>28</v>
      </c>
      <c r="AM1174" s="1">
        <v>230.0</v>
      </c>
      <c r="AN1174" s="1">
        <v>2014.0</v>
      </c>
      <c r="AO1174" s="1">
        <v>2014.0</v>
      </c>
      <c r="AQ1174" s="3">
        <v>45129.0</v>
      </c>
      <c r="AR1174" s="1" t="s">
        <v>5267</v>
      </c>
      <c r="AS1174" s="1" t="s">
        <v>5285</v>
      </c>
      <c r="AT1174" s="1" t="s">
        <v>31</v>
      </c>
      <c r="AX1174" s="1">
        <v>0.0</v>
      </c>
      <c r="AY1174" s="1">
        <v>0.0</v>
      </c>
    </row>
    <row r="1175" spans="20:51" ht="15.75" hidden="1">
      <c r="T1175" s="1">
        <v>2284915.0</v>
      </c>
      <c r="U1175" s="1"/>
      <c r="V1175" s="1"/>
      <c r="W1175" s="1"/>
      <c r="X1175" s="1"/>
      <c r="Y1175" s="1" t="s">
        <v>5286</v>
      </c>
      <c r="Z1175" s="1" t="s">
        <v>5287</v>
      </c>
      <c r="AA1175" s="1" t="s">
        <v>5288</v>
      </c>
      <c r="AB1175" s="1"/>
      <c r="AC1175" s="1"/>
      <c r="AD1175" s="1"/>
      <c r="AE1175" s="1"/>
      <c r="AF1175" s="1" t="s">
        <v>5289</v>
      </c>
      <c r="AG1175" s="2" t="str">
        <f>"0674399684"</f>
        <v>0674399684</v>
      </c>
      <c r="AH1175" s="2" t="str">
        <f>"9780674399686"</f>
        <v>9780674399686</v>
      </c>
      <c r="AI1175" s="1">
        <v>0.0</v>
      </c>
      <c r="AJ1175" s="1">
        <v>3.4</v>
      </c>
      <c r="AK1175" s="1" t="s">
        <v>107</v>
      </c>
      <c r="AL1175" s="1" t="s">
        <v>28</v>
      </c>
      <c r="AM1175" s="1">
        <v>404.0</v>
      </c>
      <c r="AN1175" s="1">
        <v>1998.0</v>
      </c>
      <c r="AO1175" s="1">
        <v>1993.0</v>
      </c>
      <c r="AQ1175" s="3">
        <v>45129.0</v>
      </c>
      <c r="AR1175" s="1" t="s">
        <v>5267</v>
      </c>
      <c r="AS1175" s="1" t="s">
        <v>5290</v>
      </c>
      <c r="AT1175" s="1" t="s">
        <v>31</v>
      </c>
      <c r="AX1175" s="1">
        <v>0.0</v>
      </c>
      <c r="AY1175" s="1">
        <v>0.0</v>
      </c>
    </row>
    <row r="1176" spans="20:51" ht="15.75" hidden="1">
      <c r="T1176" s="1">
        <v>413.0</v>
      </c>
      <c r="U1176" s="1"/>
      <c r="V1176" s="1"/>
      <c r="W1176" s="1"/>
      <c r="X1176" s="1"/>
      <c r="Y1176" s="1" t="s">
        <v>5291</v>
      </c>
      <c r="Z1176" s="1" t="s">
        <v>4340</v>
      </c>
      <c r="AA1176" s="1" t="s">
        <v>4341</v>
      </c>
      <c r="AB1176" s="1"/>
      <c r="AC1176" s="1"/>
      <c r="AD1176" s="1"/>
      <c r="AE1176" s="1"/>
      <c r="AG1176" s="2" t="str">
        <f>"0312423209"</f>
        <v>0312423209</v>
      </c>
      <c r="AH1176" s="2" t="str">
        <f>"9780312423209"</f>
        <v>9780312423209</v>
      </c>
      <c r="AI1176" s="1">
        <v>0.0</v>
      </c>
      <c r="AJ1176" s="1">
        <v>4.11</v>
      </c>
      <c r="AK1176" s="1" t="s">
        <v>5292</v>
      </c>
      <c r="AL1176" s="1" t="s">
        <v>28</v>
      </c>
      <c r="AM1176" s="1">
        <v>773.0</v>
      </c>
      <c r="AN1176" s="1">
        <v>2004.0</v>
      </c>
      <c r="AO1176" s="1">
        <v>1997.0</v>
      </c>
      <c r="AQ1176" s="3">
        <v>45129.0</v>
      </c>
      <c r="AR1176" s="1" t="s">
        <v>5293</v>
      </c>
      <c r="AS1176" s="1" t="s">
        <v>5294</v>
      </c>
      <c r="AT1176" s="1" t="s">
        <v>31</v>
      </c>
      <c r="AX1176" s="1">
        <v>0.0</v>
      </c>
      <c r="AY1176" s="1">
        <v>0.0</v>
      </c>
    </row>
    <row r="1177" spans="20:51" ht="15.75" hidden="1">
      <c r="T1177" s="1">
        <v>6.3208852E7</v>
      </c>
      <c r="U1177" s="1"/>
      <c r="V1177" s="1"/>
      <c r="W1177" s="1"/>
      <c r="X1177" s="1"/>
      <c r="Y1177" s="1" t="s">
        <v>5295</v>
      </c>
      <c r="Z1177" s="1" t="s">
        <v>5296</v>
      </c>
      <c r="AA1177" s="1" t="s">
        <v>5297</v>
      </c>
      <c r="AB1177" s="1"/>
      <c r="AC1177" s="1"/>
      <c r="AD1177" s="1"/>
      <c r="AE1177" s="1"/>
      <c r="AG1177" s="2" t="str">
        <f>"1955904227"</f>
        <v>1955904227</v>
      </c>
      <c r="AH1177" s="2" t="str">
        <f>"9781955904223"</f>
        <v>9781955904223</v>
      </c>
      <c r="AI1177" s="1">
        <v>0.0</v>
      </c>
      <c r="AJ1177" s="1">
        <v>3.89</v>
      </c>
      <c r="AK1177" s="1" t="s">
        <v>5298</v>
      </c>
      <c r="AL1177" s="1" t="s">
        <v>28</v>
      </c>
      <c r="AM1177" s="1">
        <v>728.0</v>
      </c>
      <c r="AN1177" s="1">
        <v>2022.0</v>
      </c>
      <c r="AO1177" s="1">
        <v>2022.0</v>
      </c>
      <c r="AQ1177" s="3">
        <v>45129.0</v>
      </c>
      <c r="AR1177" s="1" t="s">
        <v>5293</v>
      </c>
      <c r="AS1177" s="1" t="s">
        <v>5299</v>
      </c>
      <c r="AT1177" s="1" t="s">
        <v>31</v>
      </c>
      <c r="AX1177" s="1">
        <v>0.0</v>
      </c>
      <c r="AY1177" s="1">
        <v>0.0</v>
      </c>
    </row>
    <row r="1178" spans="20:51" ht="15.75" hidden="1">
      <c r="T1178" s="1">
        <v>1.624158E7</v>
      </c>
      <c r="U1178" s="1"/>
      <c r="V1178" s="1"/>
      <c r="W1178" s="1"/>
      <c r="X1178" s="1"/>
      <c r="Y1178" s="1" t="s">
        <v>5300</v>
      </c>
      <c r="Z1178" s="1" t="s">
        <v>5301</v>
      </c>
      <c r="AA1178" s="1" t="s">
        <v>5302</v>
      </c>
      <c r="AB1178" s="1"/>
      <c r="AC1178" s="1"/>
      <c r="AD1178" s="1"/>
      <c r="AE1178" s="1"/>
      <c r="AG1178" s="2" t="str">
        <f>"0674073401"</f>
        <v>0674073401</v>
      </c>
      <c r="AH1178" s="2" t="str">
        <f>"9780674073401"</f>
        <v>9780674073401</v>
      </c>
      <c r="AI1178" s="1">
        <v>0.0</v>
      </c>
      <c r="AJ1178" s="1">
        <v>4.17</v>
      </c>
      <c r="AK1178" s="1" t="s">
        <v>875</v>
      </c>
      <c r="AL1178" s="1" t="s">
        <v>41</v>
      </c>
      <c r="AM1178" s="1">
        <v>752.0</v>
      </c>
      <c r="AN1178" s="1">
        <v>2013.0</v>
      </c>
      <c r="AO1178" s="1">
        <v>2013.0</v>
      </c>
      <c r="AQ1178" s="3">
        <v>45115.0</v>
      </c>
      <c r="AR1178" s="1" t="s">
        <v>31</v>
      </c>
      <c r="AS1178" s="1" t="s">
        <v>5303</v>
      </c>
      <c r="AT1178" s="1" t="s">
        <v>31</v>
      </c>
      <c r="AX1178" s="1">
        <v>0.0</v>
      </c>
      <c r="AY1178" s="1">
        <v>0.0</v>
      </c>
    </row>
    <row r="1179" spans="20:51" ht="15.75" hidden="1">
      <c r="T1179" s="1">
        <v>100100.0</v>
      </c>
      <c r="U1179" s="1"/>
      <c r="V1179" s="1"/>
      <c r="W1179" s="1"/>
      <c r="X1179" s="1"/>
      <c r="Y1179" s="1" t="s">
        <v>759</v>
      </c>
      <c r="Z1179" s="1" t="s">
        <v>5304</v>
      </c>
      <c r="AA1179" s="1" t="s">
        <v>5305</v>
      </c>
      <c r="AB1179" s="1"/>
      <c r="AC1179" s="1"/>
      <c r="AD1179" s="1"/>
      <c r="AE1179" s="1"/>
      <c r="AG1179" s="2" t="str">
        <f>"0060936991"</f>
        <v>0060936991</v>
      </c>
      <c r="AH1179" s="2" t="str">
        <f>"9780060936990"</f>
        <v>9780060936990</v>
      </c>
      <c r="AI1179" s="1">
        <v>0.0</v>
      </c>
      <c r="AJ1179" s="1">
        <v>4.4</v>
      </c>
      <c r="AK1179" s="1" t="s">
        <v>5306</v>
      </c>
      <c r="AL1179" s="1" t="s">
        <v>28</v>
      </c>
      <c r="AM1179" s="1">
        <v>704.0</v>
      </c>
      <c r="AN1179" s="1">
        <v>2001.0</v>
      </c>
      <c r="AO1179" s="1">
        <v>1962.0</v>
      </c>
      <c r="AQ1179" s="3">
        <v>45096.0</v>
      </c>
      <c r="AR1179" s="1" t="s">
        <v>31</v>
      </c>
      <c r="AS1179" s="1" t="s">
        <v>5307</v>
      </c>
      <c r="AT1179" s="1" t="s">
        <v>31</v>
      </c>
      <c r="AX1179" s="1">
        <v>0.0</v>
      </c>
      <c r="AY1179" s="1">
        <v>0.0</v>
      </c>
    </row>
    <row r="1180" spans="20:51" ht="15.75" hidden="1">
      <c r="T1180" s="1">
        <v>183683.0</v>
      </c>
      <c r="U1180" s="1"/>
      <c r="V1180" s="1"/>
      <c r="W1180" s="1"/>
      <c r="X1180" s="1"/>
      <c r="Y1180" s="1" t="s">
        <v>5308</v>
      </c>
      <c r="Z1180" s="1" t="s">
        <v>5309</v>
      </c>
      <c r="AA1180" s="1" t="s">
        <v>5310</v>
      </c>
      <c r="AB1180" s="1"/>
      <c r="AC1180" s="1"/>
      <c r="AD1180" s="1"/>
      <c r="AE1180" s="1"/>
      <c r="AG1180" s="2" t="str">
        <f>"1585422509"</f>
        <v>1585422509</v>
      </c>
      <c r="AH1180" s="2" t="str">
        <f>"9781585422500"</f>
        <v>9781585422500</v>
      </c>
      <c r="AI1180" s="1">
        <v>0.0</v>
      </c>
      <c r="AJ1180" s="1">
        <v>4.26</v>
      </c>
      <c r="AK1180" s="1" t="s">
        <v>5311</v>
      </c>
      <c r="AL1180" s="1" t="s">
        <v>28</v>
      </c>
      <c r="AM1180" s="1">
        <v>768.0</v>
      </c>
      <c r="AN1180" s="1">
        <v>2003.0</v>
      </c>
      <c r="AO1180" s="1">
        <v>1928.0</v>
      </c>
      <c r="AQ1180" s="3">
        <v>45059.0</v>
      </c>
      <c r="AR1180" s="1" t="s">
        <v>31</v>
      </c>
      <c r="AS1180" s="1" t="s">
        <v>5312</v>
      </c>
      <c r="AT1180" s="1" t="s">
        <v>31</v>
      </c>
      <c r="AX1180" s="1">
        <v>0.0</v>
      </c>
      <c r="AY1180" s="1">
        <v>0.0</v>
      </c>
    </row>
    <row r="1181" spans="20:51" ht="15.75" hidden="1">
      <c r="T1181" s="1">
        <v>168033.0</v>
      </c>
      <c r="U1181" s="1"/>
      <c r="V1181" s="1"/>
      <c r="W1181" s="1"/>
      <c r="X1181" s="1"/>
      <c r="Y1181" s="1" t="s">
        <v>5313</v>
      </c>
      <c r="Z1181" s="1" t="s">
        <v>5314</v>
      </c>
      <c r="AA1181" s="1" t="s">
        <v>5315</v>
      </c>
      <c r="AB1181" s="1"/>
      <c r="AC1181" s="1"/>
      <c r="AD1181" s="1"/>
      <c r="AE1181" s="1"/>
      <c r="AG1181" s="2" t="str">
        <f>"0691015147"</f>
        <v>0691015147</v>
      </c>
      <c r="AH1181" s="2" t="str">
        <f>"9780691015149"</f>
        <v>9780691015149</v>
      </c>
      <c r="AI1181" s="1">
        <v>0.0</v>
      </c>
      <c r="AJ1181" s="1">
        <v>4.24</v>
      </c>
      <c r="AK1181" s="1" t="s">
        <v>141</v>
      </c>
      <c r="AL1181" s="1" t="s">
        <v>28</v>
      </c>
      <c r="AM1181" s="1">
        <v>720.0</v>
      </c>
      <c r="AN1181" s="1">
        <v>1991.0</v>
      </c>
      <c r="AO1181" s="1">
        <v>1903.0</v>
      </c>
      <c r="AQ1181" s="3">
        <v>45115.0</v>
      </c>
      <c r="AR1181" s="1" t="s">
        <v>31</v>
      </c>
      <c r="AS1181" s="1" t="s">
        <v>5316</v>
      </c>
      <c r="AT1181" s="1" t="s">
        <v>31</v>
      </c>
      <c r="AX1181" s="1">
        <v>0.0</v>
      </c>
      <c r="AY1181" s="1">
        <v>0.0</v>
      </c>
    </row>
    <row r="1182" spans="20:51" ht="15.75" hidden="1">
      <c r="T1182" s="1">
        <v>274375.0</v>
      </c>
      <c r="U1182" s="1"/>
      <c r="V1182" s="1"/>
      <c r="W1182" s="1"/>
      <c r="X1182" s="1"/>
      <c r="Y1182" s="1" t="s">
        <v>5317</v>
      </c>
      <c r="Z1182" s="1" t="s">
        <v>5318</v>
      </c>
      <c r="AA1182" s="1" t="s">
        <v>5319</v>
      </c>
      <c r="AB1182" s="1"/>
      <c r="AC1182" s="1"/>
      <c r="AD1182" s="1"/>
      <c r="AE1182" s="1"/>
      <c r="AG1182" s="2" t="str">
        <f>"0199243360"</f>
        <v>0199243360</v>
      </c>
      <c r="AH1182" s="2" t="str">
        <f>"9780199243365"</f>
        <v>9780199243365</v>
      </c>
      <c r="AI1182" s="1">
        <v>0.0</v>
      </c>
      <c r="AJ1182" s="1">
        <v>4.0</v>
      </c>
      <c r="AK1182" s="1" t="s">
        <v>5320</v>
      </c>
      <c r="AL1182" s="1" t="s">
        <v>28</v>
      </c>
      <c r="AM1182" s="1">
        <v>738.0</v>
      </c>
      <c r="AN1182" s="1">
        <v>2001.0</v>
      </c>
      <c r="AO1182" s="1">
        <v>1954.0</v>
      </c>
      <c r="AQ1182" s="3">
        <v>44473.0</v>
      </c>
      <c r="AR1182" s="1" t="s">
        <v>1019</v>
      </c>
      <c r="AS1182" s="1" t="s">
        <v>5321</v>
      </c>
      <c r="AT1182" s="1" t="s">
        <v>31</v>
      </c>
      <c r="AX1182" s="1">
        <v>0.0</v>
      </c>
      <c r="AY1182" s="1">
        <v>0.0</v>
      </c>
    </row>
    <row r="1183" spans="20:51" ht="15.75" hidden="1">
      <c r="T1183" s="1">
        <v>2.0702569E7</v>
      </c>
      <c r="U1183" s="1"/>
      <c r="V1183" s="1"/>
      <c r="W1183" s="1"/>
      <c r="X1183" s="1"/>
      <c r="Y1183" s="1" t="s">
        <v>5322</v>
      </c>
      <c r="Z1183" s="1" t="s">
        <v>5323</v>
      </c>
      <c r="AA1183" s="1" t="s">
        <v>5324</v>
      </c>
      <c r="AB1183" s="1"/>
      <c r="AC1183" s="1"/>
      <c r="AD1183" s="1"/>
      <c r="AE1183" s="1"/>
      <c r="AG1183" s="2" t="str">
        <f>"1934824917"</f>
        <v>1934824917</v>
      </c>
      <c r="AH1183" s="2" t="str">
        <f>"9781934824917"</f>
        <v>9781934824917</v>
      </c>
      <c r="AI1183" s="1">
        <v>0.0</v>
      </c>
      <c r="AJ1183" s="1">
        <v>4.4</v>
      </c>
      <c r="AK1183" s="1" t="s">
        <v>1566</v>
      </c>
      <c r="AL1183" s="1" t="s">
        <v>28</v>
      </c>
      <c r="AM1183" s="1">
        <v>717.0</v>
      </c>
      <c r="AN1183" s="1">
        <v>2014.0</v>
      </c>
      <c r="AO1183" s="1">
        <v>2014.0</v>
      </c>
      <c r="AQ1183" s="3">
        <v>44257.0</v>
      </c>
      <c r="AR1183" s="1" t="s">
        <v>31</v>
      </c>
      <c r="AS1183" s="1" t="s">
        <v>5325</v>
      </c>
      <c r="AT1183" s="1" t="s">
        <v>31</v>
      </c>
      <c r="AX1183" s="1">
        <v>0.0</v>
      </c>
      <c r="AY1183" s="1">
        <v>0.0</v>
      </c>
    </row>
    <row r="1184" spans="20:51" ht="15.75" hidden="1">
      <c r="T1184" s="1">
        <v>80890.0</v>
      </c>
      <c r="U1184" s="1"/>
      <c r="V1184" s="1"/>
      <c r="W1184" s="1"/>
      <c r="X1184" s="1"/>
      <c r="Y1184" s="1" t="s">
        <v>5326</v>
      </c>
      <c r="Z1184" s="1" t="s">
        <v>1686</v>
      </c>
      <c r="AA1184" s="1" t="s">
        <v>1687</v>
      </c>
      <c r="AB1184" s="1"/>
      <c r="AC1184" s="1"/>
      <c r="AD1184" s="1"/>
      <c r="AE1184" s="1"/>
      <c r="AF1184" s="1" t="s">
        <v>5327</v>
      </c>
      <c r="AG1184" s="2" t="str">
        <f>"0679417370"</f>
        <v>0679417370</v>
      </c>
      <c r="AH1184" s="2" t="str">
        <f>"9780679417378"</f>
        <v>9780679417378</v>
      </c>
      <c r="AI1184" s="1">
        <v>0.0</v>
      </c>
      <c r="AJ1184" s="1">
        <v>4.19</v>
      </c>
      <c r="AK1184" s="1" t="s">
        <v>289</v>
      </c>
      <c r="AL1184" s="1" t="s">
        <v>41</v>
      </c>
      <c r="AM1184" s="1">
        <v>731.0</v>
      </c>
      <c r="AN1184" s="1">
        <v>1994.0</v>
      </c>
      <c r="AO1184" s="1">
        <v>1901.0</v>
      </c>
      <c r="AQ1184" s="3">
        <v>44256.0</v>
      </c>
      <c r="AR1184" s="1" t="s">
        <v>31</v>
      </c>
      <c r="AS1184" s="1" t="s">
        <v>5328</v>
      </c>
      <c r="AT1184" s="1" t="s">
        <v>31</v>
      </c>
      <c r="AX1184" s="1">
        <v>0.0</v>
      </c>
      <c r="AY1184" s="1">
        <v>0.0</v>
      </c>
    </row>
    <row r="1185" spans="20:51" ht="15.75" hidden="1">
      <c r="T1185" s="1">
        <v>88077.0</v>
      </c>
      <c r="U1185" s="1"/>
      <c r="V1185" s="1"/>
      <c r="W1185" s="1"/>
      <c r="X1185" s="1"/>
      <c r="Y1185" s="1" t="s">
        <v>5329</v>
      </c>
      <c r="Z1185" s="1" t="s">
        <v>1686</v>
      </c>
      <c r="AA1185" s="1" t="s">
        <v>1687</v>
      </c>
      <c r="AB1185" s="1"/>
      <c r="AC1185" s="1"/>
      <c r="AD1185" s="1"/>
      <c r="AE1185" s="1"/>
      <c r="AF1185" s="1" t="s">
        <v>1688</v>
      </c>
      <c r="AG1185" s="2" t="str">
        <f>"0679772871"</f>
        <v>0679772871</v>
      </c>
      <c r="AH1185" s="2" t="str">
        <f>"9780593688137"</f>
        <v>9780593688137</v>
      </c>
      <c r="AI1185" s="1">
        <v>0.0</v>
      </c>
      <c r="AJ1185" s="1">
        <v>4.13</v>
      </c>
      <c r="AK1185" s="1" t="s">
        <v>83</v>
      </c>
      <c r="AL1185" s="1" t="s">
        <v>59</v>
      </c>
      <c r="AM1185" s="1">
        <v>706.0</v>
      </c>
      <c r="AN1185" s="1">
        <v>1996.0</v>
      </c>
      <c r="AO1185" s="1">
        <v>1924.0</v>
      </c>
      <c r="AQ1185" s="3">
        <v>42609.0</v>
      </c>
      <c r="AR1185" s="1" t="s">
        <v>31</v>
      </c>
      <c r="AS1185" s="1" t="s">
        <v>5330</v>
      </c>
      <c r="AT1185" s="1" t="s">
        <v>31</v>
      </c>
      <c r="AX1185" s="1">
        <v>0.0</v>
      </c>
      <c r="AY1185" s="1">
        <v>0.0</v>
      </c>
    </row>
    <row r="1186" spans="20:51" ht="15.75" hidden="1">
      <c r="T1186" s="1">
        <v>81661.0</v>
      </c>
      <c r="U1186" s="1"/>
      <c r="V1186" s="1"/>
      <c r="W1186" s="1"/>
      <c r="X1186" s="1"/>
      <c r="Y1186" s="1" t="s">
        <v>5331</v>
      </c>
      <c r="Z1186" s="1" t="s">
        <v>5332</v>
      </c>
      <c r="AA1186" s="1" t="s">
        <v>5333</v>
      </c>
      <c r="AB1186" s="1"/>
      <c r="AC1186" s="1"/>
      <c r="AD1186" s="1"/>
      <c r="AE1186" s="1"/>
      <c r="AG1186" s="2" t="str">
        <f>"0670037966"</f>
        <v>0670037966</v>
      </c>
      <c r="AH1186" s="2" t="str">
        <f>"9780670037964"</f>
        <v>9780670037964</v>
      </c>
      <c r="AI1186" s="1">
        <v>0.0</v>
      </c>
      <c r="AJ1186" s="1">
        <v>4.17</v>
      </c>
      <c r="AK1186" s="1" t="s">
        <v>2745</v>
      </c>
      <c r="AL1186" s="1" t="s">
        <v>41</v>
      </c>
      <c r="AM1186" s="1">
        <v>720.0</v>
      </c>
      <c r="AN1186" s="1">
        <v>2006.0</v>
      </c>
      <c r="AO1186" s="1">
        <v>2006.0</v>
      </c>
      <c r="AQ1186" s="3">
        <v>42544.0</v>
      </c>
      <c r="AR1186" s="1" t="s">
        <v>1019</v>
      </c>
      <c r="AS1186" s="1" t="s">
        <v>5334</v>
      </c>
      <c r="AT1186" s="1" t="s">
        <v>31</v>
      </c>
      <c r="AX1186" s="1">
        <v>0.0</v>
      </c>
      <c r="AY1186" s="1">
        <v>0.0</v>
      </c>
    </row>
    <row r="1187" spans="20:51" ht="15.75" hidden="1">
      <c r="T1187" s="1">
        <v>413082.0</v>
      </c>
      <c r="U1187" s="1"/>
      <c r="V1187" s="1"/>
      <c r="W1187" s="1"/>
      <c r="X1187" s="1"/>
      <c r="Y1187" s="1" t="s">
        <v>5335</v>
      </c>
      <c r="Z1187" s="1" t="s">
        <v>5336</v>
      </c>
      <c r="AA1187" s="1" t="s">
        <v>5337</v>
      </c>
      <c r="AB1187" s="1"/>
      <c r="AC1187" s="1"/>
      <c r="AD1187" s="1"/>
      <c r="AE1187" s="1"/>
      <c r="AG1187" s="2" t="str">
        <f>"8476696132"</f>
        <v>8476696132</v>
      </c>
      <c r="AH1187" s="2" t="str">
        <f>"9788476696132"</f>
        <v>9788476696132</v>
      </c>
      <c r="AI1187" s="1">
        <v>0.0</v>
      </c>
      <c r="AJ1187" s="1">
        <v>4.1</v>
      </c>
      <c r="AK1187" s="1" t="s">
        <v>5338</v>
      </c>
      <c r="AL1187" s="1" t="s">
        <v>41</v>
      </c>
      <c r="AM1187" s="1">
        <v>720.0</v>
      </c>
      <c r="AN1187" s="1">
        <v>2003.0</v>
      </c>
      <c r="AO1187" s="1">
        <v>1939.0</v>
      </c>
      <c r="AQ1187" s="3">
        <v>44094.0</v>
      </c>
      <c r="AR1187" s="1" t="s">
        <v>31</v>
      </c>
      <c r="AS1187" s="1" t="s">
        <v>5339</v>
      </c>
      <c r="AT1187" s="1" t="s">
        <v>31</v>
      </c>
      <c r="AX1187" s="1">
        <v>0.0</v>
      </c>
      <c r="AY1187" s="1">
        <v>0.0</v>
      </c>
    </row>
    <row r="1188" spans="20:51" ht="15.75" hidden="1">
      <c r="T1188" s="1">
        <v>772099.0</v>
      </c>
      <c r="U1188" s="1"/>
      <c r="V1188" s="1"/>
      <c r="W1188" s="1"/>
      <c r="X1188" s="1"/>
      <c r="Y1188" s="1" t="s">
        <v>5340</v>
      </c>
      <c r="Z1188" s="1" t="s">
        <v>5341</v>
      </c>
      <c r="AA1188" s="1" t="s">
        <v>5342</v>
      </c>
      <c r="AB1188" s="1"/>
      <c r="AC1188" s="1"/>
      <c r="AD1188" s="1"/>
      <c r="AE1188" s="1"/>
      <c r="AF1188" s="1" t="s">
        <v>5343</v>
      </c>
      <c r="AG1188" s="2" t="str">
        <f>"0262522101"</f>
        <v>0262522101</v>
      </c>
      <c r="AH1188" s="2" t="str">
        <f>"9780262522106"</f>
        <v>9780262522106</v>
      </c>
      <c r="AI1188" s="1">
        <v>0.0</v>
      </c>
      <c r="AJ1188" s="1">
        <v>3.94</v>
      </c>
      <c r="AK1188" s="1" t="s">
        <v>5344</v>
      </c>
      <c r="AL1188" s="1" t="s">
        <v>28</v>
      </c>
      <c r="AM1188" s="1">
        <v>885.0</v>
      </c>
      <c r="AN1188" s="1">
        <v>1997.0</v>
      </c>
      <c r="AO1188" s="1">
        <v>1997.0</v>
      </c>
      <c r="AQ1188" s="3">
        <v>45126.0</v>
      </c>
      <c r="AR1188" s="1" t="s">
        <v>31</v>
      </c>
      <c r="AS1188" s="1" t="s">
        <v>5345</v>
      </c>
      <c r="AT1188" s="1" t="s">
        <v>31</v>
      </c>
      <c r="AX1188" s="1">
        <v>0.0</v>
      </c>
      <c r="AY1188" s="1">
        <v>0.0</v>
      </c>
    </row>
    <row r="1189" spans="20:51" ht="15.75" hidden="1">
      <c r="T1189" s="1">
        <v>3.8209727E7</v>
      </c>
      <c r="U1189" s="1"/>
      <c r="V1189" s="1"/>
      <c r="W1189" s="1"/>
      <c r="X1189" s="1"/>
      <c r="Y1189" s="1" t="s">
        <v>5346</v>
      </c>
      <c r="Z1189" s="1" t="s">
        <v>5347</v>
      </c>
      <c r="AA1189" s="1" t="s">
        <v>5348</v>
      </c>
      <c r="AB1189" s="1"/>
      <c r="AC1189" s="1"/>
      <c r="AD1189" s="1"/>
      <c r="AE1189" s="1"/>
      <c r="AF1189" s="1" t="s">
        <v>5349</v>
      </c>
      <c r="AG1189" s="2" t="str">
        <f>""</f>
        <v/>
      </c>
      <c r="AH1189" s="2" t="str">
        <f>"9781564780881"</f>
        <v>9781564780881</v>
      </c>
      <c r="AI1189" s="1">
        <v>0.0</v>
      </c>
      <c r="AJ1189" s="1">
        <v>3.6</v>
      </c>
      <c r="AK1189" s="1" t="s">
        <v>27</v>
      </c>
      <c r="AL1189" s="1" t="s">
        <v>28</v>
      </c>
      <c r="AM1189" s="1">
        <v>925.0</v>
      </c>
      <c r="AN1189" s="1">
        <v>2017.0</v>
      </c>
      <c r="AO1189" s="1">
        <v>1925.0</v>
      </c>
      <c r="AQ1189" s="3">
        <v>45129.0</v>
      </c>
      <c r="AR1189" s="1" t="s">
        <v>5293</v>
      </c>
      <c r="AS1189" s="1" t="s">
        <v>5350</v>
      </c>
      <c r="AT1189" s="1" t="s">
        <v>31</v>
      </c>
      <c r="AX1189" s="1">
        <v>0.0</v>
      </c>
      <c r="AY1189" s="1">
        <v>0.0</v>
      </c>
    </row>
    <row r="1190" spans="20:51" ht="15.75" hidden="1">
      <c r="T1190" s="1">
        <v>5.5419898E7</v>
      </c>
      <c r="U1190" s="1"/>
      <c r="V1190" s="1"/>
      <c r="W1190" s="1"/>
      <c r="X1190" s="1"/>
      <c r="Y1190" s="1" t="s">
        <v>5351</v>
      </c>
      <c r="Z1190" s="1" t="s">
        <v>5352</v>
      </c>
      <c r="AA1190" s="1" t="s">
        <v>5353</v>
      </c>
      <c r="AB1190" s="1"/>
      <c r="AC1190" s="1"/>
      <c r="AD1190" s="1"/>
      <c r="AE1190" s="1"/>
      <c r="AF1190" s="1" t="s">
        <v>5354</v>
      </c>
      <c r="AG1190" s="2" t="str">
        <f>"1939810523"</f>
        <v>1939810523</v>
      </c>
      <c r="AH1190" s="2" t="str">
        <f>"9781939810526"</f>
        <v>9781939810526</v>
      </c>
      <c r="AI1190" s="1">
        <v>0.0</v>
      </c>
      <c r="AJ1190" s="1">
        <v>4.22</v>
      </c>
      <c r="AK1190" s="1" t="s">
        <v>5355</v>
      </c>
      <c r="AL1190" s="1" t="s">
        <v>28</v>
      </c>
      <c r="AM1190" s="1">
        <v>920.0</v>
      </c>
      <c r="AN1190" s="1">
        <v>2021.0</v>
      </c>
      <c r="AO1190" s="1">
        <v>2013.0</v>
      </c>
      <c r="AQ1190" s="3">
        <v>45129.0</v>
      </c>
      <c r="AR1190" s="1" t="s">
        <v>5293</v>
      </c>
      <c r="AS1190" s="1" t="s">
        <v>5356</v>
      </c>
      <c r="AT1190" s="1" t="s">
        <v>31</v>
      </c>
      <c r="AX1190" s="1">
        <v>0.0</v>
      </c>
      <c r="AY1190" s="1">
        <v>0.0</v>
      </c>
    </row>
    <row r="1191" spans="20:51" ht="15.75" hidden="1">
      <c r="T1191" s="1">
        <v>408862.0</v>
      </c>
      <c r="U1191" s="1"/>
      <c r="V1191" s="1"/>
      <c r="W1191" s="1"/>
      <c r="X1191" s="1"/>
      <c r="Y1191" s="1" t="s">
        <v>5357</v>
      </c>
      <c r="Z1191" s="1" t="s">
        <v>5358</v>
      </c>
      <c r="AA1191" s="1" t="s">
        <v>5359</v>
      </c>
      <c r="AB1191" s="1"/>
      <c r="AC1191" s="1"/>
      <c r="AD1191" s="1"/>
      <c r="AE1191" s="1"/>
      <c r="AG1191" s="2" t="str">
        <f>"0684826305"</f>
        <v>0684826305</v>
      </c>
      <c r="AH1191" s="2" t="str">
        <f>"9780684826301"</f>
        <v>9780684826301</v>
      </c>
      <c r="AI1191" s="1">
        <v>0.0</v>
      </c>
      <c r="AJ1191" s="1">
        <v>4.03</v>
      </c>
      <c r="AK1191" s="1" t="s">
        <v>936</v>
      </c>
      <c r="AL1191" s="1" t="s">
        <v>28</v>
      </c>
      <c r="AM1191" s="1">
        <v>880.0</v>
      </c>
      <c r="AN1191" s="1">
        <v>1995.0</v>
      </c>
      <c r="AO1191" s="1">
        <v>1890.0</v>
      </c>
      <c r="AQ1191" s="3">
        <v>44959.0</v>
      </c>
      <c r="AR1191" s="1" t="s">
        <v>2451</v>
      </c>
      <c r="AS1191" s="1" t="s">
        <v>5360</v>
      </c>
      <c r="AT1191" s="1" t="s">
        <v>31</v>
      </c>
      <c r="AX1191" s="1">
        <v>0.0</v>
      </c>
      <c r="AY1191" s="1">
        <v>0.0</v>
      </c>
    </row>
    <row r="1192" spans="20:51" ht="15.75" hidden="1">
      <c r="T1192" s="1">
        <v>1.733323E7</v>
      </c>
      <c r="U1192" s="1"/>
      <c r="V1192" s="1"/>
      <c r="W1192" s="1"/>
      <c r="X1192" s="1"/>
      <c r="Y1192" s="1" t="s">
        <v>5361</v>
      </c>
      <c r="Z1192" s="1" t="s">
        <v>5362</v>
      </c>
      <c r="AA1192" s="1" t="s">
        <v>5363</v>
      </c>
      <c r="AB1192" s="1"/>
      <c r="AC1192" s="1"/>
      <c r="AD1192" s="1"/>
      <c r="AE1192" s="1"/>
      <c r="AG1192" s="2" t="str">
        <f>"0316074314"</f>
        <v>0316074314</v>
      </c>
      <c r="AH1192" s="2" t="str">
        <f>"9780316074315"</f>
        <v>9780316074315</v>
      </c>
      <c r="AI1192" s="1">
        <v>0.0</v>
      </c>
      <c r="AJ1192" s="1">
        <v>3.74</v>
      </c>
      <c r="AK1192" s="1" t="s">
        <v>380</v>
      </c>
      <c r="AL1192" s="1" t="s">
        <v>41</v>
      </c>
      <c r="AM1192" s="1">
        <v>848.0</v>
      </c>
      <c r="AN1192" s="1">
        <v>2013.0</v>
      </c>
      <c r="AO1192" s="1">
        <v>2013.0</v>
      </c>
      <c r="AQ1192" s="3">
        <v>45111.0</v>
      </c>
      <c r="AR1192" s="1" t="s">
        <v>5364</v>
      </c>
      <c r="AS1192" s="1" t="s">
        <v>5365</v>
      </c>
      <c r="AT1192" s="1" t="s">
        <v>31</v>
      </c>
      <c r="AX1192" s="1">
        <v>0.0</v>
      </c>
      <c r="AY1192" s="1">
        <v>0.0</v>
      </c>
    </row>
    <row r="1193" spans="20:51" ht="15.75" hidden="1">
      <c r="T1193" s="1">
        <v>36030.0</v>
      </c>
      <c r="U1193" s="1"/>
      <c r="V1193" s="1"/>
      <c r="W1193" s="1"/>
      <c r="X1193" s="1"/>
      <c r="Y1193" s="1" t="s">
        <v>5366</v>
      </c>
      <c r="Z1193" s="1" t="s">
        <v>5367</v>
      </c>
      <c r="AA1193" s="1" t="s">
        <v>5368</v>
      </c>
      <c r="AB1193" s="1"/>
      <c r="AC1193" s="1"/>
      <c r="AD1193" s="1"/>
      <c r="AE1193" s="1"/>
      <c r="AG1193" s="2" t="str">
        <f>"1842931075"</f>
        <v>1842931075</v>
      </c>
      <c r="AH1193" s="2" t="str">
        <f>"9781842931073"</f>
        <v>9781842931073</v>
      </c>
      <c r="AI1193" s="1">
        <v>0.0</v>
      </c>
      <c r="AJ1193" s="1">
        <v>3.92</v>
      </c>
      <c r="AK1193" s="1" t="s">
        <v>5369</v>
      </c>
      <c r="AL1193" s="1" t="s">
        <v>28</v>
      </c>
      <c r="AM1193" s="1">
        <v>800.0</v>
      </c>
      <c r="AN1193" s="1">
        <v>1999.0</v>
      </c>
      <c r="AO1193" s="1">
        <v>1971.0</v>
      </c>
      <c r="AQ1193" s="3">
        <v>45070.0</v>
      </c>
      <c r="AR1193" s="1" t="s">
        <v>31</v>
      </c>
      <c r="AS1193" s="1" t="s">
        <v>5370</v>
      </c>
      <c r="AT1193" s="1" t="s">
        <v>31</v>
      </c>
      <c r="AX1193" s="1">
        <v>0.0</v>
      </c>
      <c r="AY1193" s="1">
        <v>0.0</v>
      </c>
    </row>
    <row r="1194" spans="20:51" ht="15.75" hidden="1">
      <c r="T1194" s="1">
        <v>6.1629865E7</v>
      </c>
      <c r="U1194" s="1"/>
      <c r="V1194" s="1"/>
      <c r="W1194" s="1"/>
      <c r="X1194" s="1"/>
      <c r="Y1194" s="1" t="s">
        <v>5371</v>
      </c>
      <c r="Z1194" s="1" t="s">
        <v>5372</v>
      </c>
      <c r="AA1194" s="1" t="s">
        <v>5373</v>
      </c>
      <c r="AB1194" s="1"/>
      <c r="AC1194" s="1"/>
      <c r="AD1194" s="1"/>
      <c r="AE1194" s="1"/>
      <c r="AF1194" s="1" t="s">
        <v>5163</v>
      </c>
      <c r="AG1194" s="2" t="str">
        <f>"1628974516"</f>
        <v>1628974516</v>
      </c>
      <c r="AH1194" s="2" t="str">
        <f>"9781628974515"</f>
        <v>9781628974515</v>
      </c>
      <c r="AI1194" s="1">
        <v>0.0</v>
      </c>
      <c r="AJ1194" s="1">
        <v>3.91</v>
      </c>
      <c r="AK1194" s="1" t="s">
        <v>27</v>
      </c>
      <c r="AL1194" s="1" t="s">
        <v>28</v>
      </c>
      <c r="AM1194" s="1">
        <v>885.0</v>
      </c>
      <c r="AN1194" s="1">
        <v>2023.0</v>
      </c>
      <c r="AO1194" s="1">
        <v>1989.0</v>
      </c>
      <c r="AQ1194" s="3">
        <v>45003.0</v>
      </c>
      <c r="AR1194" s="1" t="s">
        <v>5293</v>
      </c>
      <c r="AS1194" s="1" t="s">
        <v>5374</v>
      </c>
      <c r="AT1194" s="1" t="s">
        <v>31</v>
      </c>
      <c r="AX1194" s="1">
        <v>0.0</v>
      </c>
      <c r="AY1194" s="1">
        <v>0.0</v>
      </c>
    </row>
    <row r="1195" spans="20:51" ht="15.75" hidden="1">
      <c r="T1195" s="1">
        <v>90018.0</v>
      </c>
      <c r="U1195" s="1"/>
      <c r="V1195" s="1"/>
      <c r="W1195" s="1"/>
      <c r="X1195" s="1"/>
      <c r="Y1195" s="1" t="s">
        <v>5375</v>
      </c>
      <c r="Z1195" s="1" t="s">
        <v>5376</v>
      </c>
      <c r="AA1195" s="1" t="s">
        <v>5377</v>
      </c>
      <c r="AB1195" s="1"/>
      <c r="AC1195" s="1"/>
      <c r="AD1195" s="1"/>
      <c r="AE1195" s="1"/>
      <c r="AF1195" s="1" t="s">
        <v>5378</v>
      </c>
      <c r="AG1195" s="2" t="str">
        <f>"1590301994"</f>
        <v>1590301994</v>
      </c>
      <c r="AH1195" s="2" t="str">
        <f>"9781590301999"</f>
        <v>9781590301999</v>
      </c>
      <c r="AI1195" s="1">
        <v>0.0</v>
      </c>
      <c r="AJ1195" s="1">
        <v>4.19</v>
      </c>
      <c r="AK1195" s="1" t="s">
        <v>5379</v>
      </c>
      <c r="AL1195" s="1" t="s">
        <v>28</v>
      </c>
      <c r="AM1195" s="1">
        <v>880.0</v>
      </c>
      <c r="AN1195" s="1">
        <v>2006.0</v>
      </c>
      <c r="AO1195" s="1">
        <v>2003.0</v>
      </c>
      <c r="AQ1195" s="3">
        <v>45070.0</v>
      </c>
      <c r="AR1195" s="1" t="s">
        <v>31</v>
      </c>
      <c r="AS1195" s="1" t="s">
        <v>5380</v>
      </c>
      <c r="AT1195" s="1" t="s">
        <v>31</v>
      </c>
      <c r="AX1195" s="1">
        <v>0.0</v>
      </c>
      <c r="AY1195" s="1">
        <v>0.0</v>
      </c>
    </row>
    <row r="1196" spans="20:51" ht="15.75" hidden="1">
      <c r="T1196" s="1">
        <v>2.7826456E7</v>
      </c>
      <c r="U1196" s="1"/>
      <c r="V1196" s="1"/>
      <c r="W1196" s="1"/>
      <c r="X1196" s="1"/>
      <c r="Y1196" s="1" t="s">
        <v>5381</v>
      </c>
      <c r="Z1196" s="1" t="s">
        <v>5382</v>
      </c>
      <c r="AA1196" s="1" t="s">
        <v>5383</v>
      </c>
      <c r="AB1196" s="1"/>
      <c r="AC1196" s="1"/>
      <c r="AD1196" s="1"/>
      <c r="AE1196" s="1"/>
      <c r="AG1196" s="2" t="str">
        <f>"9735050595"</f>
        <v>9735050595</v>
      </c>
      <c r="AH1196" s="2" t="str">
        <f>"9789735050597"</f>
        <v>9789735050597</v>
      </c>
      <c r="AI1196" s="1">
        <v>0.0</v>
      </c>
      <c r="AJ1196" s="1">
        <v>4.3</v>
      </c>
      <c r="AK1196" s="1" t="s">
        <v>5384</v>
      </c>
      <c r="AL1196" s="1" t="s">
        <v>28</v>
      </c>
      <c r="AM1196" s="1">
        <v>840.0</v>
      </c>
      <c r="AN1196" s="1">
        <v>2015.0</v>
      </c>
      <c r="AO1196" s="1">
        <v>2015.0</v>
      </c>
      <c r="AQ1196" s="3">
        <v>44869.0</v>
      </c>
      <c r="AR1196" s="1" t="s">
        <v>31</v>
      </c>
      <c r="AS1196" s="1" t="s">
        <v>5385</v>
      </c>
      <c r="AT1196" s="1" t="s">
        <v>31</v>
      </c>
      <c r="AX1196" s="1">
        <v>0.0</v>
      </c>
      <c r="AY1196" s="1">
        <v>0.0</v>
      </c>
    </row>
    <row r="1197" spans="20:51" ht="15.75" hidden="1">
      <c r="T1197" s="1">
        <v>2.1971409E7</v>
      </c>
      <c r="U1197" s="1"/>
      <c r="V1197" s="1"/>
      <c r="W1197" s="1"/>
      <c r="X1197" s="1"/>
      <c r="Y1197" s="1" t="s">
        <v>5386</v>
      </c>
      <c r="Z1197" s="1" t="s">
        <v>5387</v>
      </c>
      <c r="AA1197" s="1" t="s">
        <v>5388</v>
      </c>
      <c r="AB1197" s="1"/>
      <c r="AC1197" s="1"/>
      <c r="AD1197" s="1"/>
      <c r="AE1197" s="1"/>
      <c r="AG1197" s="2" t="str">
        <f>"158394835X"</f>
        <v>158394835X</v>
      </c>
      <c r="AH1197" s="2" t="str">
        <f>"9781583948354"</f>
        <v>9781583948354</v>
      </c>
      <c r="AI1197" s="1">
        <v>0.0</v>
      </c>
      <c r="AJ1197" s="1">
        <v>4.48</v>
      </c>
      <c r="AK1197" s="1" t="s">
        <v>5389</v>
      </c>
      <c r="AL1197" s="1" t="s">
        <v>28</v>
      </c>
      <c r="AM1197" s="1">
        <v>896.0</v>
      </c>
      <c r="AN1197" s="1">
        <v>2015.0</v>
      </c>
      <c r="AO1197" s="1">
        <v>2015.0</v>
      </c>
      <c r="AQ1197" s="3">
        <v>44790.0</v>
      </c>
      <c r="AR1197" s="1" t="s">
        <v>31</v>
      </c>
      <c r="AS1197" s="1" t="s">
        <v>5390</v>
      </c>
      <c r="AT1197" s="1" t="s">
        <v>31</v>
      </c>
      <c r="AX1197" s="1">
        <v>0.0</v>
      </c>
      <c r="AY1197" s="1">
        <v>0.0</v>
      </c>
    </row>
    <row r="1198" spans="20:51" ht="15.75" hidden="1">
      <c r="T1198" s="1">
        <v>10836.0</v>
      </c>
      <c r="U1198" s="1"/>
      <c r="V1198" s="1"/>
      <c r="W1198" s="1"/>
      <c r="X1198" s="1"/>
      <c r="Y1198" s="1" t="s">
        <v>5391</v>
      </c>
      <c r="Z1198" s="1" t="s">
        <v>5392</v>
      </c>
      <c r="AA1198" s="1" t="s">
        <v>5393</v>
      </c>
      <c r="AB1198" s="1"/>
      <c r="AC1198" s="1"/>
      <c r="AD1198" s="1"/>
      <c r="AE1198" s="1"/>
      <c r="AG1198" s="2" t="str">
        <f>"0802135587"</f>
        <v>0802135587</v>
      </c>
      <c r="AH1198" s="2" t="str">
        <f>"9780802135582"</f>
        <v>9780802135582</v>
      </c>
      <c r="AI1198" s="1">
        <v>0.0</v>
      </c>
      <c r="AJ1198" s="1">
        <v>4.12</v>
      </c>
      <c r="AK1198" s="1" t="s">
        <v>5394</v>
      </c>
      <c r="AL1198" s="1" t="s">
        <v>28</v>
      </c>
      <c r="AM1198" s="1">
        <v>814.0</v>
      </c>
      <c r="AN1198" s="1">
        <v>1997.0</v>
      </c>
      <c r="AO1198" s="1">
        <v>1997.0</v>
      </c>
      <c r="AQ1198" s="3">
        <v>44166.0</v>
      </c>
      <c r="AR1198" s="1" t="s">
        <v>1019</v>
      </c>
      <c r="AS1198" s="1" t="s">
        <v>5395</v>
      </c>
      <c r="AT1198" s="1" t="s">
        <v>31</v>
      </c>
      <c r="AX1198" s="1">
        <v>0.0</v>
      </c>
      <c r="AY1198" s="1">
        <v>0.0</v>
      </c>
    </row>
    <row r="1199" spans="20:51" ht="15.75" hidden="1">
      <c r="T1199" s="1">
        <v>141078.0</v>
      </c>
      <c r="U1199" s="1"/>
      <c r="V1199" s="1"/>
      <c r="W1199" s="1"/>
      <c r="X1199" s="1"/>
      <c r="Y1199" s="1" t="s">
        <v>5396</v>
      </c>
      <c r="Z1199" s="1" t="s">
        <v>5397</v>
      </c>
      <c r="AA1199" s="1" t="s">
        <v>5398</v>
      </c>
      <c r="AB1199" s="1"/>
      <c r="AC1199" s="1"/>
      <c r="AD1199" s="1"/>
      <c r="AE1199" s="1"/>
      <c r="AF1199" s="1" t="s">
        <v>5399</v>
      </c>
      <c r="AG1199" s="2" t="str">
        <f>"0802137687"</f>
        <v>0802137687</v>
      </c>
      <c r="AH1199" s="2" t="str">
        <f>"9780802137685"</f>
        <v>9780802137685</v>
      </c>
      <c r="AI1199" s="1">
        <v>0.0</v>
      </c>
      <c r="AJ1199" s="1">
        <v>4.33</v>
      </c>
      <c r="AK1199" s="1" t="s">
        <v>35</v>
      </c>
      <c r="AL1199" s="1" t="s">
        <v>28</v>
      </c>
      <c r="AM1199" s="1">
        <v>896.0</v>
      </c>
      <c r="AN1199" s="1">
        <v>2001.0</v>
      </c>
      <c r="AO1199" s="1">
        <v>1965.0</v>
      </c>
      <c r="AQ1199" s="4">
        <v>43430.0</v>
      </c>
      <c r="AR1199" s="1" t="s">
        <v>31</v>
      </c>
      <c r="AS1199" s="1" t="s">
        <v>5400</v>
      </c>
      <c r="AT1199" s="1" t="s">
        <v>31</v>
      </c>
      <c r="AX1199" s="1">
        <v>0.0</v>
      </c>
      <c r="AY1199" s="1">
        <v>0.0</v>
      </c>
    </row>
    <row r="1200" spans="20:51" ht="15.75" hidden="1">
      <c r="T1200" s="1">
        <v>996383.0</v>
      </c>
      <c r="U1200" s="1"/>
      <c r="V1200" s="1"/>
      <c r="W1200" s="1"/>
      <c r="X1200" s="1"/>
      <c r="Y1200" s="1" t="s">
        <v>5401</v>
      </c>
      <c r="Z1200" s="1" t="s">
        <v>5402</v>
      </c>
      <c r="AA1200" s="1" t="s">
        <v>5403</v>
      </c>
      <c r="AB1200" s="1"/>
      <c r="AC1200" s="1"/>
      <c r="AD1200" s="1"/>
      <c r="AE1200" s="1"/>
      <c r="AG1200" s="2" t="str">
        <f>"034534345X"</f>
        <v>034534345X</v>
      </c>
      <c r="AH1200" s="2" t="str">
        <f>"9780345343451"</f>
        <v>9780345343451</v>
      </c>
      <c r="AI1200" s="1">
        <v>0.0</v>
      </c>
      <c r="AJ1200" s="1">
        <v>4.58</v>
      </c>
      <c r="AK1200" s="1" t="s">
        <v>321</v>
      </c>
      <c r="AL1200" s="1" t="s">
        <v>28</v>
      </c>
      <c r="AM1200" s="1">
        <v>814.0</v>
      </c>
      <c r="AN1200" s="1">
        <v>1983.0</v>
      </c>
      <c r="AO1200" s="1">
        <v>1983.0</v>
      </c>
      <c r="AQ1200" s="3">
        <v>43961.0</v>
      </c>
      <c r="AR1200" s="1" t="s">
        <v>2539</v>
      </c>
      <c r="AS1200" s="1" t="s">
        <v>5404</v>
      </c>
      <c r="AT1200" s="1" t="s">
        <v>31</v>
      </c>
      <c r="AX1200" s="1">
        <v>0.0</v>
      </c>
      <c r="AY1200" s="1">
        <v>0.0</v>
      </c>
    </row>
    <row r="1201" spans="20:51" ht="15.75" hidden="1">
      <c r="T1201" s="1">
        <v>16884.0</v>
      </c>
      <c r="U1201" s="1"/>
      <c r="V1201" s="1"/>
      <c r="W1201" s="1"/>
      <c r="X1201" s="1"/>
      <c r="Y1201" s="1" t="s">
        <v>5405</v>
      </c>
      <c r="Z1201" s="1" t="s">
        <v>5406</v>
      </c>
      <c r="AA1201" s="1" t="s">
        <v>5407</v>
      </c>
      <c r="AB1201" s="1"/>
      <c r="AC1201" s="1"/>
      <c r="AD1201" s="1"/>
      <c r="AE1201" s="1"/>
      <c r="AG1201" s="2" t="str">
        <f>"0684813785"</f>
        <v>0684813785</v>
      </c>
      <c r="AH1201" s="2" t="str">
        <f>"9780684813783"</f>
        <v>9780684813783</v>
      </c>
      <c r="AI1201" s="1">
        <v>0.0</v>
      </c>
      <c r="AJ1201" s="1">
        <v>4.38</v>
      </c>
      <c r="AK1201" s="1" t="s">
        <v>345</v>
      </c>
      <c r="AL1201" s="1" t="s">
        <v>28</v>
      </c>
      <c r="AM1201" s="1">
        <v>886.0</v>
      </c>
      <c r="AN1201" s="1">
        <v>1995.0</v>
      </c>
      <c r="AO1201" s="1">
        <v>1986.0</v>
      </c>
      <c r="AQ1201" s="4">
        <v>44165.0</v>
      </c>
      <c r="AR1201" s="1" t="s">
        <v>31</v>
      </c>
      <c r="AS1201" s="1" t="s">
        <v>5408</v>
      </c>
      <c r="AT1201" s="1" t="s">
        <v>31</v>
      </c>
      <c r="AX1201" s="1">
        <v>0.0</v>
      </c>
      <c r="AY1201" s="1">
        <v>0.0</v>
      </c>
    </row>
    <row r="1202" spans="20:51" ht="15.75" hidden="1">
      <c r="T1202" s="1">
        <v>509086.0</v>
      </c>
      <c r="U1202" s="1"/>
      <c r="V1202" s="1"/>
      <c r="W1202" s="1"/>
      <c r="X1202" s="1"/>
      <c r="Y1202" s="1" t="s">
        <v>5409</v>
      </c>
      <c r="Z1202" s="1" t="s">
        <v>5410</v>
      </c>
      <c r="AA1202" s="1" t="s">
        <v>5411</v>
      </c>
      <c r="AB1202" s="1"/>
      <c r="AC1202" s="1"/>
      <c r="AD1202" s="1"/>
      <c r="AE1202" s="1"/>
      <c r="AF1202" s="1" t="s">
        <v>5412</v>
      </c>
      <c r="AG1202" s="2" t="str">
        <f>"8478446591"</f>
        <v>8478446591</v>
      </c>
      <c r="AH1202" s="2" t="str">
        <f>"9788478446599"</f>
        <v>9788478446599</v>
      </c>
      <c r="AI1202" s="1">
        <v>0.0</v>
      </c>
      <c r="AJ1202" s="1">
        <v>4.22</v>
      </c>
      <c r="AK1202" s="1" t="s">
        <v>5413</v>
      </c>
      <c r="AL1202" s="1" t="s">
        <v>28</v>
      </c>
      <c r="AM1202" s="1">
        <v>786.0</v>
      </c>
      <c r="AN1202" s="1">
        <v>2003.0</v>
      </c>
      <c r="AO1202" s="1">
        <v>1983.0</v>
      </c>
      <c r="AQ1202" s="3">
        <v>43976.0</v>
      </c>
      <c r="AR1202" s="1" t="s">
        <v>31</v>
      </c>
      <c r="AS1202" s="1" t="s">
        <v>5414</v>
      </c>
      <c r="AT1202" s="1" t="s">
        <v>31</v>
      </c>
      <c r="AX1202" s="1">
        <v>0.0</v>
      </c>
      <c r="AY1202" s="1">
        <v>0.0</v>
      </c>
    </row>
    <row r="1203" spans="20:51" ht="15.75" hidden="1">
      <c r="T1203" s="1">
        <v>4.3672241E7</v>
      </c>
      <c r="U1203" s="1"/>
      <c r="V1203" s="1"/>
      <c r="W1203" s="1"/>
      <c r="X1203" s="1"/>
      <c r="Y1203" s="1" t="s">
        <v>5415</v>
      </c>
      <c r="Z1203" s="1" t="s">
        <v>5416</v>
      </c>
      <c r="AA1203" s="1" t="s">
        <v>5417</v>
      </c>
      <c r="AB1203" s="1"/>
      <c r="AC1203" s="1"/>
      <c r="AD1203" s="1"/>
      <c r="AE1203" s="1"/>
      <c r="AG1203" s="2" t="str">
        <f>"140004359X"</f>
        <v>140004359X</v>
      </c>
      <c r="AH1203" s="2" t="str">
        <f>"9781400043590"</f>
        <v>9781400043590</v>
      </c>
      <c r="AI1203" s="1">
        <v>0.0</v>
      </c>
      <c r="AJ1203" s="1">
        <v>4.6</v>
      </c>
      <c r="AK1203" s="1" t="s">
        <v>634</v>
      </c>
      <c r="AL1203" s="1" t="s">
        <v>41</v>
      </c>
      <c r="AM1203" s="1">
        <v>880.0</v>
      </c>
      <c r="AN1203" s="1">
        <v>2013.0</v>
      </c>
      <c r="AQ1203" s="3">
        <v>43877.0</v>
      </c>
      <c r="AR1203" s="1" t="s">
        <v>2539</v>
      </c>
      <c r="AS1203" s="1" t="s">
        <v>5418</v>
      </c>
      <c r="AT1203" s="1" t="s">
        <v>31</v>
      </c>
      <c r="AX1203" s="1">
        <v>0.0</v>
      </c>
      <c r="AY1203" s="1">
        <v>0.0</v>
      </c>
    </row>
    <row r="1204" spans="20:51" ht="15.75" hidden="1">
      <c r="T1204" s="1">
        <v>1.0821772E7</v>
      </c>
      <c r="U1204" s="1"/>
      <c r="V1204" s="1"/>
      <c r="W1204" s="1"/>
      <c r="X1204" s="1"/>
      <c r="Y1204" s="1" t="s">
        <v>5419</v>
      </c>
      <c r="Z1204" s="1" t="s">
        <v>5420</v>
      </c>
      <c r="AA1204" s="1" t="s">
        <v>5421</v>
      </c>
      <c r="AB1204" s="1"/>
      <c r="AC1204" s="1"/>
      <c r="AD1204" s="1"/>
      <c r="AE1204" s="1"/>
      <c r="AF1204" s="1" t="s">
        <v>5422</v>
      </c>
      <c r="AG1204" s="2" t="str">
        <f>"0374229767"</f>
        <v>0374229767</v>
      </c>
      <c r="AH1204" s="2" t="str">
        <f>"9780374229764"</f>
        <v>9780374229764</v>
      </c>
      <c r="AI1204" s="1">
        <v>0.0</v>
      </c>
      <c r="AJ1204" s="1">
        <v>3.78</v>
      </c>
      <c r="AK1204" s="1" t="s">
        <v>89</v>
      </c>
      <c r="AL1204" s="1" t="s">
        <v>41</v>
      </c>
      <c r="AM1204" s="1">
        <v>1133.0</v>
      </c>
      <c r="AN1204" s="1">
        <v>2011.0</v>
      </c>
      <c r="AO1204" s="1">
        <v>2005.0</v>
      </c>
      <c r="AQ1204" s="3">
        <v>45129.0</v>
      </c>
      <c r="AR1204" s="1" t="s">
        <v>5293</v>
      </c>
      <c r="AS1204" s="1" t="s">
        <v>5423</v>
      </c>
      <c r="AT1204" s="1" t="s">
        <v>31</v>
      </c>
      <c r="AX1204" s="1">
        <v>0.0</v>
      </c>
      <c r="AY1204" s="1">
        <v>0.0</v>
      </c>
    </row>
    <row r="1205" spans="20:51" ht="15.75" hidden="1">
      <c r="T1205" s="1">
        <v>3232810.0</v>
      </c>
      <c r="U1205" s="1"/>
      <c r="V1205" s="1"/>
      <c r="W1205" s="1"/>
      <c r="X1205" s="1"/>
      <c r="Y1205" s="1" t="s">
        <v>5424</v>
      </c>
      <c r="Z1205" s="1" t="s">
        <v>5425</v>
      </c>
      <c r="AA1205" s="1" t="s">
        <v>5426</v>
      </c>
      <c r="AB1205" s="1"/>
      <c r="AC1205" s="1"/>
      <c r="AD1205" s="1"/>
      <c r="AE1205" s="1"/>
      <c r="AG1205" s="2" t="str">
        <f>"9509051349"</f>
        <v>9509051349</v>
      </c>
      <c r="AH1205" s="2" t="str">
        <f>"9789509051348"</f>
        <v>9789509051348</v>
      </c>
      <c r="AI1205" s="1">
        <v>0.0</v>
      </c>
      <c r="AJ1205" s="1">
        <v>4.23</v>
      </c>
      <c r="AK1205" s="1" t="s">
        <v>5427</v>
      </c>
      <c r="AL1205" s="1" t="s">
        <v>41</v>
      </c>
      <c r="AM1205" s="1">
        <v>1328.0</v>
      </c>
      <c r="AN1205" s="1">
        <v>2004.0</v>
      </c>
      <c r="AO1205" s="1">
        <v>1998.0</v>
      </c>
      <c r="AQ1205" s="3">
        <v>45129.0</v>
      </c>
      <c r="AR1205" s="1" t="s">
        <v>5293</v>
      </c>
      <c r="AS1205" s="1" t="s">
        <v>5428</v>
      </c>
      <c r="AT1205" s="1" t="s">
        <v>31</v>
      </c>
      <c r="AX1205" s="1">
        <v>0.0</v>
      </c>
      <c r="AY1205" s="1">
        <v>0.0</v>
      </c>
    </row>
    <row r="1206" spans="20:51" ht="15.75" hidden="1">
      <c r="T1206" s="1">
        <v>744833.0</v>
      </c>
      <c r="U1206" s="1"/>
      <c r="V1206" s="1"/>
      <c r="W1206" s="1"/>
      <c r="X1206" s="1"/>
      <c r="Y1206" s="1" t="s">
        <v>5429</v>
      </c>
      <c r="Z1206" s="1" t="s">
        <v>5430</v>
      </c>
      <c r="AA1206" s="1" t="s">
        <v>5431</v>
      </c>
      <c r="AB1206" s="1"/>
      <c r="AC1206" s="1"/>
      <c r="AD1206" s="1"/>
      <c r="AE1206" s="1"/>
      <c r="AG1206" s="2" t="str">
        <f>"0393312216"</f>
        <v>0393312216</v>
      </c>
      <c r="AH1206" s="2" t="str">
        <f>"9780393312218"</f>
        <v>9780393312218</v>
      </c>
      <c r="AI1206" s="1">
        <v>0.0</v>
      </c>
      <c r="AJ1206" s="1">
        <v>4.38</v>
      </c>
      <c r="AK1206" s="1" t="s">
        <v>113</v>
      </c>
      <c r="AL1206" s="1" t="s">
        <v>28</v>
      </c>
      <c r="AM1206" s="1">
        <v>1135.0</v>
      </c>
      <c r="AN1206" s="1">
        <v>1995.0</v>
      </c>
      <c r="AO1206" s="1">
        <v>1992.0</v>
      </c>
      <c r="AQ1206" s="3">
        <v>45129.0</v>
      </c>
      <c r="AR1206" s="1" t="s">
        <v>5293</v>
      </c>
      <c r="AS1206" s="1" t="s">
        <v>5432</v>
      </c>
      <c r="AT1206" s="1" t="s">
        <v>31</v>
      </c>
      <c r="AX1206" s="1">
        <v>0.0</v>
      </c>
      <c r="AY1206" s="1">
        <v>0.0</v>
      </c>
    </row>
    <row r="1207" spans="20:51" ht="15.75" hidden="1">
      <c r="T1207" s="1">
        <v>463533.0</v>
      </c>
      <c r="U1207" s="1"/>
      <c r="V1207" s="1"/>
      <c r="W1207" s="1"/>
      <c r="X1207" s="1"/>
      <c r="Y1207" s="1" t="s">
        <v>5433</v>
      </c>
      <c r="Z1207" s="1" t="s">
        <v>5434</v>
      </c>
      <c r="AA1207" s="1" t="s">
        <v>5435</v>
      </c>
      <c r="AB1207" s="1"/>
      <c r="AC1207" s="1"/>
      <c r="AD1207" s="1"/>
      <c r="AE1207" s="1"/>
      <c r="AF1207" s="1" t="s">
        <v>5436</v>
      </c>
      <c r="AG1207" s="2" t="str">
        <f>"0375421092"</f>
        <v>0375421092</v>
      </c>
      <c r="AH1207" s="2" t="str">
        <f>"9780375421099"</f>
        <v>9780375421099</v>
      </c>
      <c r="AI1207" s="1">
        <v>0.0</v>
      </c>
      <c r="AJ1207" s="1">
        <v>3.99</v>
      </c>
      <c r="AK1207" s="1" t="s">
        <v>5437</v>
      </c>
      <c r="AL1207" s="1" t="s">
        <v>41</v>
      </c>
      <c r="AM1207" s="1">
        <v>953.0</v>
      </c>
      <c r="AN1207" s="1">
        <v>2007.0</v>
      </c>
      <c r="AO1207" s="1">
        <v>-450.0</v>
      </c>
      <c r="AQ1207" s="3">
        <v>45116.0</v>
      </c>
      <c r="AR1207" s="1" t="s">
        <v>31</v>
      </c>
      <c r="AS1207" s="1" t="s">
        <v>5438</v>
      </c>
      <c r="AT1207" s="1" t="s">
        <v>31</v>
      </c>
      <c r="AX1207" s="1">
        <v>0.0</v>
      </c>
      <c r="AY1207" s="1">
        <v>0.0</v>
      </c>
    </row>
    <row r="1208" spans="20:51" ht="15.75" hidden="1">
      <c r="T1208" s="1">
        <v>1.8770233E7</v>
      </c>
      <c r="U1208" s="1"/>
      <c r="V1208" s="1"/>
      <c r="W1208" s="1"/>
      <c r="X1208" s="1"/>
      <c r="Y1208" s="1" t="s">
        <v>5439</v>
      </c>
      <c r="Z1208" s="1" t="s">
        <v>5440</v>
      </c>
      <c r="AA1208" s="1" t="s">
        <v>5441</v>
      </c>
      <c r="AB1208" s="1"/>
      <c r="AC1208" s="1"/>
      <c r="AD1208" s="1"/>
      <c r="AE1208" s="1"/>
      <c r="AG1208" s="2" t="str">
        <f>"0674724739"</f>
        <v>0674724739</v>
      </c>
      <c r="AH1208" s="2" t="str">
        <f>"9780674724730"</f>
        <v>9780674724730</v>
      </c>
      <c r="AI1208" s="1">
        <v>0.0</v>
      </c>
      <c r="AJ1208" s="1">
        <v>4.2</v>
      </c>
      <c r="AK1208" s="1" t="s">
        <v>875</v>
      </c>
      <c r="AL1208" s="1" t="s">
        <v>41</v>
      </c>
      <c r="AM1208" s="1">
        <v>1200.0</v>
      </c>
      <c r="AN1208" s="1">
        <v>2014.0</v>
      </c>
      <c r="AO1208" s="1">
        <v>2014.0</v>
      </c>
      <c r="AQ1208" s="3">
        <v>45043.0</v>
      </c>
      <c r="AR1208" s="1" t="s">
        <v>31</v>
      </c>
      <c r="AS1208" s="1" t="s">
        <v>5442</v>
      </c>
      <c r="AT1208" s="1" t="s">
        <v>31</v>
      </c>
      <c r="AX1208" s="1">
        <v>0.0</v>
      </c>
      <c r="AY1208" s="1">
        <v>0.0</v>
      </c>
    </row>
    <row r="1209" spans="20:51" ht="15.75" hidden="1">
      <c r="T1209" s="1">
        <v>305483.0</v>
      </c>
      <c r="U1209" s="1"/>
      <c r="V1209" s="1"/>
      <c r="W1209" s="1"/>
      <c r="X1209" s="1"/>
      <c r="Y1209" s="1" t="s">
        <v>5443</v>
      </c>
      <c r="Z1209" s="1" t="s">
        <v>5444</v>
      </c>
      <c r="AA1209" s="1" t="s">
        <v>5445</v>
      </c>
      <c r="AB1209" s="1"/>
      <c r="AC1209" s="1"/>
      <c r="AD1209" s="1"/>
      <c r="AE1209" s="1"/>
      <c r="AG1209" s="2" t="str">
        <f>"0198614535"</f>
        <v>0198614535</v>
      </c>
      <c r="AH1209" s="2" t="str">
        <f>"9780198614531"</f>
        <v>9780198614531</v>
      </c>
      <c r="AI1209" s="1">
        <v>0.0</v>
      </c>
      <c r="AJ1209" s="1">
        <v>4.17</v>
      </c>
      <c r="AK1209" s="1" t="s">
        <v>214</v>
      </c>
      <c r="AL1209" s="1" t="s">
        <v>41</v>
      </c>
      <c r="AM1209" s="1">
        <v>1184.0</v>
      </c>
      <c r="AN1209" s="1">
        <v>2006.0</v>
      </c>
      <c r="AO1209" s="1">
        <v>1985.0</v>
      </c>
      <c r="AQ1209" s="3">
        <v>45116.0</v>
      </c>
      <c r="AR1209" s="1" t="s">
        <v>31</v>
      </c>
      <c r="AS1209" s="1" t="s">
        <v>5446</v>
      </c>
      <c r="AT1209" s="1" t="s">
        <v>31</v>
      </c>
      <c r="AX1209" s="1">
        <v>0.0</v>
      </c>
      <c r="AY1209" s="1">
        <v>0.0</v>
      </c>
    </row>
    <row r="1210" spans="20:51" ht="15.75" hidden="1">
      <c r="T1210" s="1">
        <v>301227.0</v>
      </c>
      <c r="U1210" s="1"/>
      <c r="V1210" s="1"/>
      <c r="W1210" s="1"/>
      <c r="X1210" s="1"/>
      <c r="Y1210" s="1" t="s">
        <v>5447</v>
      </c>
      <c r="Z1210" s="1" t="s">
        <v>5448</v>
      </c>
      <c r="AA1210" s="1" t="s">
        <v>5449</v>
      </c>
      <c r="AB1210" s="1"/>
      <c r="AC1210" s="1"/>
      <c r="AD1210" s="1"/>
      <c r="AE1210" s="1"/>
      <c r="AF1210" s="1" t="s">
        <v>5450</v>
      </c>
      <c r="AG1210" s="2" t="str">
        <f>"0198606419"</f>
        <v>0198606419</v>
      </c>
      <c r="AH1210" s="2" t="str">
        <f>"9780198606413"</f>
        <v>9780198606413</v>
      </c>
      <c r="AI1210" s="1">
        <v>0.0</v>
      </c>
      <c r="AJ1210" s="1">
        <v>4.65</v>
      </c>
      <c r="AK1210" s="1" t="s">
        <v>1186</v>
      </c>
      <c r="AL1210" s="1" t="s">
        <v>41</v>
      </c>
      <c r="AM1210" s="1">
        <v>1704.0</v>
      </c>
      <c r="AN1210" s="1">
        <v>2003.0</v>
      </c>
      <c r="AO1210" s="1">
        <v>1949.0</v>
      </c>
      <c r="AQ1210" s="3">
        <v>45115.0</v>
      </c>
      <c r="AR1210" s="1" t="s">
        <v>2539</v>
      </c>
      <c r="AS1210" s="1" t="s">
        <v>5451</v>
      </c>
      <c r="AT1210" s="1" t="s">
        <v>31</v>
      </c>
      <c r="AX1210" s="1">
        <v>0.0</v>
      </c>
      <c r="AY1210" s="1">
        <v>0.0</v>
      </c>
    </row>
    <row r="1211" spans="20:51" ht="15.75" hidden="1">
      <c r="T1211" s="1">
        <v>41363.0</v>
      </c>
      <c r="U1211" s="1"/>
      <c r="V1211" s="1"/>
      <c r="W1211" s="1"/>
      <c r="X1211" s="1"/>
      <c r="Y1211" s="1" t="s">
        <v>5452</v>
      </c>
      <c r="Z1211" s="1" t="s">
        <v>5453</v>
      </c>
      <c r="AA1211" s="1" t="s">
        <v>5454</v>
      </c>
      <c r="AB1211" s="1"/>
      <c r="AC1211" s="1"/>
      <c r="AD1211" s="1"/>
      <c r="AE1211" s="1"/>
      <c r="AG1211" s="2" t="str">
        <f>"0452273080"</f>
        <v>0452273080</v>
      </c>
      <c r="AH1211" s="2" t="str">
        <f>"9780452273085"</f>
        <v>9780452273085</v>
      </c>
      <c r="AI1211" s="1">
        <v>0.0</v>
      </c>
      <c r="AJ1211" s="1">
        <v>4.47</v>
      </c>
      <c r="AK1211" s="1" t="s">
        <v>721</v>
      </c>
      <c r="AL1211" s="1" t="s">
        <v>28</v>
      </c>
      <c r="AM1211" s="1">
        <v>1312.0</v>
      </c>
      <c r="AN1211" s="1">
        <v>1996.0</v>
      </c>
      <c r="AO1211" s="1">
        <v>1994.0</v>
      </c>
      <c r="AQ1211" s="3">
        <v>45123.0</v>
      </c>
      <c r="AR1211" s="1" t="s">
        <v>31</v>
      </c>
      <c r="AS1211" s="1" t="s">
        <v>5455</v>
      </c>
      <c r="AT1211" s="1" t="s">
        <v>31</v>
      </c>
      <c r="AX1211" s="1">
        <v>0.0</v>
      </c>
      <c r="AY1211" s="1">
        <v>0.0</v>
      </c>
    </row>
    <row r="1212" spans="20:51" ht="15.75" hidden="1">
      <c r="T1212" s="1">
        <v>393711.0</v>
      </c>
      <c r="U1212" s="1"/>
      <c r="V1212" s="1"/>
      <c r="W1212" s="1"/>
      <c r="X1212" s="1"/>
      <c r="Y1212" s="1" t="s">
        <v>5456</v>
      </c>
      <c r="Z1212" s="1" t="s">
        <v>5457</v>
      </c>
      <c r="AA1212" s="1" t="s">
        <v>5458</v>
      </c>
      <c r="AB1212" s="1"/>
      <c r="AC1212" s="1"/>
      <c r="AD1212" s="1"/>
      <c r="AE1212" s="1"/>
      <c r="AG1212" s="2" t="str">
        <f>"1557000026"</f>
        <v>1557000026</v>
      </c>
      <c r="AH1212" s="2" t="str">
        <f>"9781557000026"</f>
        <v>9781557000026</v>
      </c>
      <c r="AI1212" s="1">
        <v>0.0</v>
      </c>
      <c r="AJ1212" s="1">
        <v>3.94</v>
      </c>
      <c r="AK1212" s="1" t="s">
        <v>5459</v>
      </c>
      <c r="AL1212" s="1" t="s">
        <v>28</v>
      </c>
      <c r="AM1212" s="1">
        <v>1571.0</v>
      </c>
      <c r="AN1212" s="1">
        <v>1999.0</v>
      </c>
      <c r="AO1212" s="1">
        <v>1888.0</v>
      </c>
      <c r="AQ1212" s="3">
        <v>44959.0</v>
      </c>
      <c r="AR1212" s="1" t="s">
        <v>31</v>
      </c>
      <c r="AS1212" s="1" t="s">
        <v>5460</v>
      </c>
      <c r="AT1212" s="1" t="s">
        <v>31</v>
      </c>
      <c r="AX1212" s="1">
        <v>0.0</v>
      </c>
      <c r="AY1212" s="1">
        <v>0.0</v>
      </c>
    </row>
    <row r="1213" spans="20:51" ht="15.75" hidden="1">
      <c r="T1213" s="1">
        <v>874941.0</v>
      </c>
      <c r="U1213" s="1"/>
      <c r="V1213" s="1"/>
      <c r="W1213" s="1"/>
      <c r="X1213" s="1"/>
      <c r="Y1213" s="1" t="s">
        <v>5461</v>
      </c>
      <c r="Z1213" s="1" t="s">
        <v>5462</v>
      </c>
      <c r="AA1213" s="1" t="s">
        <v>5463</v>
      </c>
      <c r="AB1213" s="1"/>
      <c r="AC1213" s="1"/>
      <c r="AD1213" s="1"/>
      <c r="AE1213" s="1"/>
      <c r="AF1213" s="1" t="s">
        <v>5464</v>
      </c>
      <c r="AG1213" s="2" t="str">
        <f>"0550142304"</f>
        <v>0550142304</v>
      </c>
      <c r="AH1213" s="2" t="str">
        <f>"9780550142306"</f>
        <v>9780550142306</v>
      </c>
      <c r="AI1213" s="1">
        <v>0.0</v>
      </c>
      <c r="AJ1213" s="1">
        <v>4.49</v>
      </c>
      <c r="AK1213" s="1" t="s">
        <v>5465</v>
      </c>
      <c r="AL1213" s="1" t="s">
        <v>41</v>
      </c>
      <c r="AM1213" s="1">
        <v>1320.0</v>
      </c>
      <c r="AN1213" s="1">
        <v>1999.0</v>
      </c>
      <c r="AO1213" s="1">
        <v>1988.0</v>
      </c>
      <c r="AQ1213" s="3">
        <v>44455.0</v>
      </c>
      <c r="AR1213" s="1" t="s">
        <v>2539</v>
      </c>
      <c r="AS1213" s="1" t="s">
        <v>5466</v>
      </c>
      <c r="AT1213" s="1" t="s">
        <v>31</v>
      </c>
      <c r="AX1213" s="1">
        <v>0.0</v>
      </c>
      <c r="AY1213" s="1">
        <v>0.0</v>
      </c>
    </row>
    <row r="1214" spans="20:51" ht="15.75" hidden="1">
      <c r="T1214" s="1">
        <v>228263.0</v>
      </c>
      <c r="U1214" s="1"/>
      <c r="V1214" s="1"/>
      <c r="W1214" s="1"/>
      <c r="X1214" s="1"/>
      <c r="Y1214" s="1" t="s">
        <v>5467</v>
      </c>
      <c r="Z1214" s="1" t="s">
        <v>5468</v>
      </c>
      <c r="AA1214" s="1" t="s">
        <v>5469</v>
      </c>
      <c r="AB1214" s="1"/>
      <c r="AC1214" s="1"/>
      <c r="AD1214" s="1"/>
      <c r="AE1214" s="1"/>
      <c r="AF1214" s="1" t="s">
        <v>5470</v>
      </c>
      <c r="AG1214" s="2" t="str">
        <f>"0140513639"</f>
        <v>0140513639</v>
      </c>
      <c r="AH1214" s="2" t="str">
        <f>"9780140513639"</f>
        <v>9780140513639</v>
      </c>
      <c r="AI1214" s="1">
        <v>0.0</v>
      </c>
      <c r="AJ1214" s="1">
        <v>4.17</v>
      </c>
      <c r="AK1214" s="1" t="s">
        <v>460</v>
      </c>
      <c r="AL1214" s="1" t="s">
        <v>28</v>
      </c>
      <c r="AM1214" s="1">
        <v>1024.0</v>
      </c>
      <c r="AN1214" s="1">
        <v>2000.0</v>
      </c>
      <c r="AO1214" s="1">
        <v>1982.0</v>
      </c>
      <c r="AQ1214" s="3">
        <v>44455.0</v>
      </c>
      <c r="AR1214" s="1" t="s">
        <v>31</v>
      </c>
      <c r="AS1214" s="1" t="s">
        <v>5471</v>
      </c>
      <c r="AT1214" s="1" t="s">
        <v>31</v>
      </c>
      <c r="AX1214" s="1">
        <v>0.0</v>
      </c>
      <c r="AY1214" s="1">
        <v>0.0</v>
      </c>
    </row>
    <row r="1215" spans="20:51" ht="15.75" hidden="1">
      <c r="T1215" s="1">
        <v>31923.0</v>
      </c>
      <c r="U1215" s="1"/>
      <c r="V1215" s="1"/>
      <c r="W1215" s="1"/>
      <c r="X1215" s="1"/>
      <c r="Y1215" s="1" t="s">
        <v>5472</v>
      </c>
      <c r="Z1215" s="1" t="s">
        <v>5473</v>
      </c>
      <c r="AA1215" s="1" t="s">
        <v>5474</v>
      </c>
      <c r="AB1215" s="1"/>
      <c r="AC1215" s="1"/>
      <c r="AD1215" s="1"/>
      <c r="AE1215" s="1"/>
      <c r="AF1215" s="1" t="s">
        <v>5475</v>
      </c>
      <c r="AG1215" s="2" t="str">
        <f>"0875428320"</f>
        <v>0875428320</v>
      </c>
      <c r="AH1215" s="2" t="str">
        <f>"9780875428321"</f>
        <v>9780875428321</v>
      </c>
      <c r="AI1215" s="1">
        <v>0.0</v>
      </c>
      <c r="AJ1215" s="1">
        <v>4.1</v>
      </c>
      <c r="AK1215" s="1" t="s">
        <v>615</v>
      </c>
      <c r="AL1215" s="1" t="s">
        <v>28</v>
      </c>
      <c r="AM1215" s="1">
        <v>1024.0</v>
      </c>
      <c r="AN1215" s="1">
        <v>1992.0</v>
      </c>
      <c r="AO1215" s="1">
        <v>1510.0</v>
      </c>
      <c r="AQ1215" s="3">
        <v>43957.0</v>
      </c>
      <c r="AR1215" s="1" t="s">
        <v>31</v>
      </c>
      <c r="AS1215" s="1" t="s">
        <v>5476</v>
      </c>
      <c r="AT1215" s="1" t="s">
        <v>31</v>
      </c>
      <c r="AX1215" s="1">
        <v>0.0</v>
      </c>
      <c r="AY1215" s="1">
        <v>0.0</v>
      </c>
    </row>
    <row r="1216" spans="20:51" ht="15.75" hidden="1">
      <c r="T1216" s="1">
        <v>3.4129245E7</v>
      </c>
      <c r="U1216" s="1"/>
      <c r="V1216" s="1"/>
      <c r="W1216" s="1"/>
      <c r="X1216" s="1"/>
      <c r="Y1216" s="1" t="s">
        <v>5477</v>
      </c>
      <c r="Z1216" s="1" t="s">
        <v>5478</v>
      </c>
      <c r="AA1216" s="1" t="s">
        <v>5479</v>
      </c>
      <c r="AB1216" s="1"/>
      <c r="AC1216" s="1"/>
      <c r="AD1216" s="1"/>
      <c r="AE1216" s="1"/>
      <c r="AG1216" s="2" t="str">
        <f>"0802124917"</f>
        <v>0802124917</v>
      </c>
      <c r="AH1216" s="2" t="str">
        <f>"9780802124913"</f>
        <v>9780802124913</v>
      </c>
      <c r="AI1216" s="1">
        <v>0.0</v>
      </c>
      <c r="AJ1216" s="1">
        <v>2.98</v>
      </c>
      <c r="AK1216" s="1" t="s">
        <v>35</v>
      </c>
      <c r="AL1216" s="1" t="s">
        <v>41</v>
      </c>
      <c r="AM1216" s="1">
        <v>1660.0</v>
      </c>
      <c r="AN1216" s="1">
        <v>2017.0</v>
      </c>
      <c r="AO1216" s="1">
        <v>2017.0</v>
      </c>
      <c r="AQ1216" s="3">
        <v>44227.0</v>
      </c>
      <c r="AR1216" s="1" t="s">
        <v>31</v>
      </c>
      <c r="AS1216" s="1" t="s">
        <v>5480</v>
      </c>
      <c r="AT1216" s="1" t="s">
        <v>31</v>
      </c>
      <c r="AX1216" s="1">
        <v>0.0</v>
      </c>
      <c r="AY1216" s="1">
        <v>0.0</v>
      </c>
    </row>
    <row r="1217" spans="20:51" ht="15.75" hidden="1">
      <c r="T1217" s="1">
        <v>44042.0</v>
      </c>
      <c r="U1217" s="1"/>
      <c r="V1217" s="1"/>
      <c r="W1217" s="1"/>
      <c r="X1217" s="1"/>
      <c r="Y1217" s="1" t="s">
        <v>5481</v>
      </c>
      <c r="Z1217" s="1" t="s">
        <v>3912</v>
      </c>
      <c r="AA1217" s="1" t="s">
        <v>3913</v>
      </c>
      <c r="AB1217" s="1"/>
      <c r="AC1217" s="1"/>
      <c r="AD1217" s="1"/>
      <c r="AE1217" s="1"/>
      <c r="AG1217" s="2" t="str">
        <f>"8423338738"</f>
        <v>8423338738</v>
      </c>
      <c r="AH1217" s="2" t="str">
        <f>"9788423338733"</f>
        <v>9788423338733</v>
      </c>
      <c r="AI1217" s="1">
        <v>0.0</v>
      </c>
      <c r="AJ1217" s="1">
        <v>4.4</v>
      </c>
      <c r="AK1217" s="1" t="s">
        <v>5482</v>
      </c>
      <c r="AL1217" s="1" t="s">
        <v>41</v>
      </c>
      <c r="AM1217" s="1">
        <v>1664.0</v>
      </c>
      <c r="AN1217" s="1">
        <v>2006.0</v>
      </c>
      <c r="AO1217" s="1">
        <v>2006.0</v>
      </c>
      <c r="AQ1217" s="3">
        <v>44094.0</v>
      </c>
      <c r="AR1217" s="1" t="s">
        <v>31</v>
      </c>
      <c r="AS1217" s="1" t="s">
        <v>5483</v>
      </c>
      <c r="AT1217" s="1" t="s">
        <v>31</v>
      </c>
      <c r="AX1217" s="1">
        <v>0.0</v>
      </c>
      <c r="AY1217" s="1">
        <v>0.0</v>
      </c>
    </row>
    <row r="1218" spans="20:51" ht="15.75" hidden="1">
      <c r="T1218" s="1">
        <v>1.2078712E7</v>
      </c>
      <c r="U1218" s="1"/>
      <c r="V1218" s="1"/>
      <c r="W1218" s="1"/>
      <c r="X1218" s="1"/>
      <c r="Y1218" s="1" t="s">
        <v>5484</v>
      </c>
      <c r="Z1218" s="1" t="s">
        <v>5485</v>
      </c>
      <c r="AA1218" s="1" t="s">
        <v>5486</v>
      </c>
      <c r="AB1218" s="1"/>
      <c r="AC1218" s="1"/>
      <c r="AD1218" s="1"/>
      <c r="AE1218" s="1"/>
      <c r="AG1218" s="2" t="str">
        <f>"9681678753"</f>
        <v>9681678753</v>
      </c>
      <c r="AH1218" s="2" t="str">
        <f>"9789681678753"</f>
        <v>9789681678753</v>
      </c>
      <c r="AI1218" s="1">
        <v>0.0</v>
      </c>
      <c r="AJ1218" s="1">
        <v>3.89</v>
      </c>
      <c r="AK1218" s="1" t="s">
        <v>5487</v>
      </c>
      <c r="AL1218" s="1" t="s">
        <v>28</v>
      </c>
      <c r="AM1218" s="1">
        <v>449.0</v>
      </c>
      <c r="AN1218" s="1">
        <v>2007.0</v>
      </c>
      <c r="AO1218" s="1">
        <v>1984.0</v>
      </c>
      <c r="AQ1218" s="3">
        <v>45129.0</v>
      </c>
      <c r="AR1218" s="1" t="s">
        <v>5293</v>
      </c>
      <c r="AS1218" s="1" t="s">
        <v>5488</v>
      </c>
      <c r="AT1218" s="1" t="s">
        <v>31</v>
      </c>
      <c r="AX1218" s="1">
        <v>0.0</v>
      </c>
      <c r="AY1218" s="1">
        <v>0.0</v>
      </c>
    </row>
    <row r="1219" spans="20:51" ht="15.75" hidden="1">
      <c r="T1219" s="1">
        <v>2.6014318E7</v>
      </c>
      <c r="U1219" s="1"/>
      <c r="V1219" s="1"/>
      <c r="W1219" s="1"/>
      <c r="X1219" s="1"/>
      <c r="Y1219" s="1" t="s">
        <v>5489</v>
      </c>
      <c r="Z1219" s="1" t="s">
        <v>5490</v>
      </c>
      <c r="AA1219" s="1" t="s">
        <v>5491</v>
      </c>
      <c r="AB1219" s="1"/>
      <c r="AC1219" s="1"/>
      <c r="AD1219" s="1"/>
      <c r="AE1219" s="1"/>
      <c r="AG1219" s="2" t="str">
        <f>"9871156936"</f>
        <v>9871156936</v>
      </c>
      <c r="AH1219" s="2" t="str">
        <f>"9789871156931"</f>
        <v>9789871156931</v>
      </c>
      <c r="AI1219" s="1">
        <v>0.0</v>
      </c>
      <c r="AJ1219" s="1">
        <v>4.47</v>
      </c>
      <c r="AK1219" s="1" t="s">
        <v>5492</v>
      </c>
      <c r="AL1219" s="1" t="s">
        <v>28</v>
      </c>
      <c r="AM1219" s="1">
        <v>672.0</v>
      </c>
      <c r="AN1219" s="1">
        <v>2008.0</v>
      </c>
      <c r="AO1219" s="1">
        <v>2000.0</v>
      </c>
      <c r="AQ1219" s="3">
        <v>45129.0</v>
      </c>
      <c r="AR1219" s="1" t="s">
        <v>5293</v>
      </c>
      <c r="AS1219" s="1" t="s">
        <v>5493</v>
      </c>
      <c r="AT1219" s="1" t="s">
        <v>31</v>
      </c>
      <c r="AX1219" s="1">
        <v>0.0</v>
      </c>
      <c r="AY1219" s="1">
        <v>0.0</v>
      </c>
    </row>
    <row r="1220" spans="20:51" ht="15.75" hidden="1">
      <c r="T1220" s="1">
        <v>473557.0</v>
      </c>
      <c r="U1220" s="1"/>
      <c r="V1220" s="1"/>
      <c r="W1220" s="1"/>
      <c r="X1220" s="1"/>
      <c r="Y1220" s="1" t="s">
        <v>5494</v>
      </c>
      <c r="Z1220" s="1" t="s">
        <v>5495</v>
      </c>
      <c r="AA1220" s="1" t="s">
        <v>5496</v>
      </c>
      <c r="AB1220" s="1"/>
      <c r="AC1220" s="1"/>
      <c r="AD1220" s="1"/>
      <c r="AE1220" s="1"/>
      <c r="AG1220" s="2" t="str">
        <f>"0811201449"</f>
        <v>0811201449</v>
      </c>
      <c r="AH1220" s="2" t="str">
        <f>"9780811201445"</f>
        <v>9780811201445</v>
      </c>
      <c r="AI1220" s="1">
        <v>0.0</v>
      </c>
      <c r="AJ1220" s="1">
        <v>4.21</v>
      </c>
      <c r="AK1220" s="1" t="s">
        <v>95</v>
      </c>
      <c r="AL1220" s="1" t="s">
        <v>28</v>
      </c>
      <c r="AM1220" s="1">
        <v>313.0</v>
      </c>
      <c r="AN1220" s="1">
        <v>1961.0</v>
      </c>
      <c r="AO1220" s="1">
        <v>1941.0</v>
      </c>
      <c r="AQ1220" s="3">
        <v>45129.0</v>
      </c>
      <c r="AR1220" s="1" t="s">
        <v>5293</v>
      </c>
      <c r="AS1220" s="1" t="s">
        <v>5497</v>
      </c>
      <c r="AT1220" s="1" t="s">
        <v>31</v>
      </c>
      <c r="AX1220" s="1">
        <v>0.0</v>
      </c>
      <c r="AY1220" s="1">
        <v>0.0</v>
      </c>
    </row>
    <row r="1221" spans="20:51" ht="15.75" hidden="1">
      <c r="T1221" s="1">
        <v>775155.0</v>
      </c>
      <c r="U1221" s="1"/>
      <c r="V1221" s="1"/>
      <c r="W1221" s="1"/>
      <c r="X1221" s="1"/>
      <c r="Y1221" s="1" t="s">
        <v>5498</v>
      </c>
      <c r="Z1221" s="1" t="s">
        <v>5499</v>
      </c>
      <c r="AA1221" s="1" t="s">
        <v>5500</v>
      </c>
      <c r="AB1221" s="1"/>
      <c r="AC1221" s="1"/>
      <c r="AD1221" s="1"/>
      <c r="AE1221" s="1"/>
      <c r="AF1221" s="1" t="s">
        <v>455</v>
      </c>
      <c r="AG1221" s="2" t="str">
        <f>"0156319357"</f>
        <v>0156319357</v>
      </c>
      <c r="AH1221" s="2" t="str">
        <f>"9780156319355"</f>
        <v>9780156319355</v>
      </c>
      <c r="AI1221" s="1">
        <v>0.0</v>
      </c>
      <c r="AJ1221" s="1">
        <v>3.78</v>
      </c>
      <c r="AK1221" s="1" t="s">
        <v>3091</v>
      </c>
      <c r="AL1221" s="1" t="s">
        <v>28</v>
      </c>
      <c r="AM1221" s="1">
        <v>547.0</v>
      </c>
      <c r="AN1221" s="1">
        <v>1989.0</v>
      </c>
      <c r="AO1221" s="1">
        <v>1977.0</v>
      </c>
      <c r="AQ1221" s="3">
        <v>45129.0</v>
      </c>
      <c r="AR1221" s="1" t="s">
        <v>5293</v>
      </c>
      <c r="AS1221" s="1" t="s">
        <v>5501</v>
      </c>
      <c r="AT1221" s="1" t="s">
        <v>31</v>
      </c>
      <c r="AX1221" s="1">
        <v>0.0</v>
      </c>
      <c r="AY1221" s="1">
        <v>0.0</v>
      </c>
    </row>
    <row r="1222" spans="20:51" ht="15.75" hidden="1">
      <c r="T1222" s="1">
        <v>1382558.0</v>
      </c>
      <c r="U1222" s="1"/>
      <c r="V1222" s="1"/>
      <c r="W1222" s="1"/>
      <c r="X1222" s="1"/>
      <c r="Y1222" s="1" t="s">
        <v>5502</v>
      </c>
      <c r="Z1222" s="1" t="s">
        <v>5503</v>
      </c>
      <c r="AA1222" s="1" t="s">
        <v>5504</v>
      </c>
      <c r="AB1222" s="1"/>
      <c r="AC1222" s="1"/>
      <c r="AD1222" s="1"/>
      <c r="AE1222" s="1"/>
      <c r="AF1222" s="1" t="s">
        <v>1670</v>
      </c>
      <c r="AG1222" s="2" t="str">
        <f>"0807605794"</f>
        <v>0807605794</v>
      </c>
      <c r="AH1222" s="2" t="str">
        <f>"9780807605790"</f>
        <v>9780807605790</v>
      </c>
      <c r="AI1222" s="1">
        <v>0.0</v>
      </c>
      <c r="AJ1222" s="1">
        <v>4.35</v>
      </c>
      <c r="AK1222" s="1" t="s">
        <v>5505</v>
      </c>
      <c r="AL1222" s="1" t="s">
        <v>41</v>
      </c>
      <c r="AN1222" s="1">
        <v>1971.0</v>
      </c>
      <c r="AO1222" s="1">
        <v>1969.0</v>
      </c>
      <c r="AQ1222" s="3">
        <v>45129.0</v>
      </c>
      <c r="AR1222" s="1" t="s">
        <v>5293</v>
      </c>
      <c r="AS1222" s="1" t="s">
        <v>5506</v>
      </c>
      <c r="AT1222" s="1" t="s">
        <v>31</v>
      </c>
      <c r="AX1222" s="1">
        <v>0.0</v>
      </c>
      <c r="AY1222" s="1">
        <v>0.0</v>
      </c>
    </row>
    <row r="1223" spans="20:51" ht="15.75" hidden="1">
      <c r="T1223" s="1">
        <v>90994.0</v>
      </c>
      <c r="U1223" s="1"/>
      <c r="V1223" s="1"/>
      <c r="W1223" s="1"/>
      <c r="X1223" s="1"/>
      <c r="Y1223" s="1" t="s">
        <v>5507</v>
      </c>
      <c r="Z1223" s="1" t="s">
        <v>5508</v>
      </c>
      <c r="AA1223" s="1" t="s">
        <v>5509</v>
      </c>
      <c r="AB1223" s="1"/>
      <c r="AC1223" s="1"/>
      <c r="AD1223" s="1"/>
      <c r="AE1223" s="1"/>
      <c r="AG1223" s="2" t="str">
        <f>"0811210030"</f>
        <v>0811210030</v>
      </c>
      <c r="AH1223" s="2" t="str">
        <f>"9780811210034"</f>
        <v>9780811210034</v>
      </c>
      <c r="AI1223" s="1">
        <v>0.0</v>
      </c>
      <c r="AJ1223" s="1">
        <v>3.82</v>
      </c>
      <c r="AK1223" s="1" t="s">
        <v>95</v>
      </c>
      <c r="AL1223" s="1" t="s">
        <v>28</v>
      </c>
      <c r="AM1223" s="1">
        <v>180.0</v>
      </c>
      <c r="AN1223" s="1">
        <v>1987.0</v>
      </c>
      <c r="AO1223" s="1">
        <v>1964.0</v>
      </c>
      <c r="AQ1223" s="3">
        <v>45129.0</v>
      </c>
      <c r="AR1223" s="1" t="s">
        <v>5293</v>
      </c>
      <c r="AS1223" s="1" t="s">
        <v>5510</v>
      </c>
      <c r="AT1223" s="1" t="s">
        <v>31</v>
      </c>
      <c r="AX1223" s="1">
        <v>0.0</v>
      </c>
      <c r="AY1223" s="1">
        <v>0.0</v>
      </c>
    </row>
    <row r="1224" spans="20:51" ht="15.75" hidden="1">
      <c r="T1224" s="1">
        <v>4413184.0</v>
      </c>
      <c r="U1224" s="1"/>
      <c r="V1224" s="1"/>
      <c r="W1224" s="1"/>
      <c r="X1224" s="1"/>
      <c r="Y1224" s="1" t="s">
        <v>5511</v>
      </c>
      <c r="Z1224" s="1" t="s">
        <v>5512</v>
      </c>
      <c r="AA1224" s="1" t="s">
        <v>5513</v>
      </c>
      <c r="AB1224" s="1"/>
      <c r="AC1224" s="1"/>
      <c r="AD1224" s="1"/>
      <c r="AE1224" s="1"/>
      <c r="AG1224" s="2" t="str">
        <f>"1573661457"</f>
        <v>1573661457</v>
      </c>
      <c r="AH1224" s="2" t="str">
        <f>"9781573661454"</f>
        <v>9781573661454</v>
      </c>
      <c r="AI1224" s="1">
        <v>0.0</v>
      </c>
      <c r="AJ1224" s="1">
        <v>3.97</v>
      </c>
      <c r="AK1224" s="1" t="s">
        <v>5514</v>
      </c>
      <c r="AL1224" s="1" t="s">
        <v>28</v>
      </c>
      <c r="AM1224" s="1">
        <v>488.0</v>
      </c>
      <c r="AN1224" s="1">
        <v>2008.0</v>
      </c>
      <c r="AO1224" s="1">
        <v>2008.0</v>
      </c>
      <c r="AQ1224" s="3">
        <v>45129.0</v>
      </c>
      <c r="AR1224" s="1" t="s">
        <v>5293</v>
      </c>
      <c r="AS1224" s="1" t="s">
        <v>5515</v>
      </c>
      <c r="AT1224" s="1" t="s">
        <v>31</v>
      </c>
      <c r="AX1224" s="1">
        <v>0.0</v>
      </c>
      <c r="AY1224" s="1">
        <v>0.0</v>
      </c>
    </row>
    <row r="1225" spans="20:51" ht="15.75" hidden="1">
      <c r="T1225" s="1">
        <v>28294.0</v>
      </c>
      <c r="U1225" s="1"/>
      <c r="V1225" s="1"/>
      <c r="W1225" s="1"/>
      <c r="X1225" s="1"/>
      <c r="Y1225" s="1" t="s">
        <v>5516</v>
      </c>
      <c r="Z1225" s="1" t="s">
        <v>5517</v>
      </c>
      <c r="AA1225" s="1" t="s">
        <v>5518</v>
      </c>
      <c r="AB1225" s="1"/>
      <c r="AC1225" s="1"/>
      <c r="AD1225" s="1"/>
      <c r="AE1225" s="1"/>
      <c r="AF1225" s="1" t="s">
        <v>5519</v>
      </c>
      <c r="AG1225" s="2" t="str">
        <f>"1567922961"</f>
        <v>1567922961</v>
      </c>
      <c r="AH1225" s="2" t="str">
        <f>"9781567922967"</f>
        <v>9781567922967</v>
      </c>
      <c r="AI1225" s="1">
        <v>0.0</v>
      </c>
      <c r="AJ1225" s="1">
        <v>3.77</v>
      </c>
      <c r="AK1225" s="1" t="s">
        <v>3067</v>
      </c>
      <c r="AL1225" s="1" t="s">
        <v>28</v>
      </c>
      <c r="AM1225" s="1">
        <v>284.0</v>
      </c>
      <c r="AN1225" s="1">
        <v>2005.0</v>
      </c>
      <c r="AO1225" s="1">
        <v>1969.0</v>
      </c>
      <c r="AQ1225" s="4">
        <v>41601.0</v>
      </c>
      <c r="AR1225" s="1" t="s">
        <v>5293</v>
      </c>
      <c r="AS1225" s="1" t="s">
        <v>5520</v>
      </c>
      <c r="AT1225" s="1" t="s">
        <v>31</v>
      </c>
      <c r="AX1225" s="1">
        <v>0.0</v>
      </c>
      <c r="AY1225" s="1">
        <v>0.0</v>
      </c>
    </row>
    <row r="1226" spans="20:51" ht="15.75" hidden="1">
      <c r="T1226" s="1">
        <v>1.7832208E7</v>
      </c>
      <c r="U1226" s="1"/>
      <c r="V1226" s="1"/>
      <c r="W1226" s="1"/>
      <c r="X1226" s="1"/>
      <c r="Y1226" s="1" t="s">
        <v>5521</v>
      </c>
      <c r="Z1226" s="1" t="s">
        <v>5522</v>
      </c>
      <c r="AA1226" s="1" t="s">
        <v>5523</v>
      </c>
      <c r="AB1226" s="1"/>
      <c r="AC1226" s="1"/>
      <c r="AD1226" s="1"/>
      <c r="AE1226" s="1"/>
      <c r="AG1226" s="2" t="str">
        <f t="shared" si="98" ref="AG1226:AH1226">""</f>
        <v/>
      </c>
      <c r="AH1226" s="2" t="str">
        <f t="shared" si="98"/>
        <v/>
      </c>
      <c r="AI1226" s="1">
        <v>0.0</v>
      </c>
      <c r="AJ1226" s="1">
        <v>3.91</v>
      </c>
      <c r="AK1226" s="1" t="s">
        <v>5524</v>
      </c>
      <c r="AL1226" s="1" t="s">
        <v>41</v>
      </c>
      <c r="AM1226" s="1">
        <v>399.0</v>
      </c>
      <c r="AN1226" s="1">
        <v>1966.0</v>
      </c>
      <c r="AO1226" s="1">
        <v>1962.0</v>
      </c>
      <c r="AQ1226" s="3">
        <v>45129.0</v>
      </c>
      <c r="AR1226" s="1" t="s">
        <v>5293</v>
      </c>
      <c r="AS1226" s="1" t="s">
        <v>5525</v>
      </c>
      <c r="AT1226" s="1" t="s">
        <v>31</v>
      </c>
      <c r="AX1226" s="1">
        <v>0.0</v>
      </c>
      <c r="AY1226" s="1">
        <v>0.0</v>
      </c>
    </row>
    <row r="1227" spans="20:51" ht="15.75" hidden="1">
      <c r="T1227" s="1">
        <v>9336187.0</v>
      </c>
      <c r="U1227" s="1"/>
      <c r="V1227" s="1"/>
      <c r="W1227" s="1"/>
      <c r="X1227" s="1"/>
      <c r="Y1227" s="1" t="s">
        <v>5526</v>
      </c>
      <c r="Z1227" s="1" t="s">
        <v>5527</v>
      </c>
      <c r="AA1227" s="1" t="s">
        <v>5528</v>
      </c>
      <c r="AB1227" s="1"/>
      <c r="AC1227" s="1"/>
      <c r="AD1227" s="1"/>
      <c r="AE1227" s="1"/>
      <c r="AG1227" s="2" t="str">
        <f>"1573661570"</f>
        <v>1573661570</v>
      </c>
      <c r="AH1227" s="2" t="str">
        <f>"9781573661577"</f>
        <v>9781573661577</v>
      </c>
      <c r="AI1227" s="1">
        <v>0.0</v>
      </c>
      <c r="AJ1227" s="1">
        <v>4.5</v>
      </c>
      <c r="AK1227" s="1" t="s">
        <v>5514</v>
      </c>
      <c r="AL1227" s="1" t="s">
        <v>28</v>
      </c>
      <c r="AM1227" s="1">
        <v>456.0</v>
      </c>
      <c r="AN1227" s="1">
        <v>2010.0</v>
      </c>
      <c r="AO1227" s="1">
        <v>2010.0</v>
      </c>
      <c r="AQ1227" s="3">
        <v>45129.0</v>
      </c>
      <c r="AR1227" s="1" t="s">
        <v>5293</v>
      </c>
      <c r="AS1227" s="1" t="s">
        <v>5529</v>
      </c>
      <c r="AT1227" s="1" t="s">
        <v>31</v>
      </c>
      <c r="AX1227" s="1">
        <v>0.0</v>
      </c>
      <c r="AY1227" s="1">
        <v>0.0</v>
      </c>
    </row>
    <row r="1228" spans="20:51" ht="15.75" hidden="1">
      <c r="T1228" s="1">
        <v>2.5330101E7</v>
      </c>
      <c r="U1228" s="1"/>
      <c r="V1228" s="1"/>
      <c r="W1228" s="1"/>
      <c r="X1228" s="1"/>
      <c r="Y1228" s="1" t="s">
        <v>5530</v>
      </c>
      <c r="Z1228" s="1" t="s">
        <v>5531</v>
      </c>
      <c r="AA1228" s="1" t="s">
        <v>5532</v>
      </c>
      <c r="AB1228" s="1"/>
      <c r="AC1228" s="1"/>
      <c r="AD1228" s="1"/>
      <c r="AE1228" s="1"/>
      <c r="AG1228" s="2" t="str">
        <f>"1617753963"</f>
        <v>1617753963</v>
      </c>
      <c r="AH1228" s="2" t="str">
        <f>"9781617753961"</f>
        <v>9781617753961</v>
      </c>
      <c r="AI1228" s="1">
        <v>0.0</v>
      </c>
      <c r="AJ1228" s="1">
        <v>4.02</v>
      </c>
      <c r="AK1228" s="1" t="s">
        <v>5533</v>
      </c>
      <c r="AL1228" s="1" t="s">
        <v>28</v>
      </c>
      <c r="AM1228" s="1">
        <v>160.0</v>
      </c>
      <c r="AN1228" s="1">
        <v>2016.0</v>
      </c>
      <c r="AO1228" s="1">
        <v>1965.0</v>
      </c>
      <c r="AQ1228" s="3">
        <v>45129.0</v>
      </c>
      <c r="AR1228" s="1" t="s">
        <v>5293</v>
      </c>
      <c r="AS1228" s="1" t="s">
        <v>5534</v>
      </c>
      <c r="AT1228" s="1" t="s">
        <v>31</v>
      </c>
      <c r="AX1228" s="1">
        <v>0.0</v>
      </c>
      <c r="AY1228" s="1">
        <v>0.0</v>
      </c>
    </row>
    <row r="1229" spans="20:51" ht="15.75" hidden="1">
      <c r="T1229" s="1">
        <v>1.3547234E7</v>
      </c>
      <c r="U1229" s="1"/>
      <c r="V1229" s="1"/>
      <c r="W1229" s="1"/>
      <c r="X1229" s="1"/>
      <c r="Y1229" s="1" t="s">
        <v>5535</v>
      </c>
      <c r="Z1229" s="1" t="s">
        <v>5536</v>
      </c>
      <c r="AA1229" s="1" t="s">
        <v>5537</v>
      </c>
      <c r="AB1229" s="1"/>
      <c r="AC1229" s="1"/>
      <c r="AD1229" s="1"/>
      <c r="AE1229" s="1"/>
      <c r="AG1229" s="2" t="str">
        <f>"1451688385"</f>
        <v>1451688385</v>
      </c>
      <c r="AH1229" s="2" t="str">
        <f>"9781451688382"</f>
        <v>9781451688382</v>
      </c>
      <c r="AI1229" s="1">
        <v>0.0</v>
      </c>
      <c r="AJ1229" s="1">
        <v>3.64</v>
      </c>
      <c r="AK1229" s="1" t="s">
        <v>101</v>
      </c>
      <c r="AL1229" s="1" t="s">
        <v>41</v>
      </c>
      <c r="AM1229" s="1">
        <v>81.0</v>
      </c>
      <c r="AN1229" s="1">
        <v>2012.0</v>
      </c>
      <c r="AO1229" s="1">
        <v>2012.0</v>
      </c>
      <c r="AQ1229" s="3">
        <v>45129.0</v>
      </c>
      <c r="AR1229" s="1" t="s">
        <v>31</v>
      </c>
      <c r="AS1229" s="1" t="s">
        <v>5538</v>
      </c>
      <c r="AT1229" s="1" t="s">
        <v>31</v>
      </c>
      <c r="AX1229" s="1">
        <v>0.0</v>
      </c>
      <c r="AY1229" s="1">
        <v>0.0</v>
      </c>
    </row>
    <row r="1230" spans="20:51" ht="15.75" hidden="1">
      <c r="T1230" s="1">
        <v>17694.0</v>
      </c>
      <c r="U1230" s="1"/>
      <c r="V1230" s="1"/>
      <c r="W1230" s="1"/>
      <c r="X1230" s="1"/>
      <c r="Y1230" s="1" t="s">
        <v>5539</v>
      </c>
      <c r="Z1230" s="1" t="s">
        <v>164</v>
      </c>
      <c r="AA1230" s="1" t="s">
        <v>165</v>
      </c>
      <c r="AB1230" s="1"/>
      <c r="AC1230" s="1"/>
      <c r="AD1230" s="1"/>
      <c r="AE1230" s="1"/>
      <c r="AF1230" s="1" t="s">
        <v>5540</v>
      </c>
      <c r="AG1230" s="2" t="str">
        <f>"0805212078"</f>
        <v>0805212078</v>
      </c>
      <c r="AH1230" s="2" t="str">
        <f>"9780805212075"</f>
        <v>9780805212075</v>
      </c>
      <c r="AI1230" s="1">
        <v>0.0</v>
      </c>
      <c r="AJ1230" s="1">
        <v>3.69</v>
      </c>
      <c r="AK1230" s="1" t="s">
        <v>166</v>
      </c>
      <c r="AL1230" s="1" t="s">
        <v>28</v>
      </c>
      <c r="AM1230" s="1">
        <v>160.0</v>
      </c>
      <c r="AN1230" s="1">
        <v>2006.0</v>
      </c>
      <c r="AO1230" s="1">
        <v>1931.0</v>
      </c>
      <c r="AQ1230" s="3">
        <v>45101.0</v>
      </c>
      <c r="AR1230" s="1" t="s">
        <v>31</v>
      </c>
      <c r="AS1230" s="1" t="s">
        <v>5541</v>
      </c>
      <c r="AT1230" s="1" t="s">
        <v>31</v>
      </c>
      <c r="AX1230" s="1">
        <v>0.0</v>
      </c>
      <c r="AY1230" s="1">
        <v>0.0</v>
      </c>
    </row>
    <row r="1231" spans="20:51" ht="15.75" hidden="1">
      <c r="T1231" s="1">
        <v>1517776.0</v>
      </c>
      <c r="U1231" s="1"/>
      <c r="V1231" s="1"/>
      <c r="W1231" s="1"/>
      <c r="X1231" s="1"/>
      <c r="Y1231" s="1" t="s">
        <v>5542</v>
      </c>
      <c r="Z1231" s="1" t="s">
        <v>5543</v>
      </c>
      <c r="AA1231" s="1" t="s">
        <v>5544</v>
      </c>
      <c r="AB1231" s="1"/>
      <c r="AC1231" s="1"/>
      <c r="AD1231" s="1"/>
      <c r="AE1231" s="1"/>
      <c r="AG1231" s="2" t="str">
        <f>"0767430360"</f>
        <v>0767430360</v>
      </c>
      <c r="AH1231" s="2" t="str">
        <f>"9780767430364"</f>
        <v>9780767430364</v>
      </c>
      <c r="AI1231" s="1">
        <v>0.0</v>
      </c>
      <c r="AJ1231" s="1">
        <v>3.25</v>
      </c>
      <c r="AK1231" s="1" t="s">
        <v>5545</v>
      </c>
      <c r="AL1231" s="1" t="s">
        <v>28</v>
      </c>
      <c r="AN1231" s="1">
        <v>2002.0</v>
      </c>
      <c r="AO1231" s="1">
        <v>2002.0</v>
      </c>
      <c r="AQ1231" s="3">
        <v>45127.0</v>
      </c>
      <c r="AR1231" s="1" t="s">
        <v>31</v>
      </c>
      <c r="AS1231" s="1" t="s">
        <v>5546</v>
      </c>
      <c r="AT1231" s="1" t="s">
        <v>31</v>
      </c>
      <c r="AX1231" s="1">
        <v>0.0</v>
      </c>
      <c r="AY1231" s="1">
        <v>0.0</v>
      </c>
    </row>
    <row r="1232" spans="20:51" ht="15.75" hidden="1">
      <c r="T1232" s="1">
        <v>560230.0</v>
      </c>
      <c r="U1232" s="1"/>
      <c r="V1232" s="1"/>
      <c r="W1232" s="1"/>
      <c r="X1232" s="1"/>
      <c r="Y1232" s="1" t="s">
        <v>5547</v>
      </c>
      <c r="Z1232" s="1" t="s">
        <v>5548</v>
      </c>
      <c r="AA1232" s="1" t="s">
        <v>5549</v>
      </c>
      <c r="AB1232" s="1"/>
      <c r="AC1232" s="1"/>
      <c r="AD1232" s="1"/>
      <c r="AE1232" s="1"/>
      <c r="AF1232" s="1" t="s">
        <v>500</v>
      </c>
      <c r="AG1232" s="2" t="str">
        <f>"0415046017"</f>
        <v>0415046017</v>
      </c>
      <c r="AH1232" s="2" t="str">
        <f>"9780415046015"</f>
        <v>9780415046015</v>
      </c>
      <c r="AI1232" s="1">
        <v>0.0</v>
      </c>
      <c r="AJ1232" s="1">
        <v>3.54</v>
      </c>
      <c r="AK1232" s="1" t="s">
        <v>132</v>
      </c>
      <c r="AL1232" s="1" t="s">
        <v>28</v>
      </c>
      <c r="AM1232" s="1">
        <v>376.0</v>
      </c>
      <c r="AN1232" s="1">
        <v>1990.0</v>
      </c>
      <c r="AO1232" s="1">
        <v>1928.0</v>
      </c>
      <c r="AQ1232" s="3">
        <v>45127.0</v>
      </c>
      <c r="AR1232" s="1" t="s">
        <v>31</v>
      </c>
      <c r="AS1232" s="1" t="s">
        <v>5550</v>
      </c>
      <c r="AT1232" s="1" t="s">
        <v>31</v>
      </c>
      <c r="AX1232" s="1">
        <v>0.0</v>
      </c>
      <c r="AY1232" s="1">
        <v>0.0</v>
      </c>
    </row>
    <row r="1233" spans="20:51" ht="15.75" hidden="1">
      <c r="T1233" s="1">
        <v>2066384.0</v>
      </c>
      <c r="U1233" s="1"/>
      <c r="V1233" s="1"/>
      <c r="W1233" s="1"/>
      <c r="X1233" s="1"/>
      <c r="Y1233" s="1" t="s">
        <v>5551</v>
      </c>
      <c r="Z1233" s="1" t="s">
        <v>5552</v>
      </c>
      <c r="AA1233" s="1" t="s">
        <v>5553</v>
      </c>
      <c r="AB1233" s="1"/>
      <c r="AC1233" s="1"/>
      <c r="AD1233" s="1"/>
      <c r="AE1233" s="1"/>
      <c r="AG1233" s="2" t="str">
        <f>"0195334574"</f>
        <v>0195334574</v>
      </c>
      <c r="AH1233" s="2" t="str">
        <f>"9780195334579"</f>
        <v>9780195334579</v>
      </c>
      <c r="AI1233" s="1">
        <v>0.0</v>
      </c>
      <c r="AJ1233" s="1">
        <v>3.94</v>
      </c>
      <c r="AK1233" s="1" t="s">
        <v>214</v>
      </c>
      <c r="AL1233" s="1" t="s">
        <v>41</v>
      </c>
      <c r="AM1233" s="1">
        <v>224.0</v>
      </c>
      <c r="AN1233" s="1">
        <v>2008.0</v>
      </c>
      <c r="AO1233" s="1">
        <v>2008.0</v>
      </c>
      <c r="AQ1233" s="3">
        <v>45126.0</v>
      </c>
      <c r="AR1233" s="1" t="s">
        <v>31</v>
      </c>
      <c r="AS1233" s="1" t="s">
        <v>5554</v>
      </c>
      <c r="AT1233" s="1" t="s">
        <v>31</v>
      </c>
      <c r="AX1233" s="1">
        <v>0.0</v>
      </c>
      <c r="AY1233" s="1">
        <v>0.0</v>
      </c>
    </row>
    <row r="1234" spans="20:51" ht="15.75" hidden="1">
      <c r="T1234" s="1">
        <v>1.8456429E7</v>
      </c>
      <c r="U1234" s="1"/>
      <c r="V1234" s="1"/>
      <c r="W1234" s="1"/>
      <c r="X1234" s="1"/>
      <c r="Y1234" s="1" t="s">
        <v>5555</v>
      </c>
      <c r="Z1234" s="1" t="s">
        <v>2955</v>
      </c>
      <c r="AA1234" s="1" t="s">
        <v>2956</v>
      </c>
      <c r="AB1234" s="1"/>
      <c r="AC1234" s="1"/>
      <c r="AD1234" s="1"/>
      <c r="AE1234" s="1"/>
      <c r="AG1234" s="2" t="str">
        <f t="shared" si="99" ref="AG1234:AH1234">""</f>
        <v/>
      </c>
      <c r="AH1234" s="2" t="str">
        <f t="shared" si="99"/>
        <v/>
      </c>
      <c r="AI1234" s="1">
        <v>0.0</v>
      </c>
      <c r="AJ1234" s="1">
        <v>3.78</v>
      </c>
      <c r="AM1234" s="1">
        <v>15.0</v>
      </c>
      <c r="AO1234" s="1">
        <v>1969.0</v>
      </c>
      <c r="AQ1234" s="3">
        <v>45126.0</v>
      </c>
      <c r="AR1234" s="1" t="s">
        <v>31</v>
      </c>
      <c r="AS1234" s="1" t="s">
        <v>5556</v>
      </c>
      <c r="AT1234" s="1" t="s">
        <v>31</v>
      </c>
      <c r="AX1234" s="1">
        <v>0.0</v>
      </c>
      <c r="AY1234" s="1">
        <v>0.0</v>
      </c>
    </row>
    <row r="1235" spans="20:51" ht="15.75" hidden="1">
      <c r="T1235" s="1">
        <v>9859899.0</v>
      </c>
      <c r="U1235" s="1"/>
      <c r="V1235" s="1"/>
      <c r="W1235" s="1"/>
      <c r="X1235" s="1"/>
      <c r="Y1235" s="1" t="s">
        <v>5557</v>
      </c>
      <c r="Z1235" s="1" t="s">
        <v>5558</v>
      </c>
      <c r="AA1235" s="1" t="s">
        <v>5559</v>
      </c>
      <c r="AB1235" s="1"/>
      <c r="AC1235" s="1"/>
      <c r="AD1235" s="1"/>
      <c r="AE1235" s="1"/>
      <c r="AG1235" s="2" t="str">
        <f>"0199747490"</f>
        <v>0199747490</v>
      </c>
      <c r="AH1235" s="2" t="str">
        <f>"9780199747498"</f>
        <v>9780199747498</v>
      </c>
      <c r="AI1235" s="1">
        <v>0.0</v>
      </c>
      <c r="AJ1235" s="1">
        <v>3.93</v>
      </c>
      <c r="AK1235" s="1" t="s">
        <v>214</v>
      </c>
      <c r="AL1235" s="1" t="s">
        <v>41</v>
      </c>
      <c r="AM1235" s="1">
        <v>162.0</v>
      </c>
      <c r="AN1235" s="1">
        <v>2011.0</v>
      </c>
      <c r="AO1235" s="1">
        <v>2011.0</v>
      </c>
      <c r="AQ1235" s="3">
        <v>45126.0</v>
      </c>
      <c r="AR1235" s="1" t="s">
        <v>31</v>
      </c>
      <c r="AS1235" s="1" t="s">
        <v>5560</v>
      </c>
      <c r="AT1235" s="1" t="s">
        <v>31</v>
      </c>
      <c r="AX1235" s="1">
        <v>0.0</v>
      </c>
      <c r="AY1235" s="1">
        <v>0.0</v>
      </c>
    </row>
    <row r="1236" spans="20:51" ht="15.75" hidden="1">
      <c r="T1236" s="1">
        <v>156180.0</v>
      </c>
      <c r="U1236" s="1"/>
      <c r="V1236" s="1"/>
      <c r="W1236" s="1"/>
      <c r="X1236" s="1"/>
      <c r="Y1236" s="1" t="s">
        <v>5561</v>
      </c>
      <c r="Z1236" s="1" t="s">
        <v>5252</v>
      </c>
      <c r="AA1236" s="1" t="s">
        <v>5253</v>
      </c>
      <c r="AB1236" s="1"/>
      <c r="AC1236" s="1"/>
      <c r="AD1236" s="1"/>
      <c r="AE1236" s="1"/>
      <c r="AG1236" s="2" t="str">
        <f>"0307262863"</f>
        <v>0307262863</v>
      </c>
      <c r="AH1236" s="2" t="str">
        <f>"9780307262868"</f>
        <v>9780307262868</v>
      </c>
      <c r="AI1236" s="1">
        <v>0.0</v>
      </c>
      <c r="AJ1236" s="1">
        <v>4.14</v>
      </c>
      <c r="AK1236" s="1" t="s">
        <v>634</v>
      </c>
      <c r="AL1236" s="1" t="s">
        <v>41</v>
      </c>
      <c r="AM1236" s="1">
        <v>432.0</v>
      </c>
      <c r="AN1236" s="1">
        <v>2006.0</v>
      </c>
      <c r="AO1236" s="1">
        <v>2006.0</v>
      </c>
      <c r="AQ1236" s="3">
        <v>45126.0</v>
      </c>
      <c r="AR1236" s="1" t="s">
        <v>31</v>
      </c>
      <c r="AS1236" s="1" t="s">
        <v>5562</v>
      </c>
      <c r="AT1236" s="1" t="s">
        <v>31</v>
      </c>
      <c r="AX1236" s="1">
        <v>0.0</v>
      </c>
      <c r="AY1236" s="1">
        <v>0.0</v>
      </c>
    </row>
    <row r="1237" spans="20:51" ht="15.75" hidden="1">
      <c r="T1237" s="1">
        <v>247620.0</v>
      </c>
      <c r="U1237" s="1"/>
      <c r="V1237" s="1"/>
      <c r="W1237" s="1"/>
      <c r="X1237" s="1"/>
      <c r="Y1237" s="1" t="s">
        <v>5563</v>
      </c>
      <c r="Z1237" s="1" t="s">
        <v>5232</v>
      </c>
      <c r="AA1237" s="1" t="s">
        <v>5233</v>
      </c>
      <c r="AB1237" s="1"/>
      <c r="AC1237" s="1"/>
      <c r="AD1237" s="1"/>
      <c r="AE1237" s="1"/>
      <c r="AG1237" s="2" t="str">
        <f>"0805083383"</f>
        <v>0805083383</v>
      </c>
      <c r="AH1237" s="2" t="str">
        <f>"9780805083385"</f>
        <v>9780805083385</v>
      </c>
      <c r="AI1237" s="1">
        <v>0.0</v>
      </c>
      <c r="AJ1237" s="1">
        <v>3.8</v>
      </c>
      <c r="AK1237" s="1" t="s">
        <v>5564</v>
      </c>
      <c r="AL1237" s="1" t="s">
        <v>28</v>
      </c>
      <c r="AM1237" s="1">
        <v>170.0</v>
      </c>
      <c r="AN1237" s="1">
        <v>2007.0</v>
      </c>
      <c r="AO1237" s="1">
        <v>2006.0</v>
      </c>
      <c r="AQ1237" s="3">
        <v>45126.0</v>
      </c>
      <c r="AR1237" s="1" t="s">
        <v>31</v>
      </c>
      <c r="AS1237" s="1" t="s">
        <v>5565</v>
      </c>
      <c r="AT1237" s="1" t="s">
        <v>31</v>
      </c>
      <c r="AX1237" s="1">
        <v>0.0</v>
      </c>
      <c r="AY1237" s="1">
        <v>0.0</v>
      </c>
    </row>
    <row r="1238" spans="20:51" ht="15.75" hidden="1">
      <c r="T1238" s="1">
        <v>1.6173838E7</v>
      </c>
      <c r="U1238" s="1"/>
      <c r="V1238" s="1"/>
      <c r="W1238" s="1"/>
      <c r="X1238" s="1"/>
      <c r="Y1238" s="1" t="s">
        <v>5566</v>
      </c>
      <c r="Z1238" s="1" t="s">
        <v>1256</v>
      </c>
      <c r="AA1238" s="1" t="s">
        <v>1257</v>
      </c>
      <c r="AB1238" s="1"/>
      <c r="AC1238" s="1"/>
      <c r="AD1238" s="1"/>
      <c r="AE1238" s="1"/>
      <c r="AF1238" s="1" t="s">
        <v>5567</v>
      </c>
      <c r="AG1238" s="2" t="str">
        <f>"0811218759"</f>
        <v>0811218759</v>
      </c>
      <c r="AH1238" s="2" t="str">
        <f>"9780811218757"</f>
        <v>9780811218757</v>
      </c>
      <c r="AI1238" s="1">
        <v>0.0</v>
      </c>
      <c r="AJ1238" s="1">
        <v>4.43</v>
      </c>
      <c r="AK1238" s="1" t="s">
        <v>95</v>
      </c>
      <c r="AL1238" s="1" t="s">
        <v>41</v>
      </c>
      <c r="AM1238" s="1">
        <v>306.0</v>
      </c>
      <c r="AN1238" s="1">
        <v>2013.0</v>
      </c>
      <c r="AO1238" s="1">
        <v>2000.0</v>
      </c>
      <c r="AQ1238" s="3">
        <v>45126.0</v>
      </c>
      <c r="AR1238" s="1" t="s">
        <v>31</v>
      </c>
      <c r="AS1238" s="1" t="s">
        <v>5568</v>
      </c>
      <c r="AT1238" s="1" t="s">
        <v>31</v>
      </c>
      <c r="AX1238" s="1">
        <v>0.0</v>
      </c>
      <c r="AY1238" s="1">
        <v>0.0</v>
      </c>
    </row>
    <row r="1239" spans="20:51" ht="15.75" hidden="1">
      <c r="T1239" s="1">
        <v>108635.0</v>
      </c>
      <c r="U1239" s="1"/>
      <c r="V1239" s="1"/>
      <c r="W1239" s="1"/>
      <c r="X1239" s="1"/>
      <c r="Y1239" s="1" t="s">
        <v>5569</v>
      </c>
      <c r="Z1239" s="1" t="s">
        <v>4157</v>
      </c>
      <c r="AA1239" s="1" t="s">
        <v>4158</v>
      </c>
      <c r="AB1239" s="1"/>
      <c r="AC1239" s="1"/>
      <c r="AD1239" s="1"/>
      <c r="AE1239" s="1"/>
      <c r="AG1239" s="2" t="str">
        <f>"0156028166"</f>
        <v>0156028166</v>
      </c>
      <c r="AH1239" s="2" t="str">
        <f>"9780156028165"</f>
        <v>9780156028165</v>
      </c>
      <c r="AI1239" s="1">
        <v>0.0</v>
      </c>
      <c r="AJ1239" s="1">
        <v>4.3</v>
      </c>
      <c r="AK1239" s="1" t="s">
        <v>4611</v>
      </c>
      <c r="AL1239" s="1" t="s">
        <v>28</v>
      </c>
      <c r="AM1239" s="1">
        <v>336.0</v>
      </c>
      <c r="AN1239" s="1">
        <v>2003.0</v>
      </c>
      <c r="AO1239" s="1">
        <v>1932.0</v>
      </c>
      <c r="AQ1239" s="3">
        <v>45126.0</v>
      </c>
      <c r="AR1239" s="1" t="s">
        <v>31</v>
      </c>
      <c r="AS1239" s="1" t="s">
        <v>5570</v>
      </c>
      <c r="AT1239" s="1" t="s">
        <v>31</v>
      </c>
      <c r="AX1239" s="1">
        <v>0.0</v>
      </c>
      <c r="AY1239" s="1">
        <v>0.0</v>
      </c>
    </row>
    <row r="1240" spans="20:51" ht="15.75" hidden="1">
      <c r="T1240" s="1">
        <v>249186.0</v>
      </c>
      <c r="U1240" s="1"/>
      <c r="V1240" s="1"/>
      <c r="W1240" s="1"/>
      <c r="X1240" s="1"/>
      <c r="Y1240" s="1" t="s">
        <v>5571</v>
      </c>
      <c r="Z1240" s="1" t="s">
        <v>5572</v>
      </c>
      <c r="AA1240" s="1" t="s">
        <v>5573</v>
      </c>
      <c r="AB1240" s="1"/>
      <c r="AC1240" s="1"/>
      <c r="AD1240" s="1"/>
      <c r="AE1240" s="1"/>
      <c r="AF1240" s="1" t="s">
        <v>5574</v>
      </c>
      <c r="AG1240" s="2" t="str">
        <f>"0062720732"</f>
        <v>0062720732</v>
      </c>
      <c r="AH1240" s="2" t="str">
        <f>"9780062720733"</f>
        <v>9780062720733</v>
      </c>
      <c r="AI1240" s="1">
        <v>0.0</v>
      </c>
      <c r="AJ1240" s="1">
        <v>3.94</v>
      </c>
      <c r="AK1240" s="1" t="s">
        <v>5575</v>
      </c>
      <c r="AL1240" s="1" t="s">
        <v>28</v>
      </c>
      <c r="AM1240" s="1">
        <v>378.0</v>
      </c>
      <c r="AN1240" s="1">
        <v>1999.0</v>
      </c>
      <c r="AO1240" s="1">
        <v>1960.0</v>
      </c>
      <c r="AQ1240" s="3">
        <v>45126.0</v>
      </c>
      <c r="AR1240" s="1" t="s">
        <v>31</v>
      </c>
      <c r="AS1240" s="1" t="s">
        <v>5576</v>
      </c>
      <c r="AT1240" s="1" t="s">
        <v>31</v>
      </c>
      <c r="AX1240" s="1">
        <v>0.0</v>
      </c>
      <c r="AY1240" s="1">
        <v>0.0</v>
      </c>
    </row>
    <row r="1241" spans="20:51" ht="15.75" hidden="1">
      <c r="T1241" s="1">
        <v>791098.0</v>
      </c>
      <c r="U1241" s="1"/>
      <c r="V1241" s="1"/>
      <c r="W1241" s="1"/>
      <c r="X1241" s="1"/>
      <c r="Y1241" s="1" t="s">
        <v>5577</v>
      </c>
      <c r="Z1241" s="1" t="s">
        <v>5578</v>
      </c>
      <c r="AA1241" s="1" t="s">
        <v>5579</v>
      </c>
      <c r="AB1241" s="1"/>
      <c r="AC1241" s="1"/>
      <c r="AD1241" s="1"/>
      <c r="AE1241" s="1"/>
      <c r="AG1241" s="2" t="str">
        <f>"0805061762"</f>
        <v>0805061762</v>
      </c>
      <c r="AH1241" s="2" t="str">
        <f>"9780805061765"</f>
        <v>9780805061765</v>
      </c>
      <c r="AI1241" s="1">
        <v>0.0</v>
      </c>
      <c r="AJ1241" s="1">
        <v>4.04</v>
      </c>
      <c r="AK1241" s="1" t="s">
        <v>5580</v>
      </c>
      <c r="AL1241" s="1" t="s">
        <v>28</v>
      </c>
      <c r="AM1241" s="1">
        <v>638.0</v>
      </c>
      <c r="AN1241" s="1">
        <v>1999.0</v>
      </c>
      <c r="AO1241" s="1">
        <v>1995.0</v>
      </c>
      <c r="AQ1241" s="3">
        <v>45126.0</v>
      </c>
      <c r="AR1241" s="1" t="s">
        <v>31</v>
      </c>
      <c r="AS1241" s="1" t="s">
        <v>5581</v>
      </c>
      <c r="AT1241" s="1" t="s">
        <v>31</v>
      </c>
      <c r="AX1241" s="1">
        <v>0.0</v>
      </c>
      <c r="AY1241" s="1">
        <v>0.0</v>
      </c>
    </row>
    <row r="1242" spans="20:51" ht="15.75" hidden="1">
      <c r="T1242" s="1">
        <v>379191.0</v>
      </c>
      <c r="U1242" s="1"/>
      <c r="V1242" s="1"/>
      <c r="W1242" s="1"/>
      <c r="X1242" s="1"/>
      <c r="Y1242" s="1" t="s">
        <v>5582</v>
      </c>
      <c r="Z1242" s="1" t="s">
        <v>5583</v>
      </c>
      <c r="AA1242" s="1" t="s">
        <v>5584</v>
      </c>
      <c r="AB1242" s="1"/>
      <c r="AC1242" s="1"/>
      <c r="AD1242" s="1"/>
      <c r="AE1242" s="1"/>
      <c r="AG1242" s="2" t="str">
        <f>"039331670X"</f>
        <v>039331670X</v>
      </c>
      <c r="AH1242" s="2" t="str">
        <f>"9780393316704"</f>
        <v>9780393316704</v>
      </c>
      <c r="AI1242" s="1">
        <v>0.0</v>
      </c>
      <c r="AJ1242" s="1">
        <v>4.15</v>
      </c>
      <c r="AK1242" s="1" t="s">
        <v>113</v>
      </c>
      <c r="AL1242" s="1" t="s">
        <v>28</v>
      </c>
      <c r="AM1242" s="1">
        <v>324.0</v>
      </c>
      <c r="AN1242" s="1">
        <v>1997.0</v>
      </c>
      <c r="AO1242" s="1">
        <v>-500.0</v>
      </c>
      <c r="AQ1242" s="3">
        <v>45126.0</v>
      </c>
      <c r="AR1242" s="1" t="s">
        <v>31</v>
      </c>
      <c r="AS1242" s="1" t="s">
        <v>5585</v>
      </c>
      <c r="AT1242" s="1" t="s">
        <v>31</v>
      </c>
      <c r="AX1242" s="1">
        <v>0.0</v>
      </c>
      <c r="AY1242" s="1">
        <v>0.0</v>
      </c>
    </row>
    <row r="1243" spans="20:51" ht="15.75" hidden="1">
      <c r="T1243" s="1">
        <v>398086.0</v>
      </c>
      <c r="U1243" s="1"/>
      <c r="V1243" s="1"/>
      <c r="W1243" s="1"/>
      <c r="X1243" s="1"/>
      <c r="Y1243" s="1" t="s">
        <v>5586</v>
      </c>
      <c r="Z1243" s="1" t="s">
        <v>5583</v>
      </c>
      <c r="AA1243" s="1" t="s">
        <v>5584</v>
      </c>
      <c r="AB1243" s="1"/>
      <c r="AC1243" s="1"/>
      <c r="AD1243" s="1"/>
      <c r="AE1243" s="1"/>
      <c r="AF1243" s="1" t="s">
        <v>5587</v>
      </c>
      <c r="AG1243" s="2" t="str">
        <f>"0674875311"</f>
        <v>0674875311</v>
      </c>
      <c r="AH1243" s="2" t="str">
        <f>"9780674875319"</f>
        <v>9780674875319</v>
      </c>
      <c r="AI1243" s="1">
        <v>0.0</v>
      </c>
      <c r="AJ1243" s="1">
        <v>3.87</v>
      </c>
      <c r="AK1243" s="1" t="s">
        <v>875</v>
      </c>
      <c r="AL1243" s="1" t="s">
        <v>28</v>
      </c>
      <c r="AM1243" s="1">
        <v>696.0</v>
      </c>
      <c r="AN1243" s="1">
        <v>1990.0</v>
      </c>
      <c r="AO1243" s="1">
        <v>1987.0</v>
      </c>
      <c r="AQ1243" s="3">
        <v>45126.0</v>
      </c>
      <c r="AR1243" s="1" t="s">
        <v>31</v>
      </c>
      <c r="AS1243" s="1" t="s">
        <v>5588</v>
      </c>
      <c r="AT1243" s="1" t="s">
        <v>31</v>
      </c>
      <c r="AX1243" s="1">
        <v>0.0</v>
      </c>
      <c r="AY1243" s="1">
        <v>0.0</v>
      </c>
    </row>
    <row r="1244" spans="20:51" ht="15.75" hidden="1">
      <c r="T1244" s="1">
        <v>3.6521344E7</v>
      </c>
      <c r="U1244" s="1"/>
      <c r="V1244" s="1"/>
      <c r="W1244" s="1"/>
      <c r="X1244" s="1"/>
      <c r="Y1244" s="1" t="s">
        <v>5589</v>
      </c>
      <c r="Z1244" s="1" t="s">
        <v>1275</v>
      </c>
      <c r="AA1244" s="1" t="s">
        <v>1276</v>
      </c>
      <c r="AB1244" s="1"/>
      <c r="AC1244" s="1"/>
      <c r="AD1244" s="1"/>
      <c r="AE1244" s="1"/>
      <c r="AG1244" s="2" t="str">
        <f>"1910702390"</f>
        <v>1910702390</v>
      </c>
      <c r="AH1244" s="2" t="str">
        <f>"9781910702390"</f>
        <v>9781910702390</v>
      </c>
      <c r="AI1244" s="1">
        <v>0.0</v>
      </c>
      <c r="AJ1244" s="1">
        <v>3.7</v>
      </c>
      <c r="AK1244" s="1" t="s">
        <v>1277</v>
      </c>
      <c r="AL1244" s="1" t="s">
        <v>41</v>
      </c>
      <c r="AM1244" s="1">
        <v>224.0</v>
      </c>
      <c r="AN1244" s="1">
        <v>2018.0</v>
      </c>
      <c r="AQ1244" s="3">
        <v>45124.0</v>
      </c>
      <c r="AR1244" s="1" t="s">
        <v>31</v>
      </c>
      <c r="AS1244" s="1" t="s">
        <v>5590</v>
      </c>
      <c r="AT1244" s="1" t="s">
        <v>31</v>
      </c>
      <c r="AX1244" s="1">
        <v>0.0</v>
      </c>
      <c r="AY1244" s="1">
        <v>0.0</v>
      </c>
    </row>
    <row r="1245" spans="20:51" ht="15.75" hidden="1">
      <c r="T1245" s="1">
        <v>1360562.0</v>
      </c>
      <c r="U1245" s="1"/>
      <c r="V1245" s="1"/>
      <c r="W1245" s="1"/>
      <c r="X1245" s="1"/>
      <c r="Y1245" s="1" t="s">
        <v>5591</v>
      </c>
      <c r="Z1245" s="1" t="s">
        <v>1337</v>
      </c>
      <c r="AA1245" s="1" t="s">
        <v>1338</v>
      </c>
      <c r="AB1245" s="1"/>
      <c r="AC1245" s="1"/>
      <c r="AD1245" s="1"/>
      <c r="AE1245" s="1"/>
      <c r="AG1245" s="2" t="str">
        <f>"9042918438"</f>
        <v>9042918438</v>
      </c>
      <c r="AH1245" s="2" t="str">
        <f>"9789042918436"</f>
        <v>9789042918436</v>
      </c>
      <c r="AI1245" s="1">
        <v>0.0</v>
      </c>
      <c r="AJ1245" s="1">
        <v>3.8</v>
      </c>
      <c r="AK1245" s="1" t="s">
        <v>5592</v>
      </c>
      <c r="AL1245" s="1" t="s">
        <v>28</v>
      </c>
      <c r="AM1245" s="1">
        <v>268.0</v>
      </c>
      <c r="AN1245" s="1">
        <v>2007.0</v>
      </c>
      <c r="AO1245" s="1">
        <v>2007.0</v>
      </c>
      <c r="AQ1245" s="3">
        <v>45124.0</v>
      </c>
      <c r="AR1245" s="1" t="s">
        <v>31</v>
      </c>
      <c r="AS1245" s="1" t="s">
        <v>5593</v>
      </c>
      <c r="AT1245" s="1" t="s">
        <v>31</v>
      </c>
      <c r="AX1245" s="1">
        <v>0.0</v>
      </c>
      <c r="AY1245" s="1">
        <v>0.0</v>
      </c>
    </row>
    <row r="1246" spans="20:51" ht="15.75" hidden="1">
      <c r="T1246" s="1">
        <v>28820.0</v>
      </c>
      <c r="U1246" s="1"/>
      <c r="V1246" s="1"/>
      <c r="W1246" s="1"/>
      <c r="X1246" s="1"/>
      <c r="Y1246" s="1" t="s">
        <v>5594</v>
      </c>
      <c r="Z1246" s="1" t="s">
        <v>5595</v>
      </c>
      <c r="AA1246" s="1" t="s">
        <v>5596</v>
      </c>
      <c r="AB1246" s="1"/>
      <c r="AC1246" s="1"/>
      <c r="AD1246" s="1"/>
      <c r="AE1246" s="1"/>
      <c r="AG1246" s="2" t="str">
        <f>"1402199031"</f>
        <v>1402199031</v>
      </c>
      <c r="AH1246" s="2" t="str">
        <f>"9781402199035"</f>
        <v>9781402199035</v>
      </c>
      <c r="AI1246" s="1">
        <v>0.0</v>
      </c>
      <c r="AJ1246" s="1">
        <v>4.0</v>
      </c>
      <c r="AK1246" s="1" t="s">
        <v>5597</v>
      </c>
      <c r="AL1246" s="1" t="s">
        <v>28</v>
      </c>
      <c r="AM1246" s="1">
        <v>519.0</v>
      </c>
      <c r="AN1246" s="1">
        <v>2000.0</v>
      </c>
      <c r="AO1246" s="1">
        <v>1902.0</v>
      </c>
      <c r="AQ1246" s="3">
        <v>45123.0</v>
      </c>
      <c r="AR1246" s="1" t="s">
        <v>31</v>
      </c>
      <c r="AS1246" s="1" t="s">
        <v>5598</v>
      </c>
      <c r="AT1246" s="1" t="s">
        <v>31</v>
      </c>
      <c r="AX1246" s="1">
        <v>0.0</v>
      </c>
      <c r="AY1246" s="1">
        <v>0.0</v>
      </c>
    </row>
    <row r="1247" spans="20:51" ht="15.75" hidden="1">
      <c r="T1247" s="1">
        <v>331089.0</v>
      </c>
      <c r="U1247" s="1"/>
      <c r="V1247" s="1"/>
      <c r="W1247" s="1"/>
      <c r="X1247" s="1"/>
      <c r="Y1247" s="1" t="s">
        <v>5599</v>
      </c>
      <c r="Z1247" s="1" t="s">
        <v>471</v>
      </c>
      <c r="AA1247" s="1" t="s">
        <v>472</v>
      </c>
      <c r="AB1247" s="1"/>
      <c r="AC1247" s="1"/>
      <c r="AD1247" s="1"/>
      <c r="AE1247" s="1"/>
      <c r="AF1247" s="1" t="s">
        <v>5600</v>
      </c>
      <c r="AG1247" s="2" t="str">
        <f>"0140447709"</f>
        <v>0140447709</v>
      </c>
      <c r="AH1247" s="2" t="str">
        <f>"9780140447705"</f>
        <v>9780140447705</v>
      </c>
      <c r="AI1247" s="1">
        <v>0.0</v>
      </c>
      <c r="AJ1247" s="1">
        <v>4.03</v>
      </c>
      <c r="AK1247" s="1" t="s">
        <v>460</v>
      </c>
      <c r="AL1247" s="1" t="s">
        <v>28</v>
      </c>
      <c r="AM1247" s="1">
        <v>243.0</v>
      </c>
      <c r="AN1247" s="1">
        <v>2005.0</v>
      </c>
      <c r="AO1247" s="1">
        <v>1240.0</v>
      </c>
      <c r="AQ1247" s="3">
        <v>45123.0</v>
      </c>
      <c r="AR1247" s="1" t="s">
        <v>31</v>
      </c>
      <c r="AS1247" s="1" t="s">
        <v>5601</v>
      </c>
      <c r="AT1247" s="1" t="s">
        <v>31</v>
      </c>
      <c r="AX1247" s="1">
        <v>0.0</v>
      </c>
      <c r="AY1247" s="1">
        <v>0.0</v>
      </c>
    </row>
    <row r="1248" spans="20:51" ht="15.75" hidden="1">
      <c r="T1248" s="1">
        <v>790550.0</v>
      </c>
      <c r="U1248" s="1"/>
      <c r="V1248" s="1"/>
      <c r="W1248" s="1"/>
      <c r="X1248" s="1"/>
      <c r="Y1248" s="1" t="s">
        <v>5602</v>
      </c>
      <c r="Z1248" s="1" t="s">
        <v>471</v>
      </c>
      <c r="AA1248" s="1" t="s">
        <v>472</v>
      </c>
      <c r="AB1248" s="1"/>
      <c r="AC1248" s="1"/>
      <c r="AD1248" s="1"/>
      <c r="AE1248" s="1"/>
      <c r="AF1248" s="1" t="s">
        <v>5603</v>
      </c>
      <c r="AG1248" s="2" t="str">
        <f>"048621866X"</f>
        <v>048621866X</v>
      </c>
      <c r="AH1248" s="2" t="str">
        <f>"9780486218663"</f>
        <v>9780486218663</v>
      </c>
      <c r="AI1248" s="1">
        <v>0.0</v>
      </c>
      <c r="AJ1248" s="1">
        <v>3.9</v>
      </c>
      <c r="AK1248" s="1" t="s">
        <v>3684</v>
      </c>
      <c r="AL1248" s="1" t="s">
        <v>28</v>
      </c>
      <c r="AM1248" s="1">
        <v>377.0</v>
      </c>
      <c r="AN1248" s="1">
        <v>1967.0</v>
      </c>
      <c r="AO1248" s="1">
        <v>-1550.0</v>
      </c>
      <c r="AQ1248" s="3">
        <v>45123.0</v>
      </c>
      <c r="AR1248" s="1" t="s">
        <v>31</v>
      </c>
      <c r="AS1248" s="1" t="s">
        <v>5604</v>
      </c>
      <c r="AT1248" s="1" t="s">
        <v>31</v>
      </c>
      <c r="AX1248" s="1">
        <v>0.0</v>
      </c>
      <c r="AY1248" s="1">
        <v>0.0</v>
      </c>
    </row>
    <row r="1249" spans="20:51" ht="15.75" hidden="1">
      <c r="T1249" s="1">
        <v>2.5993142E7</v>
      </c>
      <c r="U1249" s="1"/>
      <c r="V1249" s="1"/>
      <c r="W1249" s="1"/>
      <c r="X1249" s="1"/>
      <c r="Y1249" s="1" t="s">
        <v>5605</v>
      </c>
      <c r="Z1249" s="1" t="s">
        <v>5606</v>
      </c>
      <c r="AA1249" s="1" t="s">
        <v>5607</v>
      </c>
      <c r="AB1249" s="1"/>
      <c r="AC1249" s="1"/>
      <c r="AD1249" s="1"/>
      <c r="AE1249" s="1"/>
      <c r="AG1249" s="2" t="str">
        <f t="shared" si="100" ref="AG1249:AH1249">""</f>
        <v/>
      </c>
      <c r="AH1249" s="2" t="str">
        <f t="shared" si="100"/>
        <v/>
      </c>
      <c r="AI1249" s="1">
        <v>0.0</v>
      </c>
      <c r="AJ1249" s="1">
        <v>5.0</v>
      </c>
      <c r="AK1249" s="1" t="s">
        <v>5608</v>
      </c>
      <c r="AL1249" s="1" t="s">
        <v>41</v>
      </c>
      <c r="AM1249" s="1">
        <v>460.0</v>
      </c>
      <c r="AN1249" s="1">
        <v>1930.0</v>
      </c>
      <c r="AO1249" s="1">
        <v>1930.0</v>
      </c>
      <c r="AQ1249" s="3">
        <v>45123.0</v>
      </c>
      <c r="AR1249" s="1" t="s">
        <v>31</v>
      </c>
      <c r="AS1249" s="1" t="s">
        <v>5609</v>
      </c>
      <c r="AT1249" s="1" t="s">
        <v>31</v>
      </c>
      <c r="AX1249" s="1">
        <v>0.0</v>
      </c>
      <c r="AY1249" s="1">
        <v>0.0</v>
      </c>
    </row>
    <row r="1250" spans="20:51" ht="15.75" hidden="1">
      <c r="T1250" s="1">
        <v>8189959.0</v>
      </c>
      <c r="U1250" s="1"/>
      <c r="V1250" s="1"/>
      <c r="W1250" s="1"/>
      <c r="X1250" s="1"/>
      <c r="Y1250" s="1" t="s">
        <v>5610</v>
      </c>
      <c r="Z1250" s="1" t="s">
        <v>5611</v>
      </c>
      <c r="AA1250" s="1" t="s">
        <v>5612</v>
      </c>
      <c r="AB1250" s="1"/>
      <c r="AC1250" s="1"/>
      <c r="AD1250" s="1"/>
      <c r="AE1250" s="1"/>
      <c r="AF1250" s="1" t="s">
        <v>5613</v>
      </c>
      <c r="AG1250" s="2" t="str">
        <f>"0199732108"</f>
        <v>0199732108</v>
      </c>
      <c r="AH1250" s="2" t="str">
        <f>"9780199732104"</f>
        <v>9780199732104</v>
      </c>
      <c r="AI1250" s="1">
        <v>0.0</v>
      </c>
      <c r="AJ1250" s="1">
        <v>4.28</v>
      </c>
      <c r="AK1250" s="1" t="s">
        <v>1186</v>
      </c>
      <c r="AL1250" s="1" t="s">
        <v>41</v>
      </c>
      <c r="AM1250" s="1">
        <v>611.0</v>
      </c>
      <c r="AN1250" s="1">
        <v>2011.0</v>
      </c>
      <c r="AO1250" s="1">
        <v>2011.0</v>
      </c>
      <c r="AQ1250" s="3">
        <v>45123.0</v>
      </c>
      <c r="AR1250" s="1" t="s">
        <v>31</v>
      </c>
      <c r="AS1250" s="1" t="s">
        <v>5614</v>
      </c>
      <c r="AT1250" s="1" t="s">
        <v>31</v>
      </c>
      <c r="AX1250" s="1">
        <v>0.0</v>
      </c>
      <c r="AY1250" s="1">
        <v>0.0</v>
      </c>
    </row>
    <row r="1251" spans="20:51" ht="15.75" hidden="1">
      <c r="T1251" s="1">
        <v>2.9845449E7</v>
      </c>
      <c r="U1251" s="1"/>
      <c r="V1251" s="1"/>
      <c r="W1251" s="1"/>
      <c r="X1251" s="1"/>
      <c r="Y1251" s="1" t="s">
        <v>5615</v>
      </c>
      <c r="Z1251" s="1" t="s">
        <v>5616</v>
      </c>
      <c r="AA1251" s="1" t="s">
        <v>5617</v>
      </c>
      <c r="AB1251" s="1"/>
      <c r="AC1251" s="1"/>
      <c r="AD1251" s="1"/>
      <c r="AE1251" s="1"/>
      <c r="AG1251" s="2" t="str">
        <f>"1910924385"</f>
        <v>1910924385</v>
      </c>
      <c r="AH1251" s="2" t="str">
        <f>"9781910924389"</f>
        <v>9781910924389</v>
      </c>
      <c r="AI1251" s="1">
        <v>0.0</v>
      </c>
      <c r="AJ1251" s="1">
        <v>4.03</v>
      </c>
      <c r="AK1251" s="1" t="s">
        <v>5618</v>
      </c>
      <c r="AL1251" s="1" t="s">
        <v>28</v>
      </c>
      <c r="AM1251" s="1">
        <v>134.0</v>
      </c>
      <c r="AN1251" s="1">
        <v>2017.0</v>
      </c>
      <c r="AO1251" s="1">
        <v>2016.0</v>
      </c>
      <c r="AQ1251" s="3">
        <v>45123.0</v>
      </c>
      <c r="AR1251" s="1" t="s">
        <v>31</v>
      </c>
      <c r="AS1251" s="1" t="s">
        <v>5619</v>
      </c>
      <c r="AT1251" s="1" t="s">
        <v>31</v>
      </c>
      <c r="AX1251" s="1">
        <v>0.0</v>
      </c>
      <c r="AY1251" s="1">
        <v>0.0</v>
      </c>
    </row>
    <row r="1252" spans="20:51" ht="15.75" hidden="1">
      <c r="T1252" s="1">
        <v>1.1107324E7</v>
      </c>
      <c r="U1252" s="1"/>
      <c r="V1252" s="1"/>
      <c r="W1252" s="1"/>
      <c r="X1252" s="1"/>
      <c r="Y1252" s="1" t="s">
        <v>5620</v>
      </c>
      <c r="Z1252" s="1" t="s">
        <v>2350</v>
      </c>
      <c r="AA1252" s="1" t="s">
        <v>2351</v>
      </c>
      <c r="AB1252" s="1"/>
      <c r="AC1252" s="1"/>
      <c r="AD1252" s="1"/>
      <c r="AE1252" s="1"/>
      <c r="AG1252" s="2" t="str">
        <f>"0393072150"</f>
        <v>0393072150</v>
      </c>
      <c r="AH1252" s="2" t="str">
        <f>"9780393072150"</f>
        <v>9780393072150</v>
      </c>
      <c r="AI1252" s="1">
        <v>0.0</v>
      </c>
      <c r="AJ1252" s="1">
        <v>4.24</v>
      </c>
      <c r="AK1252" s="1" t="s">
        <v>113</v>
      </c>
      <c r="AL1252" s="1" t="s">
        <v>41</v>
      </c>
      <c r="AM1252" s="1">
        <v>304.0</v>
      </c>
      <c r="AN1252" s="1">
        <v>2011.0</v>
      </c>
      <c r="AO1252" s="1">
        <v>2011.0</v>
      </c>
      <c r="AQ1252" s="3">
        <v>45123.0</v>
      </c>
      <c r="AR1252" s="1" t="s">
        <v>31</v>
      </c>
      <c r="AS1252" s="1" t="s">
        <v>5621</v>
      </c>
      <c r="AT1252" s="1" t="s">
        <v>31</v>
      </c>
      <c r="AX1252" s="1">
        <v>0.0</v>
      </c>
      <c r="AY1252" s="1">
        <v>0.0</v>
      </c>
    </row>
    <row r="1253" spans="20:51" ht="15.75" hidden="1">
      <c r="T1253" s="1">
        <v>1.6073298E7</v>
      </c>
      <c r="U1253" s="1"/>
      <c r="V1253" s="1"/>
      <c r="W1253" s="1"/>
      <c r="X1253" s="1"/>
      <c r="Y1253" s="1" t="s">
        <v>5622</v>
      </c>
      <c r="Z1253" s="1" t="s">
        <v>4469</v>
      </c>
      <c r="AA1253" s="1" t="s">
        <v>4470</v>
      </c>
      <c r="AB1253" s="1"/>
      <c r="AC1253" s="1"/>
      <c r="AD1253" s="1"/>
      <c r="AE1253" s="1"/>
      <c r="AG1253" s="2" t="str">
        <f>"0300190964"</f>
        <v>0300190964</v>
      </c>
      <c r="AH1253" s="2" t="str">
        <f>"9780300190960"</f>
        <v>9780300190960</v>
      </c>
      <c r="AI1253" s="1">
        <v>0.0</v>
      </c>
      <c r="AJ1253" s="1">
        <v>3.68</v>
      </c>
      <c r="AK1253" s="1" t="s">
        <v>545</v>
      </c>
      <c r="AL1253" s="1" t="s">
        <v>41</v>
      </c>
      <c r="AM1253" s="1">
        <v>232.0</v>
      </c>
      <c r="AN1253" s="1">
        <v>2013.0</v>
      </c>
      <c r="AO1253" s="1">
        <v>2013.0</v>
      </c>
      <c r="AQ1253" s="3">
        <v>45123.0</v>
      </c>
      <c r="AR1253" s="1" t="s">
        <v>31</v>
      </c>
      <c r="AS1253" s="1" t="s">
        <v>5623</v>
      </c>
      <c r="AT1253" s="1" t="s">
        <v>31</v>
      </c>
      <c r="AX1253" s="1">
        <v>0.0</v>
      </c>
      <c r="AY1253" s="1">
        <v>0.0</v>
      </c>
    </row>
    <row r="1254" spans="20:51" ht="15.75" hidden="1">
      <c r="T1254" s="1">
        <v>2.5489625E7</v>
      </c>
      <c r="U1254" s="1"/>
      <c r="V1254" s="1"/>
      <c r="W1254" s="1"/>
      <c r="X1254" s="1"/>
      <c r="Y1254" s="1" t="s">
        <v>5624</v>
      </c>
      <c r="Z1254" s="1" t="s">
        <v>5625</v>
      </c>
      <c r="AA1254" s="1" t="s">
        <v>5626</v>
      </c>
      <c r="AB1254" s="1"/>
      <c r="AC1254" s="1"/>
      <c r="AD1254" s="1"/>
      <c r="AE1254" s="1"/>
      <c r="AG1254" s="2" t="str">
        <f t="shared" si="101" ref="AG1254:AH1254">""</f>
        <v/>
      </c>
      <c r="AH1254" s="2" t="str">
        <f t="shared" si="101"/>
        <v/>
      </c>
      <c r="AI1254" s="1">
        <v>0.0</v>
      </c>
      <c r="AJ1254" s="1">
        <v>4.4</v>
      </c>
      <c r="AK1254" s="1" t="s">
        <v>5627</v>
      </c>
      <c r="AL1254" s="1" t="s">
        <v>41</v>
      </c>
      <c r="AM1254" s="1">
        <v>152.0</v>
      </c>
      <c r="AN1254" s="1">
        <v>2015.0</v>
      </c>
      <c r="AO1254" s="1">
        <v>2015.0</v>
      </c>
      <c r="AQ1254" s="3">
        <v>45123.0</v>
      </c>
      <c r="AR1254" s="1" t="s">
        <v>31</v>
      </c>
      <c r="AS1254" s="1" t="s">
        <v>5628</v>
      </c>
      <c r="AT1254" s="1" t="s">
        <v>31</v>
      </c>
      <c r="AX1254" s="1">
        <v>0.0</v>
      </c>
      <c r="AY1254" s="1">
        <v>0.0</v>
      </c>
    </row>
    <row r="1255" spans="20:51" ht="15.75" hidden="1">
      <c r="T1255" s="1">
        <v>79678.0</v>
      </c>
      <c r="U1255" s="1"/>
      <c r="V1255" s="1"/>
      <c r="W1255" s="1"/>
      <c r="X1255" s="1"/>
      <c r="Y1255" s="1" t="s">
        <v>5629</v>
      </c>
      <c r="Z1255" s="1" t="s">
        <v>5630</v>
      </c>
      <c r="AA1255" s="1" t="s">
        <v>5631</v>
      </c>
      <c r="AB1255" s="1"/>
      <c r="AC1255" s="1"/>
      <c r="AD1255" s="1"/>
      <c r="AE1255" s="1"/>
      <c r="AG1255" s="2" t="str">
        <f>"0679745408"</f>
        <v>0679745408</v>
      </c>
      <c r="AH1255" s="2" t="str">
        <f>"9780679745402"</f>
        <v>9780679745402</v>
      </c>
      <c r="AI1255" s="1">
        <v>0.0</v>
      </c>
      <c r="AJ1255" s="1">
        <v>3.93</v>
      </c>
      <c r="AK1255" s="1" t="s">
        <v>83</v>
      </c>
      <c r="AL1255" s="1" t="s">
        <v>28</v>
      </c>
      <c r="AM1255" s="1">
        <v>222.0</v>
      </c>
      <c r="AN1255" s="1">
        <v>1993.0</v>
      </c>
      <c r="AO1255" s="1">
        <v>1992.0</v>
      </c>
      <c r="AQ1255" s="3">
        <v>45123.0</v>
      </c>
      <c r="AR1255" s="1" t="s">
        <v>31</v>
      </c>
      <c r="AS1255" s="1" t="s">
        <v>5632</v>
      </c>
      <c r="AT1255" s="1" t="s">
        <v>31</v>
      </c>
      <c r="AX1255" s="1">
        <v>0.0</v>
      </c>
      <c r="AY1255" s="1">
        <v>0.0</v>
      </c>
    </row>
    <row r="1256" spans="20:51" ht="15.75" hidden="1">
      <c r="T1256" s="1">
        <v>867197.0</v>
      </c>
      <c r="U1256" s="1"/>
      <c r="V1256" s="1"/>
      <c r="W1256" s="1"/>
      <c r="X1256" s="1"/>
      <c r="Y1256" s="1" t="s">
        <v>5633</v>
      </c>
      <c r="Z1256" s="1" t="s">
        <v>5634</v>
      </c>
      <c r="AA1256" s="1" t="s">
        <v>5635</v>
      </c>
      <c r="AB1256" s="1"/>
      <c r="AC1256" s="1"/>
      <c r="AD1256" s="1"/>
      <c r="AE1256" s="1"/>
      <c r="AF1256" s="1" t="s">
        <v>5636</v>
      </c>
      <c r="AG1256" s="2" t="str">
        <f>"0877288755"</f>
        <v>0877288755</v>
      </c>
      <c r="AH1256" s="2" t="str">
        <f>"9780877288756"</f>
        <v>9780877288756</v>
      </c>
      <c r="AI1256" s="1">
        <v>0.0</v>
      </c>
      <c r="AJ1256" s="1">
        <v>4.15</v>
      </c>
      <c r="AK1256" s="1" t="s">
        <v>5032</v>
      </c>
      <c r="AL1256" s="1" t="s">
        <v>28</v>
      </c>
      <c r="AM1256" s="1">
        <v>304.0</v>
      </c>
      <c r="AN1256" s="1">
        <v>1996.0</v>
      </c>
      <c r="AO1256" s="1">
        <v>1996.0</v>
      </c>
      <c r="AQ1256" s="3">
        <v>45123.0</v>
      </c>
      <c r="AR1256" s="1" t="s">
        <v>31</v>
      </c>
      <c r="AS1256" s="1" t="s">
        <v>5637</v>
      </c>
      <c r="AT1256" s="1" t="s">
        <v>31</v>
      </c>
      <c r="AX1256" s="1">
        <v>0.0</v>
      </c>
      <c r="AY1256" s="1">
        <v>0.0</v>
      </c>
    </row>
    <row r="1257" spans="20:51" ht="15.75" hidden="1">
      <c r="T1257" s="1">
        <v>867202.0</v>
      </c>
      <c r="U1257" s="1"/>
      <c r="V1257" s="1"/>
      <c r="W1257" s="1"/>
      <c r="X1257" s="1"/>
      <c r="Y1257" s="1" t="s">
        <v>5638</v>
      </c>
      <c r="Z1257" s="1" t="s">
        <v>5634</v>
      </c>
      <c r="AA1257" s="1" t="s">
        <v>5635</v>
      </c>
      <c r="AB1257" s="1"/>
      <c r="AC1257" s="1"/>
      <c r="AD1257" s="1"/>
      <c r="AE1257" s="1"/>
      <c r="AG1257" s="2" t="str">
        <f>"0880795115"</f>
        <v>0880795115</v>
      </c>
      <c r="AH1257" s="2" t="str">
        <f>"9780880795111"</f>
        <v>9780880795111</v>
      </c>
      <c r="AI1257" s="1">
        <v>0.0</v>
      </c>
      <c r="AJ1257" s="1">
        <v>3.93</v>
      </c>
      <c r="AK1257" s="1" t="s">
        <v>5639</v>
      </c>
      <c r="AL1257" s="1" t="s">
        <v>28</v>
      </c>
      <c r="AM1257" s="1">
        <v>184.0</v>
      </c>
      <c r="AN1257" s="1">
        <v>2003.0</v>
      </c>
      <c r="AO1257" s="1">
        <v>1986.0</v>
      </c>
      <c r="AQ1257" s="3">
        <v>45123.0</v>
      </c>
      <c r="AR1257" s="1" t="s">
        <v>31</v>
      </c>
      <c r="AS1257" s="1" t="s">
        <v>5640</v>
      </c>
      <c r="AT1257" s="1" t="s">
        <v>31</v>
      </c>
      <c r="AX1257" s="1">
        <v>0.0</v>
      </c>
      <c r="AY1257" s="1">
        <v>0.0</v>
      </c>
    </row>
    <row r="1258" spans="20:51" ht="15.75" hidden="1">
      <c r="T1258" s="1">
        <v>156196.0</v>
      </c>
      <c r="U1258" s="1"/>
      <c r="V1258" s="1"/>
      <c r="W1258" s="1"/>
      <c r="X1258" s="1"/>
      <c r="Y1258" s="1" t="s">
        <v>5641</v>
      </c>
      <c r="Z1258" s="1" t="s">
        <v>33</v>
      </c>
      <c r="AA1258" s="1" t="s">
        <v>34</v>
      </c>
      <c r="AB1258" s="1"/>
      <c r="AC1258" s="1"/>
      <c r="AD1258" s="1"/>
      <c r="AE1258" s="1"/>
      <c r="AG1258" s="2" t="str">
        <f>"0802135404"</f>
        <v>0802135404</v>
      </c>
      <c r="AH1258" s="2" t="str">
        <f>"9780802135407"</f>
        <v>9780802135407</v>
      </c>
      <c r="AI1258" s="1">
        <v>0.0</v>
      </c>
      <c r="AJ1258" s="1">
        <v>3.65</v>
      </c>
      <c r="AK1258" s="1" t="s">
        <v>35</v>
      </c>
      <c r="AL1258" s="1" t="s">
        <v>28</v>
      </c>
      <c r="AM1258" s="1">
        <v>102.0</v>
      </c>
      <c r="AN1258" s="1">
        <v>1997.0</v>
      </c>
      <c r="AO1258" s="1">
        <v>1981.0</v>
      </c>
      <c r="AQ1258" s="3">
        <v>45123.0</v>
      </c>
      <c r="AR1258" s="1" t="s">
        <v>31</v>
      </c>
      <c r="AS1258" s="1" t="s">
        <v>5642</v>
      </c>
      <c r="AT1258" s="1" t="s">
        <v>31</v>
      </c>
      <c r="AX1258" s="1">
        <v>0.0</v>
      </c>
      <c r="AY1258" s="1">
        <v>0.0</v>
      </c>
    </row>
    <row r="1259" spans="20:51" ht="15.75" hidden="1">
      <c r="T1259" s="1">
        <v>534595.0</v>
      </c>
      <c r="U1259" s="1"/>
      <c r="V1259" s="1"/>
      <c r="W1259" s="1"/>
      <c r="X1259" s="1"/>
      <c r="Y1259" s="1" t="s">
        <v>5643</v>
      </c>
      <c r="Z1259" s="1" t="s">
        <v>5644</v>
      </c>
      <c r="AA1259" s="1" t="s">
        <v>5645</v>
      </c>
      <c r="AB1259" s="1"/>
      <c r="AC1259" s="1"/>
      <c r="AD1259" s="1"/>
      <c r="AE1259" s="1"/>
      <c r="AF1259" s="1" t="s">
        <v>1583</v>
      </c>
      <c r="AG1259" s="2" t="str">
        <f>"1931520054"</f>
        <v>1931520054</v>
      </c>
      <c r="AH1259" s="2" t="str">
        <f>"9781931520058"</f>
        <v>9781931520058</v>
      </c>
      <c r="AI1259" s="1">
        <v>0.0</v>
      </c>
      <c r="AJ1259" s="1">
        <v>3.93</v>
      </c>
      <c r="AK1259" s="1" t="s">
        <v>5646</v>
      </c>
      <c r="AL1259" s="1" t="s">
        <v>28</v>
      </c>
      <c r="AM1259" s="1">
        <v>246.0</v>
      </c>
      <c r="AN1259" s="1">
        <v>2003.0</v>
      </c>
      <c r="AO1259" s="1">
        <v>1983.0</v>
      </c>
      <c r="AQ1259" s="3">
        <v>45123.0</v>
      </c>
      <c r="AR1259" s="1" t="s">
        <v>31</v>
      </c>
      <c r="AS1259" s="1" t="s">
        <v>5647</v>
      </c>
      <c r="AT1259" s="1" t="s">
        <v>31</v>
      </c>
      <c r="AX1259" s="1">
        <v>0.0</v>
      </c>
      <c r="AY1259" s="1">
        <v>0.0</v>
      </c>
    </row>
    <row r="1260" spans="20:51" ht="15.75" hidden="1">
      <c r="T1260" s="1">
        <v>1036471.0</v>
      </c>
      <c r="U1260" s="1"/>
      <c r="V1260" s="1"/>
      <c r="W1260" s="1"/>
      <c r="X1260" s="1"/>
      <c r="Y1260" s="1" t="s">
        <v>5648</v>
      </c>
      <c r="Z1260" s="1" t="s">
        <v>5649</v>
      </c>
      <c r="AA1260" s="1" t="s">
        <v>5650</v>
      </c>
      <c r="AB1260" s="1"/>
      <c r="AC1260" s="1"/>
      <c r="AD1260" s="1"/>
      <c r="AE1260" s="1"/>
      <c r="AG1260" s="2" t="str">
        <f>"1894031911"</f>
        <v>1894031911</v>
      </c>
      <c r="AH1260" s="2" t="str">
        <f>"9781894031912"</f>
        <v>9781894031912</v>
      </c>
      <c r="AI1260" s="1">
        <v>0.0</v>
      </c>
      <c r="AJ1260" s="1">
        <v>3.92</v>
      </c>
      <c r="AK1260" s="1" t="s">
        <v>5651</v>
      </c>
      <c r="AL1260" s="1" t="s">
        <v>28</v>
      </c>
      <c r="AM1260" s="1">
        <v>236.0</v>
      </c>
      <c r="AN1260" s="1">
        <v>2004.0</v>
      </c>
      <c r="AO1260" s="1">
        <v>2004.0</v>
      </c>
      <c r="AQ1260" s="3">
        <v>45123.0</v>
      </c>
      <c r="AR1260" s="1" t="s">
        <v>31</v>
      </c>
      <c r="AS1260" s="1" t="s">
        <v>5652</v>
      </c>
      <c r="AT1260" s="1" t="s">
        <v>31</v>
      </c>
      <c r="AX1260" s="1">
        <v>1.0</v>
      </c>
      <c r="AY1260" s="1">
        <v>0.0</v>
      </c>
    </row>
    <row r="1261" spans="20:51" ht="15.75" hidden="1">
      <c r="T1261" s="1">
        <v>6339024.0</v>
      </c>
      <c r="U1261" s="1"/>
      <c r="V1261" s="1"/>
      <c r="W1261" s="1"/>
      <c r="X1261" s="1"/>
      <c r="Y1261" s="1" t="s">
        <v>5653</v>
      </c>
      <c r="Z1261" s="1" t="s">
        <v>5654</v>
      </c>
      <c r="AA1261" s="1" t="s">
        <v>5655</v>
      </c>
      <c r="AB1261" s="1"/>
      <c r="AC1261" s="1"/>
      <c r="AD1261" s="1"/>
      <c r="AE1261" s="1"/>
      <c r="AG1261" s="2" t="str">
        <f t="shared" si="102" ref="AG1261:AH1261">""</f>
        <v/>
      </c>
      <c r="AH1261" s="2" t="str">
        <f t="shared" si="102"/>
        <v/>
      </c>
      <c r="AI1261" s="1">
        <v>0.0</v>
      </c>
      <c r="AJ1261" s="1">
        <v>4.09</v>
      </c>
      <c r="AK1261" s="1" t="s">
        <v>2769</v>
      </c>
      <c r="AL1261" s="1" t="s">
        <v>41</v>
      </c>
      <c r="AM1261" s="1">
        <v>149.0</v>
      </c>
      <c r="AN1261" s="1">
        <v>1984.0</v>
      </c>
      <c r="AO1261" s="1">
        <v>1984.0</v>
      </c>
      <c r="AQ1261" s="3">
        <v>45123.0</v>
      </c>
      <c r="AR1261" s="1" t="s">
        <v>31</v>
      </c>
      <c r="AS1261" s="1" t="s">
        <v>5656</v>
      </c>
      <c r="AT1261" s="1" t="s">
        <v>31</v>
      </c>
      <c r="AX1261" s="1">
        <v>0.0</v>
      </c>
      <c r="AY1261" s="1">
        <v>0.0</v>
      </c>
    </row>
    <row r="1262" spans="20:51" ht="15.75" hidden="1">
      <c r="T1262" s="1">
        <v>321566.0</v>
      </c>
      <c r="U1262" s="1"/>
      <c r="V1262" s="1"/>
      <c r="W1262" s="1"/>
      <c r="X1262" s="1"/>
      <c r="Y1262" s="1" t="s">
        <v>5657</v>
      </c>
      <c r="Z1262" s="1" t="s">
        <v>5658</v>
      </c>
      <c r="AA1262" s="1" t="s">
        <v>5659</v>
      </c>
      <c r="AB1262" s="1"/>
      <c r="AC1262" s="1"/>
      <c r="AD1262" s="1"/>
      <c r="AE1262" s="1"/>
      <c r="AF1262" s="1" t="s">
        <v>5660</v>
      </c>
      <c r="AG1262" s="2" t="str">
        <f>"0679724613"</f>
        <v>0679724613</v>
      </c>
      <c r="AH1262" s="2" t="str">
        <f>"9780679724612"</f>
        <v>9780679724612</v>
      </c>
      <c r="AI1262" s="1">
        <v>0.0</v>
      </c>
      <c r="AJ1262" s="1">
        <v>4.17</v>
      </c>
      <c r="AK1262" s="1" t="s">
        <v>83</v>
      </c>
      <c r="AL1262" s="1" t="s">
        <v>28</v>
      </c>
      <c r="AM1262" s="1">
        <v>338.0</v>
      </c>
      <c r="AN1262" s="1">
        <v>1989.0</v>
      </c>
      <c r="AO1262" s="1">
        <v>1983.0</v>
      </c>
      <c r="AQ1262" s="3">
        <v>45123.0</v>
      </c>
      <c r="AR1262" s="1" t="s">
        <v>31</v>
      </c>
      <c r="AS1262" s="1" t="s">
        <v>5661</v>
      </c>
      <c r="AT1262" s="1" t="s">
        <v>31</v>
      </c>
      <c r="AX1262" s="1">
        <v>0.0</v>
      </c>
      <c r="AY1262" s="1">
        <v>0.0</v>
      </c>
    </row>
    <row r="1263" spans="20:51" ht="15.75" hidden="1">
      <c r="T1263" s="1">
        <v>223314.0</v>
      </c>
      <c r="U1263" s="1"/>
      <c r="V1263" s="1"/>
      <c r="W1263" s="1"/>
      <c r="X1263" s="1"/>
      <c r="Y1263" s="1" t="s">
        <v>5662</v>
      </c>
      <c r="Z1263" s="1" t="s">
        <v>5658</v>
      </c>
      <c r="AA1263" s="1" t="s">
        <v>5659</v>
      </c>
      <c r="AB1263" s="1"/>
      <c r="AC1263" s="1"/>
      <c r="AD1263" s="1"/>
      <c r="AE1263" s="1"/>
      <c r="AF1263" s="1" t="s">
        <v>5660</v>
      </c>
      <c r="AG1263" s="2" t="str">
        <f>"0802313302"</f>
        <v>0802313302</v>
      </c>
      <c r="AH1263" s="2" t="str">
        <f>"9780802313300"</f>
        <v>9780802313300</v>
      </c>
      <c r="AI1263" s="1">
        <v>0.0</v>
      </c>
      <c r="AJ1263" s="1">
        <v>3.95</v>
      </c>
      <c r="AK1263" s="1" t="s">
        <v>5663</v>
      </c>
      <c r="AL1263" s="1" t="s">
        <v>28</v>
      </c>
      <c r="AM1263" s="1">
        <v>192.0</v>
      </c>
      <c r="AN1263" s="1">
        <v>1999.0</v>
      </c>
      <c r="AO1263" s="1">
        <v>1994.0</v>
      </c>
      <c r="AQ1263" s="3">
        <v>45122.0</v>
      </c>
      <c r="AR1263" s="1" t="s">
        <v>31</v>
      </c>
      <c r="AS1263" s="1" t="s">
        <v>5664</v>
      </c>
      <c r="AT1263" s="1" t="s">
        <v>31</v>
      </c>
      <c r="AX1263" s="1">
        <v>0.0</v>
      </c>
      <c r="AY1263" s="1">
        <v>0.0</v>
      </c>
    </row>
    <row r="1264" spans="20:51" ht="15.75" hidden="1">
      <c r="T1264" s="1">
        <v>1.8897702E7</v>
      </c>
      <c r="U1264" s="1"/>
      <c r="V1264" s="1"/>
      <c r="W1264" s="1"/>
      <c r="X1264" s="1"/>
      <c r="Y1264" s="1" t="s">
        <v>5665</v>
      </c>
      <c r="Z1264" s="1" t="s">
        <v>5666</v>
      </c>
      <c r="AA1264" s="1" t="s">
        <v>5667</v>
      </c>
      <c r="AB1264" s="1"/>
      <c r="AC1264" s="1"/>
      <c r="AD1264" s="1"/>
      <c r="AE1264" s="1"/>
      <c r="AG1264" s="2" t="str">
        <f>""</f>
        <v/>
      </c>
      <c r="AH1264" s="2" t="str">
        <f>"9781630033088"</f>
        <v>9781630033088</v>
      </c>
      <c r="AI1264" s="1">
        <v>0.0</v>
      </c>
      <c r="AJ1264" s="1">
        <v>4.22</v>
      </c>
      <c r="AK1264" s="1" t="s">
        <v>5668</v>
      </c>
      <c r="AL1264" s="1" t="s">
        <v>59</v>
      </c>
      <c r="AM1264" s="1">
        <v>332.0</v>
      </c>
      <c r="AN1264" s="1">
        <v>2013.0</v>
      </c>
      <c r="AO1264" s="1">
        <v>2013.0</v>
      </c>
      <c r="AQ1264" s="3">
        <v>45122.0</v>
      </c>
      <c r="AR1264" s="1" t="s">
        <v>31</v>
      </c>
      <c r="AS1264" s="1" t="s">
        <v>5669</v>
      </c>
      <c r="AT1264" s="1" t="s">
        <v>31</v>
      </c>
      <c r="AX1264" s="1">
        <v>0.0</v>
      </c>
      <c r="AY1264" s="1">
        <v>0.0</v>
      </c>
    </row>
    <row r="1265" spans="20:51" ht="15.75" hidden="1">
      <c r="T1265" s="1">
        <v>502872.0</v>
      </c>
      <c r="U1265" s="1"/>
      <c r="V1265" s="1"/>
      <c r="W1265" s="1"/>
      <c r="X1265" s="1"/>
      <c r="Y1265" s="1" t="s">
        <v>5670</v>
      </c>
      <c r="Z1265" s="1" t="s">
        <v>5671</v>
      </c>
      <c r="AA1265" s="1" t="s">
        <v>5672</v>
      </c>
      <c r="AB1265" s="1"/>
      <c r="AC1265" s="1"/>
      <c r="AD1265" s="1"/>
      <c r="AE1265" s="1"/>
      <c r="AG1265" s="2" t="str">
        <f>"0896597970"</f>
        <v>0896597970</v>
      </c>
      <c r="AH1265" s="2" t="str">
        <f>"9780896597976"</f>
        <v>9780896597976</v>
      </c>
      <c r="AI1265" s="1">
        <v>0.0</v>
      </c>
      <c r="AJ1265" s="1">
        <v>4.12</v>
      </c>
      <c r="AK1265" s="1" t="s">
        <v>5673</v>
      </c>
      <c r="AL1265" s="1" t="s">
        <v>41</v>
      </c>
      <c r="AM1265" s="1">
        <v>286.0</v>
      </c>
      <c r="AN1265" s="1">
        <v>1988.0</v>
      </c>
      <c r="AO1265" s="1">
        <v>1988.0</v>
      </c>
      <c r="AQ1265" s="3">
        <v>45122.0</v>
      </c>
      <c r="AR1265" s="1" t="s">
        <v>1019</v>
      </c>
      <c r="AS1265" s="1" t="s">
        <v>5674</v>
      </c>
      <c r="AT1265" s="1" t="s">
        <v>31</v>
      </c>
      <c r="AX1265" s="1">
        <v>0.0</v>
      </c>
      <c r="AY1265" s="1">
        <v>0.0</v>
      </c>
    </row>
    <row r="1266" spans="20:51" ht="15.75" hidden="1">
      <c r="T1266" s="1">
        <v>108314.0</v>
      </c>
      <c r="U1266" s="1"/>
      <c r="V1266" s="1"/>
      <c r="W1266" s="1"/>
      <c r="X1266" s="1"/>
      <c r="Y1266" s="1" t="s">
        <v>5675</v>
      </c>
      <c r="Z1266" s="1" t="s">
        <v>5676</v>
      </c>
      <c r="AA1266" s="1" t="s">
        <v>5677</v>
      </c>
      <c r="AB1266" s="1"/>
      <c r="AC1266" s="1"/>
      <c r="AD1266" s="1"/>
      <c r="AE1266" s="1"/>
      <c r="AF1266" s="1" t="s">
        <v>5678</v>
      </c>
      <c r="AG1266" s="2" t="str">
        <f>"0914918109"</f>
        <v>0914918109</v>
      </c>
      <c r="AH1266" s="2" t="str">
        <f>"9780914918103"</f>
        <v>9780914918103</v>
      </c>
      <c r="AI1266" s="1">
        <v>0.0</v>
      </c>
      <c r="AJ1266" s="1">
        <v>4.25</v>
      </c>
      <c r="AK1266" s="1" t="s">
        <v>5679</v>
      </c>
      <c r="AL1266" s="1" t="s">
        <v>28</v>
      </c>
      <c r="AM1266" s="1">
        <v>266.0</v>
      </c>
      <c r="AN1266" s="1">
        <v>1979.0</v>
      </c>
      <c r="AO1266" s="1">
        <v>1979.0</v>
      </c>
      <c r="AQ1266" s="3">
        <v>45122.0</v>
      </c>
      <c r="AR1266" s="1" t="s">
        <v>31</v>
      </c>
      <c r="AS1266" s="1" t="s">
        <v>5680</v>
      </c>
      <c r="AT1266" s="1" t="s">
        <v>31</v>
      </c>
      <c r="AX1266" s="1">
        <v>0.0</v>
      </c>
      <c r="AY1266" s="1">
        <v>0.0</v>
      </c>
    </row>
    <row r="1267" spans="20:51" ht="15.75" hidden="1">
      <c r="T1267" s="1">
        <v>5.0695596E7</v>
      </c>
      <c r="U1267" s="1"/>
      <c r="V1267" s="1"/>
      <c r="W1267" s="1"/>
      <c r="X1267" s="1"/>
      <c r="Y1267" s="1" t="s">
        <v>5681</v>
      </c>
      <c r="Z1267" s="1" t="s">
        <v>5475</v>
      </c>
      <c r="AA1267" s="1" t="s">
        <v>5682</v>
      </c>
      <c r="AB1267" s="1"/>
      <c r="AC1267" s="1"/>
      <c r="AD1267" s="1"/>
      <c r="AE1267" s="1"/>
      <c r="AG1267" s="2" t="str">
        <f>"0738765376"</f>
        <v>0738765376</v>
      </c>
      <c r="AH1267" s="2" t="str">
        <f>"9780738765372"</f>
        <v>9780738765372</v>
      </c>
      <c r="AI1267" s="1">
        <v>0.0</v>
      </c>
      <c r="AJ1267" s="1">
        <v>3.83</v>
      </c>
      <c r="AK1267" s="1" t="s">
        <v>615</v>
      </c>
      <c r="AL1267" s="1" t="s">
        <v>28</v>
      </c>
      <c r="AM1267" s="1">
        <v>430.0</v>
      </c>
      <c r="AN1267" s="1">
        <v>2020.0</v>
      </c>
      <c r="AQ1267" s="3">
        <v>45122.0</v>
      </c>
      <c r="AR1267" s="1" t="s">
        <v>31</v>
      </c>
      <c r="AS1267" s="1" t="s">
        <v>5683</v>
      </c>
      <c r="AT1267" s="1" t="s">
        <v>31</v>
      </c>
      <c r="AX1267" s="1">
        <v>0.0</v>
      </c>
      <c r="AY1267" s="1">
        <v>0.0</v>
      </c>
    </row>
    <row r="1268" spans="20:51" ht="15.75" hidden="1">
      <c r="T1268" s="1">
        <v>5.0998242E7</v>
      </c>
      <c r="U1268" s="1"/>
      <c r="V1268" s="1"/>
      <c r="W1268" s="1"/>
      <c r="X1268" s="1"/>
      <c r="Y1268" s="1" t="s">
        <v>5684</v>
      </c>
      <c r="Z1268" s="1" t="s">
        <v>5685</v>
      </c>
      <c r="AA1268" s="1" t="s">
        <v>5686</v>
      </c>
      <c r="AB1268" s="1"/>
      <c r="AC1268" s="1"/>
      <c r="AD1268" s="1"/>
      <c r="AE1268" s="1"/>
      <c r="AG1268" s="2" t="str">
        <f>"0711251711"</f>
        <v>0711251711</v>
      </c>
      <c r="AH1268" s="2" t="str">
        <f>"9780711251717"</f>
        <v>9780711251717</v>
      </c>
      <c r="AI1268" s="1">
        <v>0.0</v>
      </c>
      <c r="AJ1268" s="1">
        <v>4.11</v>
      </c>
      <c r="AK1268" s="1" t="s">
        <v>5687</v>
      </c>
      <c r="AL1268" s="1" t="s">
        <v>41</v>
      </c>
      <c r="AM1268" s="1">
        <v>224.0</v>
      </c>
      <c r="AN1268" s="1">
        <v>2021.0</v>
      </c>
      <c r="AQ1268" s="3">
        <v>45122.0</v>
      </c>
      <c r="AR1268" s="1" t="s">
        <v>31</v>
      </c>
      <c r="AS1268" s="1" t="s">
        <v>5688</v>
      </c>
      <c r="AT1268" s="1" t="s">
        <v>31</v>
      </c>
      <c r="AX1268" s="1">
        <v>0.0</v>
      </c>
      <c r="AY1268" s="1">
        <v>0.0</v>
      </c>
    </row>
    <row r="1269" spans="20:51" ht="15.75" hidden="1">
      <c r="T1269" s="1">
        <v>5.6969547E7</v>
      </c>
      <c r="U1269" s="1"/>
      <c r="V1269" s="1"/>
      <c r="W1269" s="1"/>
      <c r="X1269" s="1"/>
      <c r="Y1269" s="1" t="s">
        <v>5689</v>
      </c>
      <c r="Z1269" s="1" t="s">
        <v>5690</v>
      </c>
      <c r="AA1269" s="1" t="s">
        <v>5691</v>
      </c>
      <c r="AB1269" s="1"/>
      <c r="AC1269" s="1"/>
      <c r="AD1269" s="1"/>
      <c r="AE1269" s="1"/>
      <c r="AG1269" s="2" t="str">
        <f>"1419756370"</f>
        <v>1419756370</v>
      </c>
      <c r="AH1269" s="2" t="str">
        <f>"9781419756375"</f>
        <v>9781419756375</v>
      </c>
      <c r="AI1269" s="1">
        <v>0.0</v>
      </c>
      <c r="AJ1269" s="1">
        <v>4.32</v>
      </c>
      <c r="AK1269" s="1" t="s">
        <v>5692</v>
      </c>
      <c r="AL1269" s="1" t="s">
        <v>41</v>
      </c>
      <c r="AM1269" s="1">
        <v>400.0</v>
      </c>
      <c r="AN1269" s="1">
        <v>2021.0</v>
      </c>
      <c r="AO1269" s="1">
        <v>2021.0</v>
      </c>
      <c r="AQ1269" s="3">
        <v>45122.0</v>
      </c>
      <c r="AR1269" s="1" t="s">
        <v>31</v>
      </c>
      <c r="AS1269" s="1" t="s">
        <v>5693</v>
      </c>
      <c r="AT1269" s="1" t="s">
        <v>31</v>
      </c>
      <c r="AX1269" s="1">
        <v>0.0</v>
      </c>
      <c r="AY1269" s="1">
        <v>0.0</v>
      </c>
    </row>
    <row r="1270" spans="20:51" ht="15.75" hidden="1">
      <c r="T1270" s="1">
        <v>3.035521E7</v>
      </c>
      <c r="U1270" s="1"/>
      <c r="V1270" s="1"/>
      <c r="W1270" s="1"/>
      <c r="X1270" s="1"/>
      <c r="Y1270" s="1" t="s">
        <v>5694</v>
      </c>
      <c r="Z1270" s="1" t="s">
        <v>5695</v>
      </c>
      <c r="AA1270" s="1" t="s">
        <v>5696</v>
      </c>
      <c r="AB1270" s="1"/>
      <c r="AC1270" s="1"/>
      <c r="AD1270" s="1"/>
      <c r="AE1270" s="1"/>
      <c r="AF1270" s="1" t="s">
        <v>5697</v>
      </c>
      <c r="AG1270" s="2" t="str">
        <f>"1907222448"</f>
        <v>1907222448</v>
      </c>
      <c r="AH1270" s="2" t="str">
        <f>"9781907222443"</f>
        <v>9781907222443</v>
      </c>
      <c r="AI1270" s="1">
        <v>0.0</v>
      </c>
      <c r="AJ1270" s="1">
        <v>4.73</v>
      </c>
      <c r="AK1270" s="1" t="s">
        <v>5698</v>
      </c>
      <c r="AL1270" s="1" t="s">
        <v>41</v>
      </c>
      <c r="AM1270" s="1">
        <v>336.0</v>
      </c>
      <c r="AN1270" s="1">
        <v>2016.0</v>
      </c>
      <c r="AQ1270" s="3">
        <v>45122.0</v>
      </c>
      <c r="AR1270" s="1" t="s">
        <v>31</v>
      </c>
      <c r="AS1270" s="1" t="s">
        <v>5699</v>
      </c>
      <c r="AT1270" s="1" t="s">
        <v>31</v>
      </c>
      <c r="AX1270" s="1">
        <v>0.0</v>
      </c>
      <c r="AY1270" s="1">
        <v>0.0</v>
      </c>
    </row>
    <row r="1271" spans="20:51" ht="15.75" hidden="1">
      <c r="T1271" s="1">
        <v>2828231.0</v>
      </c>
      <c r="U1271" s="1"/>
      <c r="V1271" s="1"/>
      <c r="W1271" s="1"/>
      <c r="X1271" s="1"/>
      <c r="Y1271" s="1" t="s">
        <v>5700</v>
      </c>
      <c r="Z1271" s="1" t="s">
        <v>5701</v>
      </c>
      <c r="AA1271" s="1" t="s">
        <v>5702</v>
      </c>
      <c r="AB1271" s="1"/>
      <c r="AC1271" s="1"/>
      <c r="AD1271" s="1"/>
      <c r="AE1271" s="1"/>
      <c r="AG1271" s="2" t="str">
        <f>"1597312118"</f>
        <v>1597312118</v>
      </c>
      <c r="AH1271" s="2" t="str">
        <f>"9781597312110"</f>
        <v>9781597312110</v>
      </c>
      <c r="AI1271" s="1">
        <v>0.0</v>
      </c>
      <c r="AJ1271" s="1">
        <v>4.17</v>
      </c>
      <c r="AK1271" s="1" t="s">
        <v>5703</v>
      </c>
      <c r="AL1271" s="1" t="s">
        <v>28</v>
      </c>
      <c r="AM1271" s="1">
        <v>492.0</v>
      </c>
      <c r="AN1271" s="1">
        <v>2007.0</v>
      </c>
      <c r="AO1271" s="1">
        <v>2004.0</v>
      </c>
      <c r="AQ1271" s="3">
        <v>45122.0</v>
      </c>
      <c r="AR1271" s="1" t="s">
        <v>31</v>
      </c>
      <c r="AS1271" s="1" t="s">
        <v>5704</v>
      </c>
      <c r="AT1271" s="1" t="s">
        <v>31</v>
      </c>
      <c r="AX1271" s="1">
        <v>0.0</v>
      </c>
      <c r="AY1271" s="1">
        <v>0.0</v>
      </c>
    </row>
    <row r="1272" spans="20:51" ht="15.75" hidden="1">
      <c r="T1272" s="1">
        <v>1898426.0</v>
      </c>
      <c r="U1272" s="1"/>
      <c r="V1272" s="1"/>
      <c r="W1272" s="1"/>
      <c r="X1272" s="1"/>
      <c r="Y1272" s="1" t="s">
        <v>5705</v>
      </c>
      <c r="Z1272" s="1" t="s">
        <v>5706</v>
      </c>
      <c r="AA1272" s="1" t="s">
        <v>5707</v>
      </c>
      <c r="AB1272" s="1"/>
      <c r="AC1272" s="1"/>
      <c r="AD1272" s="1"/>
      <c r="AE1272" s="1"/>
      <c r="AG1272" s="2" t="str">
        <f>"0877288216"</f>
        <v>0877288216</v>
      </c>
      <c r="AH1272" s="2" t="str">
        <f>"9780877288213"</f>
        <v>9780877288213</v>
      </c>
      <c r="AI1272" s="1">
        <v>0.0</v>
      </c>
      <c r="AJ1272" s="1">
        <v>3.92</v>
      </c>
      <c r="AK1272" s="1" t="s">
        <v>5032</v>
      </c>
      <c r="AL1272" s="1" t="s">
        <v>28</v>
      </c>
      <c r="AM1272" s="1">
        <v>320.0</v>
      </c>
      <c r="AN1272" s="1">
        <v>1995.0</v>
      </c>
      <c r="AO1272" s="1">
        <v>1995.0</v>
      </c>
      <c r="AQ1272" s="3">
        <v>45122.0</v>
      </c>
      <c r="AR1272" s="1" t="s">
        <v>2539</v>
      </c>
      <c r="AS1272" s="1" t="s">
        <v>5708</v>
      </c>
      <c r="AT1272" s="1" t="s">
        <v>31</v>
      </c>
      <c r="AX1272" s="1">
        <v>0.0</v>
      </c>
      <c r="AY1272" s="1">
        <v>0.0</v>
      </c>
    </row>
    <row r="1273" spans="20:51" ht="15.75" hidden="1">
      <c r="T1273" s="1">
        <v>877488.0</v>
      </c>
      <c r="U1273" s="1"/>
      <c r="V1273" s="1"/>
      <c r="W1273" s="1"/>
      <c r="X1273" s="1"/>
      <c r="Y1273" s="1" t="s">
        <v>5709</v>
      </c>
      <c r="Z1273" s="1" t="s">
        <v>5710</v>
      </c>
      <c r="AA1273" s="1" t="s">
        <v>5711</v>
      </c>
      <c r="AB1273" s="1"/>
      <c r="AC1273" s="1"/>
      <c r="AD1273" s="1"/>
      <c r="AE1273" s="1"/>
      <c r="AG1273" s="2" t="str">
        <f>"0312291280"</f>
        <v>0312291280</v>
      </c>
      <c r="AH1273" s="2" t="str">
        <f>"9780312291280"</f>
        <v>9780312291280</v>
      </c>
      <c r="AI1273" s="1">
        <v>0.0</v>
      </c>
      <c r="AJ1273" s="1">
        <v>4.0</v>
      </c>
      <c r="AK1273" s="1" t="s">
        <v>2139</v>
      </c>
      <c r="AL1273" s="1" t="s">
        <v>28</v>
      </c>
      <c r="AM1273" s="1">
        <v>544.0</v>
      </c>
      <c r="AN1273" s="1">
        <v>2003.0</v>
      </c>
      <c r="AO1273" s="1">
        <v>2003.0</v>
      </c>
      <c r="AQ1273" s="3">
        <v>45122.0</v>
      </c>
      <c r="AR1273" s="1" t="s">
        <v>2539</v>
      </c>
      <c r="AS1273" s="1" t="s">
        <v>5712</v>
      </c>
      <c r="AT1273" s="1" t="s">
        <v>31</v>
      </c>
      <c r="AX1273" s="1">
        <v>0.0</v>
      </c>
      <c r="AY1273" s="1">
        <v>0.0</v>
      </c>
    </row>
    <row r="1274" spans="20:51" ht="15.75" hidden="1">
      <c r="T1274" s="1">
        <v>5.8958015E7</v>
      </c>
      <c r="U1274" s="1"/>
      <c r="V1274" s="1"/>
      <c r="W1274" s="1"/>
      <c r="X1274" s="1"/>
      <c r="Y1274" s="1" t="s">
        <v>5713</v>
      </c>
      <c r="Z1274" s="1" t="s">
        <v>5714</v>
      </c>
      <c r="AA1274" s="1" t="s">
        <v>5715</v>
      </c>
      <c r="AB1274" s="1"/>
      <c r="AC1274" s="1"/>
      <c r="AD1274" s="1"/>
      <c r="AE1274" s="1"/>
      <c r="AG1274" s="2" t="str">
        <f>"1578637708"</f>
        <v>1578637708</v>
      </c>
      <c r="AH1274" s="2" t="str">
        <f>"9781578637706"</f>
        <v>9781578637706</v>
      </c>
      <c r="AI1274" s="1">
        <v>0.0</v>
      </c>
      <c r="AJ1274" s="1">
        <v>4.41</v>
      </c>
      <c r="AK1274" s="1" t="s">
        <v>5032</v>
      </c>
      <c r="AL1274" s="1" t="s">
        <v>28</v>
      </c>
      <c r="AM1274" s="1">
        <v>288.0</v>
      </c>
      <c r="AN1274" s="1">
        <v>2023.0</v>
      </c>
      <c r="AQ1274" s="3">
        <v>45122.0</v>
      </c>
      <c r="AR1274" s="1" t="s">
        <v>31</v>
      </c>
      <c r="AS1274" s="1" t="s">
        <v>5716</v>
      </c>
      <c r="AT1274" s="1" t="s">
        <v>31</v>
      </c>
      <c r="AX1274" s="1">
        <v>0.0</v>
      </c>
      <c r="AY1274" s="1">
        <v>0.0</v>
      </c>
    </row>
    <row r="1275" spans="20:51" ht="15.75" hidden="1">
      <c r="T1275" s="1">
        <v>484644.0</v>
      </c>
      <c r="U1275" s="1"/>
      <c r="V1275" s="1"/>
      <c r="W1275" s="1"/>
      <c r="X1275" s="1"/>
      <c r="Y1275" s="1" t="s">
        <v>5717</v>
      </c>
      <c r="Z1275" s="1" t="s">
        <v>5718</v>
      </c>
      <c r="AA1275" s="1" t="s">
        <v>5719</v>
      </c>
      <c r="AB1275" s="1"/>
      <c r="AC1275" s="1"/>
      <c r="AD1275" s="1"/>
      <c r="AE1275" s="1"/>
      <c r="AG1275" s="2" t="str">
        <f>"0971559112"</f>
        <v>0971559112</v>
      </c>
      <c r="AH1275" s="2" t="str">
        <f>"9780971559110"</f>
        <v>9780971559110</v>
      </c>
      <c r="AI1275" s="1">
        <v>0.0</v>
      </c>
      <c r="AJ1275" s="1">
        <v>3.54</v>
      </c>
      <c r="AK1275" s="1" t="s">
        <v>5720</v>
      </c>
      <c r="AL1275" s="1" t="s">
        <v>28</v>
      </c>
      <c r="AM1275" s="1">
        <v>280.0</v>
      </c>
      <c r="AN1275" s="1">
        <v>2001.0</v>
      </c>
      <c r="AO1275" s="1">
        <v>2001.0</v>
      </c>
      <c r="AQ1275" s="3">
        <v>45122.0</v>
      </c>
      <c r="AR1275" s="1" t="s">
        <v>31</v>
      </c>
      <c r="AS1275" s="1" t="s">
        <v>5721</v>
      </c>
      <c r="AT1275" s="1" t="s">
        <v>31</v>
      </c>
      <c r="AX1275" s="1">
        <v>0.0</v>
      </c>
      <c r="AY1275" s="1">
        <v>0.0</v>
      </c>
    </row>
    <row r="1276" spans="20:51" ht="15.75" hidden="1">
      <c r="T1276" s="1">
        <v>59779.0</v>
      </c>
      <c r="U1276" s="1"/>
      <c r="V1276" s="1"/>
      <c r="W1276" s="1"/>
      <c r="X1276" s="1"/>
      <c r="Y1276" s="1" t="s">
        <v>5722</v>
      </c>
      <c r="Z1276" s="1" t="s">
        <v>5723</v>
      </c>
      <c r="AA1276" s="1" t="s">
        <v>5724</v>
      </c>
      <c r="AB1276" s="1"/>
      <c r="AC1276" s="1"/>
      <c r="AD1276" s="1"/>
      <c r="AE1276" s="1"/>
      <c r="AG1276" s="2" t="str">
        <f t="shared" si="103" ref="AG1276:AH1276">""</f>
        <v/>
      </c>
      <c r="AH1276" s="2" t="str">
        <f t="shared" si="103"/>
        <v/>
      </c>
      <c r="AI1276" s="1">
        <v>0.0</v>
      </c>
      <c r="AJ1276" s="1">
        <v>3.47</v>
      </c>
      <c r="AK1276" s="1" t="s">
        <v>2133</v>
      </c>
      <c r="AL1276" s="1" t="s">
        <v>28</v>
      </c>
      <c r="AM1276" s="1">
        <v>144.0</v>
      </c>
      <c r="AN1276" s="1">
        <v>1997.0</v>
      </c>
      <c r="AO1276" s="1">
        <v>1973.0</v>
      </c>
      <c r="AQ1276" s="3">
        <v>45122.0</v>
      </c>
      <c r="AR1276" s="1" t="s">
        <v>31</v>
      </c>
      <c r="AS1276" s="1" t="s">
        <v>5725</v>
      </c>
      <c r="AT1276" s="1" t="s">
        <v>31</v>
      </c>
      <c r="AX1276" s="1">
        <v>0.0</v>
      </c>
      <c r="AY1276" s="1">
        <v>0.0</v>
      </c>
    </row>
    <row r="1277" spans="20:51" ht="15.75" hidden="1">
      <c r="T1277" s="1">
        <v>530908.0</v>
      </c>
      <c r="U1277" s="1"/>
      <c r="V1277" s="1"/>
      <c r="W1277" s="1"/>
      <c r="X1277" s="1"/>
      <c r="Y1277" s="1" t="s">
        <v>5726</v>
      </c>
      <c r="Z1277" s="1" t="s">
        <v>5727</v>
      </c>
      <c r="AA1277" s="1" t="s">
        <v>5728</v>
      </c>
      <c r="AB1277" s="1"/>
      <c r="AC1277" s="1"/>
      <c r="AD1277" s="1"/>
      <c r="AE1277" s="1"/>
      <c r="AF1277" s="1" t="s">
        <v>5729</v>
      </c>
      <c r="AG1277" s="2" t="str">
        <f>"0486232913"</f>
        <v>0486232913</v>
      </c>
      <c r="AH1277" s="2" t="str">
        <f>"9780486232911"</f>
        <v>9780486232911</v>
      </c>
      <c r="AI1277" s="1">
        <v>0.0</v>
      </c>
      <c r="AJ1277" s="1">
        <v>3.62</v>
      </c>
      <c r="AK1277" s="1" t="s">
        <v>540</v>
      </c>
      <c r="AL1277" s="1" t="s">
        <v>28</v>
      </c>
      <c r="AM1277" s="1">
        <v>63.0</v>
      </c>
      <c r="AN1277" s="1">
        <v>1976.0</v>
      </c>
      <c r="AO1277" s="1">
        <v>1912.0</v>
      </c>
      <c r="AQ1277" s="3">
        <v>45122.0</v>
      </c>
      <c r="AR1277" s="1" t="s">
        <v>31</v>
      </c>
      <c r="AS1277" s="1" t="s">
        <v>5730</v>
      </c>
      <c r="AT1277" s="1" t="s">
        <v>31</v>
      </c>
      <c r="AX1277" s="1">
        <v>0.0</v>
      </c>
      <c r="AY1277" s="1">
        <v>0.0</v>
      </c>
    </row>
    <row r="1278" spans="20:51" ht="15.75" hidden="1">
      <c r="T1278" s="1">
        <v>242532.0</v>
      </c>
      <c r="U1278" s="1"/>
      <c r="V1278" s="1"/>
      <c r="W1278" s="1"/>
      <c r="X1278" s="1"/>
      <c r="Y1278" s="1" t="s">
        <v>5731</v>
      </c>
      <c r="Z1278" s="1" t="s">
        <v>5634</v>
      </c>
      <c r="AA1278" s="1" t="s">
        <v>5635</v>
      </c>
      <c r="AB1278" s="1"/>
      <c r="AC1278" s="1"/>
      <c r="AD1278" s="1"/>
      <c r="AE1278" s="1"/>
      <c r="AF1278" s="1" t="s">
        <v>5732</v>
      </c>
      <c r="AG1278" s="2" t="str">
        <f>"1578631173"</f>
        <v>1578631173</v>
      </c>
      <c r="AH1278" s="2" t="str">
        <f>"9781578631179"</f>
        <v>9781578631179</v>
      </c>
      <c r="AI1278" s="1">
        <v>0.0</v>
      </c>
      <c r="AJ1278" s="1">
        <v>4.34</v>
      </c>
      <c r="AK1278" s="1" t="s">
        <v>5032</v>
      </c>
      <c r="AL1278" s="1" t="s">
        <v>28</v>
      </c>
      <c r="AM1278" s="1">
        <v>236.0</v>
      </c>
      <c r="AN1278" s="1">
        <v>2000.0</v>
      </c>
      <c r="AO1278" s="1">
        <v>1997.0</v>
      </c>
      <c r="AQ1278" s="3">
        <v>45122.0</v>
      </c>
      <c r="AR1278" s="1" t="s">
        <v>31</v>
      </c>
      <c r="AS1278" s="1" t="s">
        <v>5733</v>
      </c>
      <c r="AT1278" s="1" t="s">
        <v>31</v>
      </c>
      <c r="AX1278" s="1">
        <v>0.0</v>
      </c>
      <c r="AY1278" s="1">
        <v>0.0</v>
      </c>
    </row>
    <row r="1279" spans="20:51" ht="15.75" hidden="1">
      <c r="T1279" s="1">
        <v>2.7395552E7</v>
      </c>
      <c r="U1279" s="1"/>
      <c r="V1279" s="1"/>
      <c r="W1279" s="1"/>
      <c r="X1279" s="1"/>
      <c r="Y1279" s="1" t="s">
        <v>5734</v>
      </c>
      <c r="Z1279" s="1" t="s">
        <v>5735</v>
      </c>
      <c r="AA1279" s="1" t="s">
        <v>5736</v>
      </c>
      <c r="AB1279" s="1"/>
      <c r="AC1279" s="1"/>
      <c r="AD1279" s="1"/>
      <c r="AE1279" s="1"/>
      <c r="AG1279" s="2" t="str">
        <f t="shared" si="104" ref="AG1279:AH1279">""</f>
        <v/>
      </c>
      <c r="AH1279" s="2" t="str">
        <f t="shared" si="104"/>
        <v/>
      </c>
      <c r="AI1279" s="1">
        <v>0.0</v>
      </c>
      <c r="AJ1279" s="1">
        <v>3.0</v>
      </c>
      <c r="AM1279" s="1">
        <v>59.0</v>
      </c>
      <c r="AN1279" s="1">
        <v>1979.0</v>
      </c>
      <c r="AQ1279" s="3">
        <v>45122.0</v>
      </c>
      <c r="AR1279" s="1" t="s">
        <v>31</v>
      </c>
      <c r="AS1279" s="1" t="s">
        <v>5737</v>
      </c>
      <c r="AT1279" s="1" t="s">
        <v>31</v>
      </c>
      <c r="AX1279" s="1">
        <v>0.0</v>
      </c>
      <c r="AY1279" s="1">
        <v>0.0</v>
      </c>
    </row>
    <row r="1280" spans="20:51" ht="15.75" hidden="1">
      <c r="T1280" s="1">
        <v>7170627.0</v>
      </c>
      <c r="U1280" s="1"/>
      <c r="V1280" s="1"/>
      <c r="W1280" s="1"/>
      <c r="X1280" s="1"/>
      <c r="Y1280" s="1" t="s">
        <v>5738</v>
      </c>
      <c r="Z1280" s="1" t="s">
        <v>5739</v>
      </c>
      <c r="AA1280" s="1" t="s">
        <v>5740</v>
      </c>
      <c r="AB1280" s="1"/>
      <c r="AC1280" s="1"/>
      <c r="AD1280" s="1"/>
      <c r="AE1280" s="1"/>
      <c r="AG1280" s="2" t="str">
        <f t="shared" si="105" ref="AG1280:AH1280">""</f>
        <v/>
      </c>
      <c r="AH1280" s="2" t="str">
        <f t="shared" si="105"/>
        <v/>
      </c>
      <c r="AI1280" s="1">
        <v>0.0</v>
      </c>
      <c r="AJ1280" s="1">
        <v>4.33</v>
      </c>
      <c r="AK1280" s="1" t="s">
        <v>101</v>
      </c>
      <c r="AL1280" s="1" t="s">
        <v>41</v>
      </c>
      <c r="AM1280" s="1">
        <v>571.0</v>
      </c>
      <c r="AN1280" s="1">
        <v>2010.0</v>
      </c>
      <c r="AO1280" s="1">
        <v>2010.0</v>
      </c>
      <c r="AQ1280" s="3">
        <v>43589.0</v>
      </c>
      <c r="AR1280" s="1" t="s">
        <v>31</v>
      </c>
      <c r="AS1280" s="1" t="s">
        <v>5741</v>
      </c>
      <c r="AT1280" s="1" t="s">
        <v>31</v>
      </c>
      <c r="AX1280" s="1">
        <v>0.0</v>
      </c>
      <c r="AY1280" s="1">
        <v>0.0</v>
      </c>
    </row>
    <row r="1281" spans="20:51" ht="15.75" hidden="1">
      <c r="T1281" s="1">
        <v>2.6212752E7</v>
      </c>
      <c r="U1281" s="1"/>
      <c r="V1281" s="1"/>
      <c r="W1281" s="1"/>
      <c r="X1281" s="1"/>
      <c r="Y1281" s="1" t="s">
        <v>5742</v>
      </c>
      <c r="Z1281" s="1" t="s">
        <v>5410</v>
      </c>
      <c r="AA1281" s="1" t="s">
        <v>5411</v>
      </c>
      <c r="AB1281" s="1"/>
      <c r="AC1281" s="1"/>
      <c r="AD1281" s="1"/>
      <c r="AE1281" s="1"/>
      <c r="AF1281" s="1" t="s">
        <v>5743</v>
      </c>
      <c r="AG1281" s="2" t="str">
        <f t="shared" si="106" ref="AG1281:AH1281">""</f>
        <v/>
      </c>
      <c r="AH1281" s="2" t="str">
        <f t="shared" si="106"/>
        <v/>
      </c>
      <c r="AI1281" s="1">
        <v>0.0</v>
      </c>
      <c r="AJ1281" s="1">
        <v>3.96</v>
      </c>
      <c r="AK1281" s="1" t="s">
        <v>5413</v>
      </c>
      <c r="AL1281" s="1" t="s">
        <v>59</v>
      </c>
      <c r="AM1281" s="1">
        <v>304.0</v>
      </c>
      <c r="AN1281" s="1">
        <v>2014.0</v>
      </c>
      <c r="AO1281" s="1">
        <v>2001.0</v>
      </c>
      <c r="AQ1281" s="3">
        <v>43976.0</v>
      </c>
      <c r="AR1281" s="1" t="s">
        <v>31</v>
      </c>
      <c r="AS1281" s="1" t="s">
        <v>5744</v>
      </c>
      <c r="AT1281" s="1" t="s">
        <v>31</v>
      </c>
      <c r="AX1281" s="1">
        <v>0.0</v>
      </c>
      <c r="AY1281" s="1">
        <v>0.0</v>
      </c>
    </row>
    <row r="1282" spans="20:51" ht="15.75" hidden="1">
      <c r="T1282" s="1">
        <v>5.8046912E7</v>
      </c>
      <c r="U1282" s="1"/>
      <c r="V1282" s="1"/>
      <c r="W1282" s="1"/>
      <c r="X1282" s="1"/>
      <c r="Y1282" s="1" t="s">
        <v>5745</v>
      </c>
      <c r="Z1282" s="1" t="s">
        <v>5746</v>
      </c>
      <c r="AA1282" s="1" t="s">
        <v>5747</v>
      </c>
      <c r="AB1282" s="1"/>
      <c r="AC1282" s="1"/>
      <c r="AD1282" s="1"/>
      <c r="AE1282" s="1"/>
      <c r="AG1282" s="2" t="str">
        <f t="shared" si="107" ref="AG1282:AH1282">""</f>
        <v/>
      </c>
      <c r="AH1282" s="2" t="str">
        <f t="shared" si="107"/>
        <v/>
      </c>
      <c r="AI1282" s="1">
        <v>0.0</v>
      </c>
      <c r="AJ1282" s="1">
        <v>4.25</v>
      </c>
      <c r="AK1282" s="5" t="s">
        <v>5748</v>
      </c>
      <c r="AL1282" s="1" t="s">
        <v>28</v>
      </c>
      <c r="AM1282" s="1">
        <v>360.0</v>
      </c>
      <c r="AN1282" s="1">
        <v>2021.0</v>
      </c>
      <c r="AO1282" s="1">
        <v>1949.0</v>
      </c>
      <c r="AQ1282" s="3">
        <v>44790.0</v>
      </c>
      <c r="AR1282" s="1" t="s">
        <v>31</v>
      </c>
      <c r="AS1282" s="1" t="s">
        <v>5749</v>
      </c>
      <c r="AT1282" s="1" t="s">
        <v>31</v>
      </c>
      <c r="AX1282" s="1">
        <v>0.0</v>
      </c>
      <c r="AY1282" s="1">
        <v>0.0</v>
      </c>
    </row>
    <row r="1283" spans="20:51" ht="15.75" hidden="1">
      <c r="T1283" s="1">
        <v>5.5501553E7</v>
      </c>
      <c r="U1283" s="1"/>
      <c r="V1283" s="1"/>
      <c r="W1283" s="1"/>
      <c r="X1283" s="1"/>
      <c r="Y1283" s="1" t="s">
        <v>5750</v>
      </c>
      <c r="Z1283" s="1" t="s">
        <v>668</v>
      </c>
      <c r="AA1283" s="1" t="s">
        <v>669</v>
      </c>
      <c r="AB1283" s="1"/>
      <c r="AC1283" s="1"/>
      <c r="AD1283" s="1"/>
      <c r="AE1283" s="1"/>
      <c r="AF1283" s="1" t="s">
        <v>5751</v>
      </c>
      <c r="AG1283" s="2" t="str">
        <f t="shared" si="108" ref="AG1283:AH1283">""</f>
        <v/>
      </c>
      <c r="AH1283" s="2" t="str">
        <f t="shared" si="108"/>
        <v/>
      </c>
      <c r="AI1283" s="1">
        <v>0.0</v>
      </c>
      <c r="AJ1283" s="1">
        <v>4.29</v>
      </c>
      <c r="AK1283" s="1" t="s">
        <v>5752</v>
      </c>
      <c r="AM1283" s="1">
        <v>120.0</v>
      </c>
      <c r="AN1283" s="1">
        <v>2020.0</v>
      </c>
      <c r="AQ1283" s="3">
        <v>45059.0</v>
      </c>
      <c r="AR1283" s="1" t="s">
        <v>31</v>
      </c>
      <c r="AS1283" s="1" t="s">
        <v>5753</v>
      </c>
      <c r="AT1283" s="1" t="s">
        <v>31</v>
      </c>
      <c r="AX1283" s="1">
        <v>0.0</v>
      </c>
      <c r="AY1283" s="1">
        <v>0.0</v>
      </c>
    </row>
    <row r="1284" spans="20:51" ht="15.75" hidden="1">
      <c r="T1284" s="1">
        <v>5.4304105E7</v>
      </c>
      <c r="U1284" s="1"/>
      <c r="V1284" s="1"/>
      <c r="W1284" s="1"/>
      <c r="X1284" s="1"/>
      <c r="Y1284" s="1" t="s">
        <v>5754</v>
      </c>
      <c r="Z1284" s="1" t="s">
        <v>5755</v>
      </c>
      <c r="AA1284" s="1" t="s">
        <v>5756</v>
      </c>
      <c r="AB1284" s="1"/>
      <c r="AC1284" s="1"/>
      <c r="AD1284" s="1"/>
      <c r="AE1284" s="1"/>
      <c r="AG1284" s="2" t="str">
        <f>"1982142499"</f>
        <v>1982142499</v>
      </c>
      <c r="AH1284" s="2" t="str">
        <f>"9781982142490"</f>
        <v>9781982142490</v>
      </c>
      <c r="AI1284" s="1">
        <v>0.0</v>
      </c>
      <c r="AJ1284" s="1">
        <v>3.58</v>
      </c>
      <c r="AK1284" s="1" t="s">
        <v>101</v>
      </c>
      <c r="AL1284" s="1" t="s">
        <v>41</v>
      </c>
      <c r="AM1284" s="1">
        <v>304.0</v>
      </c>
      <c r="AN1284" s="1">
        <v>2021.0</v>
      </c>
      <c r="AO1284" s="1">
        <v>2021.0</v>
      </c>
      <c r="AQ1284" s="3">
        <v>44216.0</v>
      </c>
      <c r="AR1284" s="1" t="s">
        <v>31</v>
      </c>
      <c r="AS1284" s="1" t="s">
        <v>5757</v>
      </c>
      <c r="AT1284" s="1" t="s">
        <v>31</v>
      </c>
      <c r="AX1284" s="1">
        <v>0.0</v>
      </c>
      <c r="AY1284" s="1">
        <v>0.0</v>
      </c>
    </row>
    <row r="1285" spans="20:51" ht="15.75" hidden="1">
      <c r="T1285" s="1">
        <v>5.0416289E7</v>
      </c>
      <c r="U1285" s="1"/>
      <c r="V1285" s="1"/>
      <c r="W1285" s="1"/>
      <c r="X1285" s="1"/>
      <c r="Y1285" s="1" t="s">
        <v>5758</v>
      </c>
      <c r="Z1285" s="1" t="s">
        <v>5410</v>
      </c>
      <c r="AA1285" s="1" t="s">
        <v>5411</v>
      </c>
      <c r="AB1285" s="1"/>
      <c r="AC1285" s="1"/>
      <c r="AD1285" s="1"/>
      <c r="AE1285" s="1"/>
      <c r="AF1285" s="1" t="s">
        <v>5759</v>
      </c>
      <c r="AG1285" s="2" t="str">
        <f>"841799680X"</f>
        <v>841799680X</v>
      </c>
      <c r="AH1285" s="2" t="str">
        <f>"9788417996802"</f>
        <v>9788417996802</v>
      </c>
      <c r="AI1285" s="1">
        <v>0.0</v>
      </c>
      <c r="AJ1285" s="1">
        <v>4.2</v>
      </c>
      <c r="AK1285" s="1" t="s">
        <v>5413</v>
      </c>
      <c r="AL1285" s="1" t="s">
        <v>59</v>
      </c>
      <c r="AM1285" s="1">
        <v>351.0</v>
      </c>
      <c r="AN1285" s="1">
        <v>2020.0</v>
      </c>
      <c r="AQ1285" s="3">
        <v>43976.0</v>
      </c>
      <c r="AR1285" s="1" t="s">
        <v>31</v>
      </c>
      <c r="AS1285" s="1" t="s">
        <v>5760</v>
      </c>
      <c r="AT1285" s="1" t="s">
        <v>31</v>
      </c>
      <c r="AX1285" s="1">
        <v>0.0</v>
      </c>
      <c r="AY1285" s="1">
        <v>0.0</v>
      </c>
    </row>
    <row r="1286" spans="20:51" ht="15.75" hidden="1">
      <c r="T1286" s="1">
        <v>1.01145323E8</v>
      </c>
      <c r="U1286" s="1"/>
      <c r="V1286" s="1"/>
      <c r="W1286" s="1"/>
      <c r="X1286" s="1"/>
      <c r="Y1286" s="1" t="s">
        <v>5761</v>
      </c>
      <c r="Z1286" s="1" t="s">
        <v>3266</v>
      </c>
      <c r="AA1286" s="1" t="s">
        <v>3267</v>
      </c>
      <c r="AB1286" s="1"/>
      <c r="AC1286" s="1"/>
      <c r="AD1286" s="1"/>
      <c r="AE1286" s="1"/>
      <c r="AG1286" s="2" t="str">
        <f>"166801999X"</f>
        <v>166801999X</v>
      </c>
      <c r="AH1286" s="2" t="str">
        <f>"9781668019993"</f>
        <v>9781668019993</v>
      </c>
      <c r="AI1286" s="1">
        <v>0.0</v>
      </c>
      <c r="AJ1286" s="1">
        <v>4.35</v>
      </c>
      <c r="AK1286" s="1" t="s">
        <v>101</v>
      </c>
      <c r="AL1286" s="1" t="s">
        <v>28</v>
      </c>
      <c r="AM1286" s="1">
        <v>112.0</v>
      </c>
      <c r="AN1286" s="1">
        <v>2023.0</v>
      </c>
      <c r="AO1286" s="1">
        <v>2023.0</v>
      </c>
      <c r="AQ1286" s="3">
        <v>45066.0</v>
      </c>
      <c r="AR1286" s="1" t="s">
        <v>31</v>
      </c>
      <c r="AS1286" s="1" t="s">
        <v>5762</v>
      </c>
      <c r="AT1286" s="1" t="s">
        <v>31</v>
      </c>
      <c r="AX1286" s="1">
        <v>0.0</v>
      </c>
      <c r="AY1286" s="1">
        <v>0.0</v>
      </c>
    </row>
    <row r="1287" spans="20:51" ht="15.75" hidden="1">
      <c r="T1287" s="1">
        <v>5.2262566E7</v>
      </c>
      <c r="U1287" s="1"/>
      <c r="V1287" s="1"/>
      <c r="W1287" s="1"/>
      <c r="X1287" s="1"/>
      <c r="Y1287" s="1" t="s">
        <v>5763</v>
      </c>
      <c r="Z1287" s="1" t="s">
        <v>5764</v>
      </c>
      <c r="AA1287" s="1" t="s">
        <v>5765</v>
      </c>
      <c r="AB1287" s="1"/>
      <c r="AC1287" s="1"/>
      <c r="AD1287" s="1"/>
      <c r="AE1287" s="1"/>
      <c r="AF1287" s="1" t="s">
        <v>5766</v>
      </c>
      <c r="AG1287" s="2" t="str">
        <f>"8417860207"</f>
        <v>8417860207</v>
      </c>
      <c r="AH1287" s="2" t="str">
        <f>"9788417860202"</f>
        <v>9788417860202</v>
      </c>
      <c r="AI1287" s="1">
        <v>0.0</v>
      </c>
      <c r="AJ1287" s="1">
        <v>3.74</v>
      </c>
      <c r="AK1287" s="1" t="s">
        <v>5413</v>
      </c>
      <c r="AL1287" s="1" t="s">
        <v>28</v>
      </c>
      <c r="AM1287" s="1">
        <v>172.0</v>
      </c>
      <c r="AN1287" s="1">
        <v>2019.0</v>
      </c>
      <c r="AO1287" s="1">
        <v>2016.0</v>
      </c>
      <c r="AQ1287" s="3">
        <v>43976.0</v>
      </c>
      <c r="AR1287" s="1" t="s">
        <v>31</v>
      </c>
      <c r="AS1287" s="1" t="s">
        <v>5767</v>
      </c>
      <c r="AT1287" s="1" t="s">
        <v>31</v>
      </c>
      <c r="AX1287" s="1">
        <v>0.0</v>
      </c>
      <c r="AY1287" s="1">
        <v>0.0</v>
      </c>
    </row>
    <row r="1288" spans="20:51" ht="15.75" hidden="1">
      <c r="T1288" s="1">
        <v>5.0130964E7</v>
      </c>
      <c r="U1288" s="1"/>
      <c r="V1288" s="1"/>
      <c r="W1288" s="1"/>
      <c r="X1288" s="1"/>
      <c r="Y1288" s="1" t="s">
        <v>5768</v>
      </c>
      <c r="Z1288" s="1" t="s">
        <v>5769</v>
      </c>
      <c r="AA1288" s="1" t="s">
        <v>5770</v>
      </c>
      <c r="AB1288" s="1"/>
      <c r="AC1288" s="1"/>
      <c r="AD1288" s="1"/>
      <c r="AE1288" s="1"/>
      <c r="AF1288" s="1" t="s">
        <v>5771</v>
      </c>
      <c r="AG1288" s="2" t="str">
        <f>"0300167490"</f>
        <v>0300167490</v>
      </c>
      <c r="AH1288" s="2" t="str">
        <f>"9780300167498"</f>
        <v>9780300167498</v>
      </c>
      <c r="AI1288" s="1">
        <v>0.0</v>
      </c>
      <c r="AJ1288" s="1">
        <v>3.82</v>
      </c>
      <c r="AK1288" s="1" t="s">
        <v>545</v>
      </c>
      <c r="AL1288" s="1" t="s">
        <v>41</v>
      </c>
      <c r="AM1288" s="1">
        <v>304.0</v>
      </c>
      <c r="AN1288" s="1">
        <v>2020.0</v>
      </c>
      <c r="AO1288" s="1">
        <v>2008.0</v>
      </c>
      <c r="AQ1288" s="4">
        <v>44484.0</v>
      </c>
      <c r="AR1288" s="1" t="s">
        <v>31</v>
      </c>
      <c r="AS1288" s="1" t="s">
        <v>5772</v>
      </c>
      <c r="AT1288" s="1" t="s">
        <v>31</v>
      </c>
      <c r="AX1288" s="1">
        <v>0.0</v>
      </c>
      <c r="AY1288" s="1">
        <v>0.0</v>
      </c>
    </row>
    <row r="1289" spans="20:51" ht="15.75" hidden="1">
      <c r="T1289" s="1">
        <v>5.0981824E7</v>
      </c>
      <c r="U1289" s="1"/>
      <c r="V1289" s="1"/>
      <c r="W1289" s="1"/>
      <c r="X1289" s="1"/>
      <c r="Y1289" s="1" t="s">
        <v>5773</v>
      </c>
      <c r="Z1289" s="1" t="s">
        <v>5774</v>
      </c>
      <c r="AA1289" s="1" t="s">
        <v>5775</v>
      </c>
      <c r="AB1289" s="1"/>
      <c r="AC1289" s="1"/>
      <c r="AD1289" s="1"/>
      <c r="AE1289" s="1"/>
      <c r="AF1289" s="1" t="s">
        <v>5776</v>
      </c>
      <c r="AG1289" s="2" t="str">
        <f>"3836579871"</f>
        <v>3836579871</v>
      </c>
      <c r="AH1289" s="2" t="str">
        <f>"9783836579872"</f>
        <v>9783836579872</v>
      </c>
      <c r="AI1289" s="1">
        <v>0.0</v>
      </c>
      <c r="AJ1289" s="1">
        <v>4.54</v>
      </c>
      <c r="AK1289" s="1" t="s">
        <v>5777</v>
      </c>
      <c r="AL1289" s="1" t="s">
        <v>41</v>
      </c>
      <c r="AM1289" s="1">
        <v>519.0</v>
      </c>
      <c r="AN1289" s="1">
        <v>2020.0</v>
      </c>
      <c r="AQ1289" s="3">
        <v>45059.0</v>
      </c>
      <c r="AR1289" s="1" t="s">
        <v>31</v>
      </c>
      <c r="AS1289" s="1" t="s">
        <v>5778</v>
      </c>
      <c r="AT1289" s="1" t="s">
        <v>31</v>
      </c>
      <c r="AX1289" s="1">
        <v>0.0</v>
      </c>
      <c r="AY1289" s="1">
        <v>0.0</v>
      </c>
    </row>
    <row r="1290" spans="20:51" ht="15.75" hidden="1">
      <c r="T1290" s="1">
        <v>4.8767793E7</v>
      </c>
      <c r="U1290" s="1"/>
      <c r="V1290" s="1"/>
      <c r="W1290" s="1"/>
      <c r="X1290" s="1"/>
      <c r="Y1290" s="1" t="s">
        <v>5779</v>
      </c>
      <c r="Z1290" s="1" t="s">
        <v>5780</v>
      </c>
      <c r="AA1290" s="1" t="s">
        <v>5781</v>
      </c>
      <c r="AB1290" s="1"/>
      <c r="AC1290" s="1"/>
      <c r="AD1290" s="1"/>
      <c r="AE1290" s="1"/>
      <c r="AG1290" s="2" t="str">
        <f>"088079416X"</f>
        <v>088079416X</v>
      </c>
      <c r="AH1290" s="2" t="str">
        <f>"9780880794169"</f>
        <v>9780880794169</v>
      </c>
      <c r="AI1290" s="1">
        <v>0.0</v>
      </c>
      <c r="AJ1290" s="1">
        <v>4.15</v>
      </c>
      <c r="AK1290" s="1" t="s">
        <v>5782</v>
      </c>
      <c r="AL1290" s="1" t="s">
        <v>5783</v>
      </c>
      <c r="AM1290" s="1">
        <v>340.0</v>
      </c>
      <c r="AN1290" s="1">
        <v>2002.0</v>
      </c>
      <c r="AQ1290" s="3">
        <v>44814.0</v>
      </c>
      <c r="AR1290" s="1" t="s">
        <v>31</v>
      </c>
      <c r="AS1290" s="1" t="s">
        <v>5784</v>
      </c>
      <c r="AT1290" s="1" t="s">
        <v>31</v>
      </c>
      <c r="AX1290" s="1">
        <v>0.0</v>
      </c>
      <c r="AY1290" s="1">
        <v>0.0</v>
      </c>
    </row>
    <row r="1291" spans="20:51" ht="15.75" hidden="1">
      <c r="T1291" s="1">
        <v>5.1320404E7</v>
      </c>
      <c r="U1291" s="1"/>
      <c r="V1291" s="1"/>
      <c r="W1291" s="1"/>
      <c r="X1291" s="1"/>
      <c r="Y1291" s="1" t="s">
        <v>5785</v>
      </c>
      <c r="Z1291" s="1" t="s">
        <v>2793</v>
      </c>
      <c r="AA1291" s="1" t="s">
        <v>2794</v>
      </c>
      <c r="AB1291" s="1"/>
      <c r="AC1291" s="1"/>
      <c r="AD1291" s="1"/>
      <c r="AE1291" s="1"/>
      <c r="AF1291" s="1" t="s">
        <v>5786</v>
      </c>
      <c r="AG1291" s="2" t="str">
        <f>"8417996958"</f>
        <v>8417996958</v>
      </c>
      <c r="AH1291" s="2" t="str">
        <f>"9788417996956"</f>
        <v>9788417996956</v>
      </c>
      <c r="AI1291" s="1">
        <v>0.0</v>
      </c>
      <c r="AJ1291" s="1">
        <v>4.25</v>
      </c>
      <c r="AK1291" s="1" t="s">
        <v>5413</v>
      </c>
      <c r="AL1291" s="1" t="s">
        <v>28</v>
      </c>
      <c r="AM1291" s="1">
        <v>392.0</v>
      </c>
      <c r="AN1291" s="1">
        <v>2020.0</v>
      </c>
      <c r="AO1291" s="1">
        <v>2009.0</v>
      </c>
      <c r="AQ1291" s="3">
        <v>43976.0</v>
      </c>
      <c r="AR1291" s="1" t="s">
        <v>31</v>
      </c>
      <c r="AS1291" s="1" t="s">
        <v>5787</v>
      </c>
      <c r="AT1291" s="1" t="s">
        <v>31</v>
      </c>
      <c r="AX1291" s="1">
        <v>0.0</v>
      </c>
      <c r="AY1291" s="1">
        <v>0.0</v>
      </c>
    </row>
    <row r="1292" spans="20:51" ht="15.75" hidden="1">
      <c r="T1292" s="1">
        <v>4.1805298E7</v>
      </c>
      <c r="U1292" s="1"/>
      <c r="V1292" s="1"/>
      <c r="W1292" s="1"/>
      <c r="X1292" s="1"/>
      <c r="Y1292" s="1" t="s">
        <v>5788</v>
      </c>
      <c r="Z1292" s="1" t="s">
        <v>5789</v>
      </c>
      <c r="AA1292" s="1" t="s">
        <v>5790</v>
      </c>
      <c r="AB1292" s="1"/>
      <c r="AC1292" s="1"/>
      <c r="AD1292" s="1"/>
      <c r="AE1292" s="1"/>
      <c r="AF1292" s="1" t="s">
        <v>5791</v>
      </c>
      <c r="AG1292" s="2" t="str">
        <f>"1578636485"</f>
        <v>1578636485</v>
      </c>
      <c r="AH1292" s="2" t="str">
        <f>"9781578636488"</f>
        <v>9781578636488</v>
      </c>
      <c r="AI1292" s="1">
        <v>0.0</v>
      </c>
      <c r="AJ1292" s="1">
        <v>4.13</v>
      </c>
      <c r="AK1292" s="1" t="s">
        <v>5032</v>
      </c>
      <c r="AL1292" s="1" t="s">
        <v>28</v>
      </c>
      <c r="AM1292" s="1">
        <v>224.0</v>
      </c>
      <c r="AN1292" s="1">
        <v>2019.0</v>
      </c>
      <c r="AO1292" s="1">
        <v>2019.0</v>
      </c>
      <c r="AQ1292" s="3">
        <v>44790.0</v>
      </c>
      <c r="AR1292" s="1" t="s">
        <v>31</v>
      </c>
      <c r="AS1292" s="1" t="s">
        <v>5792</v>
      </c>
      <c r="AT1292" s="1" t="s">
        <v>31</v>
      </c>
      <c r="AX1292" s="1">
        <v>0.0</v>
      </c>
      <c r="AY1292" s="1">
        <v>0.0</v>
      </c>
    </row>
    <row r="1293" spans="20:51" ht="15.75" hidden="1">
      <c r="T1293" s="1">
        <v>4.1758416E7</v>
      </c>
      <c r="U1293" s="1"/>
      <c r="V1293" s="1"/>
      <c r="W1293" s="1"/>
      <c r="X1293" s="1"/>
      <c r="Y1293" s="1" t="s">
        <v>5793</v>
      </c>
      <c r="Z1293" s="1" t="s">
        <v>5714</v>
      </c>
      <c r="AA1293" s="1" t="s">
        <v>5715</v>
      </c>
      <c r="AB1293" s="1"/>
      <c r="AC1293" s="1"/>
      <c r="AD1293" s="1"/>
      <c r="AE1293" s="1"/>
      <c r="AG1293" s="2" t="str">
        <f>"1578636655"</f>
        <v>1578636655</v>
      </c>
      <c r="AH1293" s="2" t="str">
        <f>"9781578636655"</f>
        <v>9781578636655</v>
      </c>
      <c r="AI1293" s="1">
        <v>0.0</v>
      </c>
      <c r="AJ1293" s="1">
        <v>4.32</v>
      </c>
      <c r="AK1293" s="1" t="s">
        <v>5032</v>
      </c>
      <c r="AL1293" s="1" t="s">
        <v>28</v>
      </c>
      <c r="AM1293" s="1">
        <v>354.0</v>
      </c>
      <c r="AN1293" s="1">
        <v>2019.0</v>
      </c>
      <c r="AO1293" s="1">
        <v>1980.0</v>
      </c>
      <c r="AQ1293" s="3">
        <v>44254.0</v>
      </c>
      <c r="AR1293" s="1" t="s">
        <v>31</v>
      </c>
      <c r="AS1293" s="1" t="s">
        <v>5794</v>
      </c>
      <c r="AT1293" s="1" t="s">
        <v>31</v>
      </c>
      <c r="AX1293" s="1">
        <v>0.0</v>
      </c>
      <c r="AY1293" s="1">
        <v>0.0</v>
      </c>
    </row>
    <row r="1294" spans="20:51" ht="15.75" hidden="1">
      <c r="T1294" s="1">
        <v>3.2946574E7</v>
      </c>
      <c r="U1294" s="1"/>
      <c r="V1294" s="1"/>
      <c r="W1294" s="1"/>
      <c r="X1294" s="1"/>
      <c r="Y1294" s="1" t="s">
        <v>5795</v>
      </c>
      <c r="Z1294" s="1" t="s">
        <v>5796</v>
      </c>
      <c r="AA1294" s="1" t="s">
        <v>5797</v>
      </c>
      <c r="AB1294" s="1"/>
      <c r="AC1294" s="1"/>
      <c r="AD1294" s="1"/>
      <c r="AE1294" s="1"/>
      <c r="AG1294" s="2" t="str">
        <f>"0091210119"</f>
        <v>0091210119</v>
      </c>
      <c r="AH1294" s="2" t="str">
        <f>"9780091210113"</f>
        <v>9780091210113</v>
      </c>
      <c r="AI1294" s="1">
        <v>0.0</v>
      </c>
      <c r="AJ1294" s="1">
        <v>2.67</v>
      </c>
      <c r="AK1294" s="1" t="s">
        <v>5798</v>
      </c>
      <c r="AL1294" s="1" t="s">
        <v>28</v>
      </c>
      <c r="AM1294" s="1">
        <v>254.0</v>
      </c>
      <c r="AN1294" s="1">
        <v>1975.0</v>
      </c>
      <c r="AO1294" s="1">
        <v>1975.0</v>
      </c>
      <c r="AQ1294" s="4">
        <v>44908.0</v>
      </c>
      <c r="AR1294" s="1" t="s">
        <v>31</v>
      </c>
      <c r="AS1294" s="1" t="s">
        <v>5799</v>
      </c>
      <c r="AT1294" s="1" t="s">
        <v>31</v>
      </c>
      <c r="AX1294" s="1">
        <v>0.0</v>
      </c>
      <c r="AY1294" s="1">
        <v>0.0</v>
      </c>
    </row>
    <row r="1295" spans="20:51" ht="15.75" hidden="1">
      <c r="T1295" s="1">
        <v>2.722069E7</v>
      </c>
      <c r="U1295" s="1"/>
      <c r="V1295" s="1"/>
      <c r="W1295" s="1"/>
      <c r="X1295" s="1"/>
      <c r="Y1295" s="1" t="s">
        <v>5800</v>
      </c>
      <c r="Z1295" s="1" t="s">
        <v>5801</v>
      </c>
      <c r="AA1295" s="1" t="s">
        <v>5802</v>
      </c>
      <c r="AB1295" s="1"/>
      <c r="AC1295" s="1"/>
      <c r="AD1295" s="1"/>
      <c r="AE1295" s="1"/>
      <c r="AG1295" s="2" t="str">
        <f>"0300161166"</f>
        <v>0300161166</v>
      </c>
      <c r="AH1295" s="2" t="str">
        <f>"9780300161168"</f>
        <v>9780300161168</v>
      </c>
      <c r="AI1295" s="1">
        <v>0.0</v>
      </c>
      <c r="AJ1295" s="1">
        <v>3.99</v>
      </c>
      <c r="AK1295" s="1" t="s">
        <v>545</v>
      </c>
      <c r="AL1295" s="1" t="s">
        <v>41</v>
      </c>
      <c r="AM1295" s="1">
        <v>504.0</v>
      </c>
      <c r="AN1295" s="1">
        <v>2016.0</v>
      </c>
      <c r="AO1295" s="1">
        <v>2017.0</v>
      </c>
      <c r="AQ1295" s="3">
        <v>44198.0</v>
      </c>
      <c r="AR1295" s="1" t="s">
        <v>31</v>
      </c>
      <c r="AS1295" s="1" t="s">
        <v>5803</v>
      </c>
      <c r="AT1295" s="1" t="s">
        <v>31</v>
      </c>
      <c r="AX1295" s="1">
        <v>0.0</v>
      </c>
      <c r="AY1295" s="1">
        <v>0.0</v>
      </c>
    </row>
    <row r="1296" spans="20:51" ht="15.75" hidden="1">
      <c r="T1296" s="1">
        <v>2.0005885E7</v>
      </c>
      <c r="U1296" s="1"/>
      <c r="V1296" s="1"/>
      <c r="W1296" s="1"/>
      <c r="X1296" s="1"/>
      <c r="Y1296" s="1" t="s">
        <v>5804</v>
      </c>
      <c r="Z1296" s="1" t="s">
        <v>5805</v>
      </c>
      <c r="AA1296" s="1" t="s">
        <v>5806</v>
      </c>
      <c r="AB1296" s="1"/>
      <c r="AC1296" s="1"/>
      <c r="AD1296" s="1"/>
      <c r="AE1296" s="1"/>
      <c r="AG1296" s="2" t="str">
        <f>"0975712233"</f>
        <v>0975712233</v>
      </c>
      <c r="AH1296" s="2" t="str">
        <f>"9780975712238"</f>
        <v>9780975712238</v>
      </c>
      <c r="AI1296" s="1">
        <v>0.0</v>
      </c>
      <c r="AJ1296" s="1">
        <v>4.0</v>
      </c>
      <c r="AK1296" s="1" t="s">
        <v>5807</v>
      </c>
      <c r="AL1296" s="1" t="s">
        <v>28</v>
      </c>
      <c r="AM1296" s="1">
        <v>538.0</v>
      </c>
      <c r="AN1296" s="1">
        <v>2011.0</v>
      </c>
      <c r="AO1296" s="1">
        <v>2011.0</v>
      </c>
      <c r="AQ1296" s="3">
        <v>44800.0</v>
      </c>
      <c r="AR1296" s="1" t="s">
        <v>31</v>
      </c>
      <c r="AS1296" s="1" t="s">
        <v>5808</v>
      </c>
      <c r="AT1296" s="1" t="s">
        <v>31</v>
      </c>
      <c r="AX1296" s="1">
        <v>0.0</v>
      </c>
      <c r="AY1296" s="1">
        <v>0.0</v>
      </c>
    </row>
    <row r="1297" spans="20:51" ht="15.75" hidden="1">
      <c r="T1297" s="1">
        <v>1.8114345E7</v>
      </c>
      <c r="U1297" s="1"/>
      <c r="V1297" s="1"/>
      <c r="W1297" s="1"/>
      <c r="X1297" s="1"/>
      <c r="Y1297" s="1" t="s">
        <v>5809</v>
      </c>
      <c r="Z1297" s="1" t="s">
        <v>5810</v>
      </c>
      <c r="AA1297" s="1" t="s">
        <v>5811</v>
      </c>
      <c r="AB1297" s="1"/>
      <c r="AC1297" s="1"/>
      <c r="AD1297" s="1"/>
      <c r="AE1297" s="1"/>
      <c r="AF1297" s="1" t="s">
        <v>5812</v>
      </c>
      <c r="AG1297" s="2" t="str">
        <f>"1468308599"</f>
        <v>1468308599</v>
      </c>
      <c r="AH1297" s="2" t="str">
        <f>"9781468308594"</f>
        <v>9781468308594</v>
      </c>
      <c r="AI1297" s="1">
        <v>0.0</v>
      </c>
      <c r="AJ1297" s="1">
        <v>4.13</v>
      </c>
      <c r="AK1297" s="1" t="s">
        <v>2096</v>
      </c>
      <c r="AL1297" s="1" t="s">
        <v>28</v>
      </c>
      <c r="AM1297" s="1">
        <v>400.0</v>
      </c>
      <c r="AN1297" s="1">
        <v>2013.0</v>
      </c>
      <c r="AO1297" s="1">
        <v>2002.0</v>
      </c>
      <c r="AQ1297" s="3">
        <v>44805.0</v>
      </c>
      <c r="AR1297" s="1" t="s">
        <v>2451</v>
      </c>
      <c r="AS1297" s="1" t="s">
        <v>5813</v>
      </c>
      <c r="AT1297" s="1" t="s">
        <v>31</v>
      </c>
      <c r="AX1297" s="1">
        <v>0.0</v>
      </c>
      <c r="AY1297" s="1">
        <v>0.0</v>
      </c>
    </row>
    <row r="1298" spans="20:51" ht="15.75" hidden="1">
      <c r="T1298" s="1">
        <v>1.6073211E7</v>
      </c>
      <c r="U1298" s="1"/>
      <c r="V1298" s="1"/>
      <c r="W1298" s="1"/>
      <c r="X1298" s="1"/>
      <c r="Y1298" s="1" t="s">
        <v>5814</v>
      </c>
      <c r="Z1298" s="1" t="s">
        <v>5815</v>
      </c>
      <c r="AA1298" s="1" t="s">
        <v>5816</v>
      </c>
      <c r="AB1298" s="1"/>
      <c r="AC1298" s="1"/>
      <c r="AD1298" s="1"/>
      <c r="AE1298" s="1"/>
      <c r="AG1298" s="2" t="str">
        <f>"030017487X"</f>
        <v>030017487X</v>
      </c>
      <c r="AH1298" s="2" t="str">
        <f>"9780300174878"</f>
        <v>9780300174878</v>
      </c>
      <c r="AI1298" s="1">
        <v>0.0</v>
      </c>
      <c r="AJ1298" s="1">
        <v>3.67</v>
      </c>
      <c r="AK1298" s="1" t="s">
        <v>545</v>
      </c>
      <c r="AL1298" s="1" t="s">
        <v>41</v>
      </c>
      <c r="AM1298" s="1">
        <v>192.0</v>
      </c>
      <c r="AN1298" s="1">
        <v>2013.0</v>
      </c>
      <c r="AO1298" s="1">
        <v>2013.0</v>
      </c>
      <c r="AQ1298" s="3">
        <v>43405.0</v>
      </c>
      <c r="AR1298" s="1" t="s">
        <v>31</v>
      </c>
      <c r="AS1298" s="1" t="s">
        <v>5817</v>
      </c>
      <c r="AT1298" s="1" t="s">
        <v>31</v>
      </c>
      <c r="AX1298" s="1">
        <v>0.0</v>
      </c>
      <c r="AY1298" s="1">
        <v>0.0</v>
      </c>
    </row>
    <row r="1299" spans="20:51" ht="15.75" hidden="1">
      <c r="T1299" s="1">
        <v>1.2844741E7</v>
      </c>
      <c r="U1299" s="1"/>
      <c r="V1299" s="1"/>
      <c r="W1299" s="1"/>
      <c r="X1299" s="1"/>
      <c r="Y1299" s="1" t="s">
        <v>5818</v>
      </c>
      <c r="Z1299" s="1" t="s">
        <v>5819</v>
      </c>
      <c r="AA1299" s="1" t="s">
        <v>5820</v>
      </c>
      <c r="AB1299" s="1"/>
      <c r="AC1299" s="1"/>
      <c r="AD1299" s="1"/>
      <c r="AE1299" s="1"/>
      <c r="AG1299" s="2" t="str">
        <f>"8498416094"</f>
        <v>8498416094</v>
      </c>
      <c r="AH1299" s="2" t="str">
        <f>"9788498416091"</f>
        <v>9788498416091</v>
      </c>
      <c r="AI1299" s="1">
        <v>0.0</v>
      </c>
      <c r="AJ1299" s="1">
        <v>3.35</v>
      </c>
      <c r="AK1299" s="1" t="s">
        <v>5413</v>
      </c>
      <c r="AL1299" s="1" t="s">
        <v>28</v>
      </c>
      <c r="AM1299" s="1">
        <v>224.0</v>
      </c>
      <c r="AN1299" s="1">
        <v>2011.0</v>
      </c>
      <c r="AO1299" s="1">
        <v>2011.0</v>
      </c>
      <c r="AQ1299" s="3">
        <v>43976.0</v>
      </c>
      <c r="AR1299" s="1" t="s">
        <v>31</v>
      </c>
      <c r="AS1299" s="1" t="s">
        <v>5821</v>
      </c>
      <c r="AT1299" s="1" t="s">
        <v>31</v>
      </c>
      <c r="AX1299" s="1">
        <v>0.0</v>
      </c>
      <c r="AY1299" s="1">
        <v>0.0</v>
      </c>
    </row>
    <row r="1300" spans="20:51" ht="15.75" hidden="1">
      <c r="T1300" s="1">
        <v>1.4868014E7</v>
      </c>
      <c r="U1300" s="1"/>
      <c r="V1300" s="1"/>
      <c r="W1300" s="1"/>
      <c r="X1300" s="1"/>
      <c r="Y1300" s="1" t="s">
        <v>5822</v>
      </c>
      <c r="Z1300" s="1" t="s">
        <v>5823</v>
      </c>
      <c r="AA1300" s="1" t="s">
        <v>5824</v>
      </c>
      <c r="AB1300" s="1"/>
      <c r="AC1300" s="1"/>
      <c r="AD1300" s="1"/>
      <c r="AE1300" s="1"/>
      <c r="AF1300" s="1" t="s">
        <v>5825</v>
      </c>
      <c r="AG1300" s="2" t="str">
        <f>"0415520312"</f>
        <v>0415520312</v>
      </c>
      <c r="AH1300" s="2" t="str">
        <f>"9780415520317"</f>
        <v>9780415520317</v>
      </c>
      <c r="AI1300" s="1">
        <v>0.0</v>
      </c>
      <c r="AJ1300" s="1">
        <v>4.18</v>
      </c>
      <c r="AK1300" s="1" t="s">
        <v>132</v>
      </c>
      <c r="AL1300" s="1" t="s">
        <v>28</v>
      </c>
      <c r="AM1300" s="1">
        <v>344.0</v>
      </c>
      <c r="AN1300" s="1">
        <v>2014.0</v>
      </c>
      <c r="AO1300" s="1">
        <v>1994.0</v>
      </c>
      <c r="AQ1300" s="3">
        <v>43142.0</v>
      </c>
      <c r="AR1300" s="1" t="s">
        <v>31</v>
      </c>
      <c r="AS1300" s="1" t="s">
        <v>5826</v>
      </c>
      <c r="AT1300" s="1" t="s">
        <v>31</v>
      </c>
      <c r="AX1300" s="1">
        <v>0.0</v>
      </c>
      <c r="AY1300" s="1">
        <v>0.0</v>
      </c>
    </row>
    <row r="1301" spans="20:51" ht="15.75" hidden="1">
      <c r="T1301" s="1">
        <v>7249642.0</v>
      </c>
      <c r="U1301" s="1"/>
      <c r="V1301" s="1"/>
      <c r="W1301" s="1"/>
      <c r="X1301" s="1"/>
      <c r="Y1301" s="1" t="s">
        <v>5827</v>
      </c>
      <c r="Z1301" s="1" t="s">
        <v>5828</v>
      </c>
      <c r="AA1301" s="1" t="s">
        <v>5829</v>
      </c>
      <c r="AB1301" s="1"/>
      <c r="AC1301" s="1"/>
      <c r="AD1301" s="1"/>
      <c r="AE1301" s="1"/>
      <c r="AG1301" s="2" t="str">
        <f>"1848850530"</f>
        <v>1848850530</v>
      </c>
      <c r="AH1301" s="2" t="str">
        <f>"9781848850538"</f>
        <v>9781848850538</v>
      </c>
      <c r="AI1301" s="1">
        <v>0.0</v>
      </c>
      <c r="AJ1301" s="1">
        <v>3.92</v>
      </c>
      <c r="AK1301" s="1" t="s">
        <v>5830</v>
      </c>
      <c r="AL1301" s="1" t="s">
        <v>41</v>
      </c>
      <c r="AM1301" s="1">
        <v>270.0</v>
      </c>
      <c r="AN1301" s="1">
        <v>2009.0</v>
      </c>
      <c r="AO1301" s="1">
        <v>2009.0</v>
      </c>
      <c r="AQ1301" s="3">
        <v>44808.0</v>
      </c>
      <c r="AR1301" s="1" t="s">
        <v>2451</v>
      </c>
      <c r="AS1301" s="1" t="s">
        <v>5831</v>
      </c>
      <c r="AT1301" s="1" t="s">
        <v>31</v>
      </c>
      <c r="AX1301" s="1">
        <v>0.0</v>
      </c>
      <c r="AY1301" s="1">
        <v>0.0</v>
      </c>
    </row>
    <row r="1302" spans="20:51" ht="15.75" hidden="1">
      <c r="T1302" s="1">
        <v>6551807.0</v>
      </c>
      <c r="U1302" s="1"/>
      <c r="V1302" s="1"/>
      <c r="W1302" s="1"/>
      <c r="X1302" s="1"/>
      <c r="Y1302" s="1" t="s">
        <v>5832</v>
      </c>
      <c r="Z1302" s="1" t="s">
        <v>5833</v>
      </c>
      <c r="AA1302" s="1" t="s">
        <v>5834</v>
      </c>
      <c r="AB1302" s="1"/>
      <c r="AC1302" s="1"/>
      <c r="AD1302" s="1"/>
      <c r="AE1302" s="1"/>
      <c r="AF1302" s="1" t="s">
        <v>3234</v>
      </c>
      <c r="AG1302" s="2" t="str">
        <f>"1594772630"</f>
        <v>1594772630</v>
      </c>
      <c r="AH1302" s="2" t="str">
        <f>"9781594772634"</f>
        <v>9781594772634</v>
      </c>
      <c r="AI1302" s="1">
        <v>0.0</v>
      </c>
      <c r="AJ1302" s="1">
        <v>4.32</v>
      </c>
      <c r="AK1302" s="1" t="s">
        <v>5835</v>
      </c>
      <c r="AL1302" s="1" t="s">
        <v>28</v>
      </c>
      <c r="AM1302" s="1">
        <v>552.0</v>
      </c>
      <c r="AN1302" s="1">
        <v>2009.0</v>
      </c>
      <c r="AO1302" s="1">
        <v>2004.0</v>
      </c>
      <c r="AQ1302" s="3">
        <v>44790.0</v>
      </c>
      <c r="AR1302" s="1" t="s">
        <v>31</v>
      </c>
      <c r="AS1302" s="1" t="s">
        <v>5836</v>
      </c>
      <c r="AT1302" s="1" t="s">
        <v>31</v>
      </c>
      <c r="AX1302" s="1">
        <v>0.0</v>
      </c>
      <c r="AY1302" s="1">
        <v>0.0</v>
      </c>
    </row>
    <row r="1303" spans="20:51" ht="15.75" hidden="1">
      <c r="T1303" s="1">
        <v>4472257.0</v>
      </c>
      <c r="U1303" s="1"/>
      <c r="V1303" s="1"/>
      <c r="W1303" s="1"/>
      <c r="X1303" s="1"/>
      <c r="Y1303" s="1" t="s">
        <v>5837</v>
      </c>
      <c r="Z1303" s="1" t="s">
        <v>5838</v>
      </c>
      <c r="AA1303" s="1" t="s">
        <v>5839</v>
      </c>
      <c r="AB1303" s="1"/>
      <c r="AC1303" s="1"/>
      <c r="AD1303" s="1"/>
      <c r="AE1303" s="1"/>
      <c r="AG1303" s="2" t="str">
        <f>"8478443681"</f>
        <v>8478443681</v>
      </c>
      <c r="AH1303" s="2" t="str">
        <f>"9788478443680"</f>
        <v>9788478443680</v>
      </c>
      <c r="AI1303" s="1">
        <v>0.0</v>
      </c>
      <c r="AJ1303" s="1">
        <v>4.36</v>
      </c>
      <c r="AK1303" s="1" t="s">
        <v>5413</v>
      </c>
      <c r="AL1303" s="1" t="s">
        <v>28</v>
      </c>
      <c r="AM1303" s="1">
        <v>508.0</v>
      </c>
      <c r="AN1303" s="1">
        <v>2010.0</v>
      </c>
      <c r="AO1303" s="1">
        <v>1946.0</v>
      </c>
      <c r="AQ1303" s="3">
        <v>45070.0</v>
      </c>
      <c r="AR1303" s="1" t="s">
        <v>31</v>
      </c>
      <c r="AS1303" s="1" t="s">
        <v>5840</v>
      </c>
      <c r="AT1303" s="1" t="s">
        <v>31</v>
      </c>
      <c r="AX1303" s="1">
        <v>0.0</v>
      </c>
      <c r="AY1303" s="1">
        <v>0.0</v>
      </c>
    </row>
    <row r="1304" spans="20:51" ht="15.75" hidden="1">
      <c r="T1304" s="1">
        <v>4371062.0</v>
      </c>
      <c r="U1304" s="1"/>
      <c r="V1304" s="1"/>
      <c r="W1304" s="1"/>
      <c r="X1304" s="1"/>
      <c r="Y1304" s="1" t="s">
        <v>5841</v>
      </c>
      <c r="Z1304" s="1" t="s">
        <v>5819</v>
      </c>
      <c r="AA1304" s="1" t="s">
        <v>5820</v>
      </c>
      <c r="AB1304" s="1"/>
      <c r="AC1304" s="1"/>
      <c r="AD1304" s="1"/>
      <c r="AE1304" s="1"/>
      <c r="AF1304" s="1" t="s">
        <v>5842</v>
      </c>
      <c r="AG1304" s="2" t="str">
        <f>"8478442391"</f>
        <v>8478442391</v>
      </c>
      <c r="AH1304" s="2" t="str">
        <f>"9788478442393"</f>
        <v>9788478442393</v>
      </c>
      <c r="AI1304" s="1">
        <v>0.0</v>
      </c>
      <c r="AJ1304" s="1">
        <v>3.84</v>
      </c>
      <c r="AK1304" s="1" t="s">
        <v>5413</v>
      </c>
      <c r="AL1304" s="1" t="s">
        <v>41</v>
      </c>
      <c r="AM1304" s="1">
        <v>208.0</v>
      </c>
      <c r="AN1304" s="1">
        <v>2007.0</v>
      </c>
      <c r="AO1304" s="1">
        <v>2007.0</v>
      </c>
      <c r="AQ1304" s="3">
        <v>43976.0</v>
      </c>
      <c r="AR1304" s="1" t="s">
        <v>1019</v>
      </c>
      <c r="AS1304" s="1" t="s">
        <v>5843</v>
      </c>
      <c r="AT1304" s="1" t="s">
        <v>31</v>
      </c>
      <c r="AX1304" s="1">
        <v>0.0</v>
      </c>
      <c r="AY1304" s="1">
        <v>0.0</v>
      </c>
    </row>
    <row r="1305" spans="20:51" ht="15.75" hidden="1">
      <c r="T1305" s="1">
        <v>3410762.0</v>
      </c>
      <c r="U1305" s="1"/>
      <c r="V1305" s="1"/>
      <c r="W1305" s="1"/>
      <c r="X1305" s="1"/>
      <c r="Y1305" s="1" t="s">
        <v>5844</v>
      </c>
      <c r="Z1305" s="1" t="s">
        <v>5845</v>
      </c>
      <c r="AA1305" s="1" t="s">
        <v>5846</v>
      </c>
      <c r="AB1305" s="1"/>
      <c r="AC1305" s="1"/>
      <c r="AD1305" s="1"/>
      <c r="AE1305" s="1"/>
      <c r="AF1305" s="1" t="s">
        <v>5847</v>
      </c>
      <c r="AG1305" s="2" t="str">
        <f>"0140037373"</f>
        <v>0140037373</v>
      </c>
      <c r="AH1305" s="2" t="str">
        <f>"9780140037371"</f>
        <v>9780140037371</v>
      </c>
      <c r="AI1305" s="1">
        <v>0.0</v>
      </c>
      <c r="AJ1305" s="1">
        <v>3.66</v>
      </c>
      <c r="AK1305" s="1" t="s">
        <v>460</v>
      </c>
      <c r="AL1305" s="1" t="s">
        <v>28</v>
      </c>
      <c r="AM1305" s="1">
        <v>240.0</v>
      </c>
      <c r="AN1305" s="1">
        <v>1973.0</v>
      </c>
      <c r="AO1305" s="1">
        <v>1972.0</v>
      </c>
      <c r="AQ1305" s="4">
        <v>44908.0</v>
      </c>
      <c r="AR1305" s="1" t="s">
        <v>31</v>
      </c>
      <c r="AS1305" s="1" t="s">
        <v>5848</v>
      </c>
      <c r="AT1305" s="1" t="s">
        <v>31</v>
      </c>
      <c r="AX1305" s="1">
        <v>0.0</v>
      </c>
      <c r="AY1305" s="1">
        <v>0.0</v>
      </c>
    </row>
    <row r="1306" spans="20:51" ht="15.75" hidden="1">
      <c r="T1306" s="1">
        <v>2773442.0</v>
      </c>
      <c r="U1306" s="1"/>
      <c r="V1306" s="1"/>
      <c r="W1306" s="1"/>
      <c r="X1306" s="1"/>
      <c r="Y1306" s="1" t="s">
        <v>5849</v>
      </c>
      <c r="Z1306" s="1" t="s">
        <v>5850</v>
      </c>
      <c r="AA1306" s="1" t="s">
        <v>5851</v>
      </c>
      <c r="AB1306" s="1"/>
      <c r="AC1306" s="1"/>
      <c r="AD1306" s="1"/>
      <c r="AE1306" s="1"/>
      <c r="AF1306" s="1" t="s">
        <v>5852</v>
      </c>
      <c r="AG1306" s="2" t="str">
        <f>"0415977770"</f>
        <v>0415977770</v>
      </c>
      <c r="AH1306" s="2" t="str">
        <f>"9780415977777"</f>
        <v>9780415977777</v>
      </c>
      <c r="AI1306" s="1">
        <v>0.0</v>
      </c>
      <c r="AJ1306" s="1">
        <v>3.87</v>
      </c>
      <c r="AK1306" s="1" t="s">
        <v>132</v>
      </c>
      <c r="AL1306" s="1" t="s">
        <v>28</v>
      </c>
      <c r="AM1306" s="1">
        <v>624.0</v>
      </c>
      <c r="AN1306" s="1">
        <v>2007.0</v>
      </c>
      <c r="AO1306" s="1">
        <v>1997.0</v>
      </c>
      <c r="AQ1306" s="3">
        <v>43926.0</v>
      </c>
      <c r="AR1306" s="1" t="s">
        <v>31</v>
      </c>
      <c r="AS1306" s="1" t="s">
        <v>5853</v>
      </c>
      <c r="AT1306" s="1" t="s">
        <v>31</v>
      </c>
      <c r="AX1306" s="1">
        <v>0.0</v>
      </c>
      <c r="AY1306" s="1">
        <v>0.0</v>
      </c>
    </row>
    <row r="1307" spans="20:51" ht="15.75" hidden="1">
      <c r="T1307" s="1">
        <v>1960749.0</v>
      </c>
      <c r="U1307" s="1"/>
      <c r="V1307" s="1"/>
      <c r="W1307" s="1"/>
      <c r="X1307" s="1"/>
      <c r="Y1307" s="1" t="s">
        <v>5854</v>
      </c>
      <c r="Z1307" s="1" t="s">
        <v>5855</v>
      </c>
      <c r="AA1307" s="1" t="s">
        <v>5856</v>
      </c>
      <c r="AB1307" s="1"/>
      <c r="AC1307" s="1"/>
      <c r="AD1307" s="1"/>
      <c r="AE1307" s="1"/>
      <c r="AG1307" s="2" t="str">
        <f>"847844792X"</f>
        <v>847844792X</v>
      </c>
      <c r="AH1307" s="2" t="str">
        <f>"9788478447923"</f>
        <v>9788478447923</v>
      </c>
      <c r="AI1307" s="1">
        <v>0.0</v>
      </c>
      <c r="AJ1307" s="1">
        <v>4.23</v>
      </c>
      <c r="AK1307" s="1" t="s">
        <v>5413</v>
      </c>
      <c r="AL1307" s="1" t="s">
        <v>28</v>
      </c>
      <c r="AM1307" s="1">
        <v>644.0</v>
      </c>
      <c r="AN1307" s="1">
        <v>2010.0</v>
      </c>
      <c r="AO1307" s="1">
        <v>2002.0</v>
      </c>
      <c r="AQ1307" s="3">
        <v>43968.0</v>
      </c>
      <c r="AR1307" s="1" t="s">
        <v>31</v>
      </c>
      <c r="AS1307" s="1" t="s">
        <v>5857</v>
      </c>
      <c r="AT1307" s="1" t="s">
        <v>31</v>
      </c>
      <c r="AX1307" s="1">
        <v>0.0</v>
      </c>
      <c r="AY1307" s="1">
        <v>0.0</v>
      </c>
    </row>
    <row r="1308" spans="20:51" ht="15.75" hidden="1">
      <c r="T1308" s="1">
        <v>2507261.0</v>
      </c>
      <c r="U1308" s="1"/>
      <c r="V1308" s="1"/>
      <c r="W1308" s="1"/>
      <c r="X1308" s="1"/>
      <c r="Y1308" s="1" t="s">
        <v>5858</v>
      </c>
      <c r="Z1308" s="1" t="s">
        <v>5859</v>
      </c>
      <c r="AA1308" s="1" t="s">
        <v>5860</v>
      </c>
      <c r="AB1308" s="1"/>
      <c r="AC1308" s="1"/>
      <c r="AD1308" s="1"/>
      <c r="AE1308" s="1"/>
      <c r="AG1308" s="2" t="str">
        <f>"0415907551"</f>
        <v>0415907551</v>
      </c>
      <c r="AH1308" s="2" t="str">
        <f>"9780415907552"</f>
        <v>9780415907552</v>
      </c>
      <c r="AI1308" s="1">
        <v>0.0</v>
      </c>
      <c r="AJ1308" s="1">
        <v>3.33</v>
      </c>
      <c r="AK1308" s="1" t="s">
        <v>132</v>
      </c>
      <c r="AL1308" s="1" t="s">
        <v>28</v>
      </c>
      <c r="AM1308" s="1">
        <v>308.0</v>
      </c>
      <c r="AN1308" s="1">
        <v>1995.0</v>
      </c>
      <c r="AO1308" s="1">
        <v>1994.0</v>
      </c>
      <c r="AQ1308" s="3">
        <v>43949.0</v>
      </c>
      <c r="AR1308" s="1" t="s">
        <v>31</v>
      </c>
      <c r="AS1308" s="1" t="s">
        <v>5861</v>
      </c>
      <c r="AT1308" s="1" t="s">
        <v>31</v>
      </c>
      <c r="AX1308" s="1">
        <v>0.0</v>
      </c>
      <c r="AY1308" s="1">
        <v>0.0</v>
      </c>
    </row>
    <row r="1309" spans="20:51" ht="15.75" hidden="1">
      <c r="T1309" s="1">
        <v>3410737.0</v>
      </c>
      <c r="U1309" s="1"/>
      <c r="V1309" s="1"/>
      <c r="W1309" s="1"/>
      <c r="X1309" s="1"/>
      <c r="Y1309" s="1" t="s">
        <v>5862</v>
      </c>
      <c r="Z1309" s="1" t="s">
        <v>5863</v>
      </c>
      <c r="AA1309" s="1" t="s">
        <v>5864</v>
      </c>
      <c r="AB1309" s="1"/>
      <c r="AC1309" s="1"/>
      <c r="AD1309" s="1"/>
      <c r="AE1309" s="1"/>
      <c r="AG1309" s="2" t="str">
        <f>"0877288194"</f>
        <v>0877288194</v>
      </c>
      <c r="AH1309" s="2" t="str">
        <f>"9780877288190"</f>
        <v>9780877288190</v>
      </c>
      <c r="AI1309" s="1">
        <v>0.0</v>
      </c>
      <c r="AJ1309" s="1">
        <v>0.0</v>
      </c>
      <c r="AK1309" s="1" t="s">
        <v>5032</v>
      </c>
      <c r="AL1309" s="1" t="s">
        <v>28</v>
      </c>
      <c r="AM1309" s="1">
        <v>128.0</v>
      </c>
      <c r="AN1309" s="1">
        <v>1994.0</v>
      </c>
      <c r="AO1309" s="1">
        <v>1994.0</v>
      </c>
      <c r="AQ1309" s="4">
        <v>44908.0</v>
      </c>
      <c r="AR1309" s="1" t="s">
        <v>31</v>
      </c>
      <c r="AS1309" s="1" t="s">
        <v>5865</v>
      </c>
      <c r="AT1309" s="1" t="s">
        <v>31</v>
      </c>
      <c r="AX1309" s="1">
        <v>0.0</v>
      </c>
      <c r="AY1309" s="1">
        <v>0.0</v>
      </c>
    </row>
    <row r="1310" spans="20:51" ht="15.75" hidden="1">
      <c r="T1310" s="1">
        <v>1908721.0</v>
      </c>
      <c r="U1310" s="1"/>
      <c r="V1310" s="1"/>
      <c r="W1310" s="1"/>
      <c r="X1310" s="1"/>
      <c r="Y1310" s="1" t="s">
        <v>5866</v>
      </c>
      <c r="Z1310" s="1" t="s">
        <v>5867</v>
      </c>
      <c r="AA1310" s="1" t="s">
        <v>5868</v>
      </c>
      <c r="AB1310" s="1"/>
      <c r="AC1310" s="1"/>
      <c r="AD1310" s="1"/>
      <c r="AE1310" s="1"/>
      <c r="AG1310" s="2" t="str">
        <f>"0300077483"</f>
        <v>0300077483</v>
      </c>
      <c r="AH1310" s="2" t="str">
        <f>"9780300077483"</f>
        <v>9780300077483</v>
      </c>
      <c r="AI1310" s="1">
        <v>0.0</v>
      </c>
      <c r="AJ1310" s="1">
        <v>4.3</v>
      </c>
      <c r="AK1310" s="1" t="s">
        <v>545</v>
      </c>
      <c r="AL1310" s="1" t="s">
        <v>28</v>
      </c>
      <c r="AM1310" s="1">
        <v>332.0</v>
      </c>
      <c r="AN1310" s="1">
        <v>1999.0</v>
      </c>
      <c r="AO1310" s="1">
        <v>1953.0</v>
      </c>
      <c r="AQ1310" s="3">
        <v>44804.0</v>
      </c>
      <c r="AR1310" s="1" t="s">
        <v>31</v>
      </c>
      <c r="AS1310" s="1" t="s">
        <v>5869</v>
      </c>
      <c r="AT1310" s="1" t="s">
        <v>31</v>
      </c>
      <c r="AX1310" s="1">
        <v>0.0</v>
      </c>
      <c r="AY1310" s="1">
        <v>0.0</v>
      </c>
    </row>
    <row r="1311" spans="20:51" ht="15.75" hidden="1">
      <c r="T1311" s="1">
        <v>1147532.0</v>
      </c>
      <c r="U1311" s="1"/>
      <c r="V1311" s="1"/>
      <c r="W1311" s="1"/>
      <c r="X1311" s="1"/>
      <c r="Y1311" s="1" t="s">
        <v>5870</v>
      </c>
      <c r="Z1311" s="1" t="s">
        <v>5871</v>
      </c>
      <c r="AA1311" s="1" t="s">
        <v>5872</v>
      </c>
      <c r="AB1311" s="1"/>
      <c r="AC1311" s="1"/>
      <c r="AD1311" s="1"/>
      <c r="AE1311" s="1"/>
      <c r="AF1311" s="1" t="s">
        <v>5873</v>
      </c>
      <c r="AG1311" s="2" t="str">
        <f>"8472451917"</f>
        <v>8472451917</v>
      </c>
      <c r="AH1311" s="2" t="str">
        <f>"9788472451919"</f>
        <v>9788472451919</v>
      </c>
      <c r="AI1311" s="1">
        <v>0.0</v>
      </c>
      <c r="AJ1311" s="1">
        <v>4.13</v>
      </c>
      <c r="AK1311" s="1" t="s">
        <v>5874</v>
      </c>
      <c r="AL1311" s="1" t="s">
        <v>28</v>
      </c>
      <c r="AM1311" s="1">
        <v>525.0</v>
      </c>
      <c r="AN1311" s="1">
        <v>1989.0</v>
      </c>
      <c r="AO1311" s="1">
        <v>1980.0</v>
      </c>
      <c r="AQ1311" s="3">
        <v>44843.0</v>
      </c>
      <c r="AR1311" s="1" t="s">
        <v>31</v>
      </c>
      <c r="AS1311" s="1" t="s">
        <v>5875</v>
      </c>
      <c r="AT1311" s="1" t="s">
        <v>31</v>
      </c>
      <c r="AX1311" s="1">
        <v>0.0</v>
      </c>
      <c r="AY1311" s="1">
        <v>0.0</v>
      </c>
    </row>
    <row r="1312" spans="20:51" ht="15.75" hidden="1">
      <c r="T1312" s="1">
        <v>1512020.0</v>
      </c>
      <c r="U1312" s="1"/>
      <c r="V1312" s="1"/>
      <c r="W1312" s="1"/>
      <c r="X1312" s="1"/>
      <c r="Y1312" s="1" t="s">
        <v>5876</v>
      </c>
      <c r="Z1312" s="1" t="s">
        <v>5877</v>
      </c>
      <c r="AA1312" s="1" t="s">
        <v>5878</v>
      </c>
      <c r="AB1312" s="1"/>
      <c r="AC1312" s="1"/>
      <c r="AD1312" s="1"/>
      <c r="AE1312" s="1"/>
      <c r="AG1312" s="2" t="str">
        <f>"0415040132"</f>
        <v>0415040132</v>
      </c>
      <c r="AH1312" s="2" t="str">
        <f>"9780415040136"</f>
        <v>9780415040136</v>
      </c>
      <c r="AI1312" s="1">
        <v>0.0</v>
      </c>
      <c r="AJ1312" s="1">
        <v>4.0</v>
      </c>
      <c r="AK1312" s="1" t="s">
        <v>132</v>
      </c>
      <c r="AL1312" s="1" t="s">
        <v>28</v>
      </c>
      <c r="AN1312" s="1">
        <v>1987.0</v>
      </c>
      <c r="AO1312" s="1">
        <v>1987.0</v>
      </c>
      <c r="AQ1312" s="3">
        <v>43101.0</v>
      </c>
      <c r="AR1312" s="1" t="s">
        <v>31</v>
      </c>
      <c r="AS1312" s="1" t="s">
        <v>5879</v>
      </c>
      <c r="AT1312" s="1" t="s">
        <v>31</v>
      </c>
      <c r="AX1312" s="1">
        <v>0.0</v>
      </c>
      <c r="AY1312" s="1">
        <v>0.0</v>
      </c>
    </row>
    <row r="1313" spans="20:51" ht="15.75" hidden="1">
      <c r="T1313" s="1">
        <v>1336654.0</v>
      </c>
      <c r="U1313" s="1"/>
      <c r="V1313" s="1"/>
      <c r="W1313" s="1"/>
      <c r="X1313" s="1"/>
      <c r="Y1313" s="1" t="s">
        <v>5880</v>
      </c>
      <c r="Z1313" s="1" t="s">
        <v>5881</v>
      </c>
      <c r="AA1313" s="1" t="s">
        <v>5882</v>
      </c>
      <c r="AB1313" s="1"/>
      <c r="AC1313" s="1"/>
      <c r="AD1313" s="1"/>
      <c r="AE1313" s="1"/>
      <c r="AG1313" s="2" t="str">
        <f>"0451072057"</f>
        <v>0451072057</v>
      </c>
      <c r="AH1313" s="2" t="str">
        <f>"9780451072054"</f>
        <v>9780451072054</v>
      </c>
      <c r="AI1313" s="1">
        <v>0.0</v>
      </c>
      <c r="AJ1313" s="1">
        <v>3.56</v>
      </c>
      <c r="AK1313" s="1" t="s">
        <v>658</v>
      </c>
      <c r="AL1313" s="1" t="s">
        <v>315</v>
      </c>
      <c r="AM1313" s="1">
        <v>256.0</v>
      </c>
      <c r="AN1313" s="1">
        <v>1969.0</v>
      </c>
      <c r="AO1313" s="1">
        <v>1960.0</v>
      </c>
      <c r="AQ1313" s="4">
        <v>44908.0</v>
      </c>
      <c r="AR1313" s="1" t="s">
        <v>31</v>
      </c>
      <c r="AS1313" s="1" t="s">
        <v>5883</v>
      </c>
      <c r="AT1313" s="1" t="s">
        <v>31</v>
      </c>
      <c r="AX1313" s="1">
        <v>0.0</v>
      </c>
      <c r="AY1313" s="1">
        <v>0.0</v>
      </c>
    </row>
    <row r="1314" spans="20:51" ht="15.75" hidden="1">
      <c r="T1314" s="1">
        <v>1228573.0</v>
      </c>
      <c r="U1314" s="1"/>
      <c r="V1314" s="1"/>
      <c r="W1314" s="1"/>
      <c r="X1314" s="1"/>
      <c r="Y1314" s="1" t="s">
        <v>5884</v>
      </c>
      <c r="Z1314" s="1" t="s">
        <v>5885</v>
      </c>
      <c r="AA1314" s="1" t="s">
        <v>5886</v>
      </c>
      <c r="AB1314" s="1"/>
      <c r="AC1314" s="1"/>
      <c r="AD1314" s="1"/>
      <c r="AE1314" s="1"/>
      <c r="AF1314" s="1" t="s">
        <v>5887</v>
      </c>
      <c r="AG1314" s="2" t="str">
        <f>"157281540X"</f>
        <v>157281540X</v>
      </c>
      <c r="AH1314" s="2" t="str">
        <f>"9781572815407"</f>
        <v>9781572815407</v>
      </c>
      <c r="AI1314" s="1">
        <v>0.0</v>
      </c>
      <c r="AJ1314" s="1">
        <v>4.32</v>
      </c>
      <c r="AK1314" s="1" t="s">
        <v>5888</v>
      </c>
      <c r="AL1314" s="1" t="s">
        <v>41</v>
      </c>
      <c r="AN1314" s="1">
        <v>2006.0</v>
      </c>
      <c r="AO1314" s="1">
        <v>2005.0</v>
      </c>
      <c r="AQ1314" s="4">
        <v>44908.0</v>
      </c>
      <c r="AR1314" s="1" t="s">
        <v>31</v>
      </c>
      <c r="AS1314" s="1" t="s">
        <v>5889</v>
      </c>
      <c r="AT1314" s="1" t="s">
        <v>31</v>
      </c>
      <c r="AX1314" s="1">
        <v>0.0</v>
      </c>
      <c r="AY1314" s="1">
        <v>0.0</v>
      </c>
    </row>
    <row r="1315" spans="20:51" ht="15.75" hidden="1">
      <c r="T1315" s="1">
        <v>1089329.0</v>
      </c>
      <c r="U1315" s="1"/>
      <c r="V1315" s="1"/>
      <c r="W1315" s="1"/>
      <c r="X1315" s="1"/>
      <c r="Y1315" s="1" t="s">
        <v>5890</v>
      </c>
      <c r="Z1315" s="1" t="s">
        <v>5891</v>
      </c>
      <c r="AA1315" s="1" t="s">
        <v>5892</v>
      </c>
      <c r="AB1315" s="1"/>
      <c r="AC1315" s="1"/>
      <c r="AD1315" s="1"/>
      <c r="AE1315" s="1"/>
      <c r="AG1315" s="2" t="str">
        <f>"0879801581"</f>
        <v>0879801581</v>
      </c>
      <c r="AH1315" s="2" t="str">
        <f>"9780879801588"</f>
        <v>9780879801588</v>
      </c>
      <c r="AI1315" s="1">
        <v>0.0</v>
      </c>
      <c r="AJ1315" s="1">
        <v>3.83</v>
      </c>
      <c r="AK1315" s="1" t="s">
        <v>5893</v>
      </c>
      <c r="AL1315" s="1" t="s">
        <v>28</v>
      </c>
      <c r="AN1315" s="1">
        <v>1978.0</v>
      </c>
      <c r="AO1315" s="1">
        <v>1888.0</v>
      </c>
      <c r="AQ1315" s="3">
        <v>45087.0</v>
      </c>
      <c r="AR1315" s="1" t="s">
        <v>31</v>
      </c>
      <c r="AS1315" s="1" t="s">
        <v>5894</v>
      </c>
      <c r="AT1315" s="1" t="s">
        <v>31</v>
      </c>
      <c r="AX1315" s="1">
        <v>0.0</v>
      </c>
      <c r="AY1315" s="1">
        <v>0.0</v>
      </c>
    </row>
    <row r="1316" spans="20:51" ht="15.75" hidden="1">
      <c r="T1316" s="1">
        <v>863480.0</v>
      </c>
      <c r="U1316" s="1"/>
      <c r="V1316" s="1"/>
      <c r="W1316" s="1"/>
      <c r="X1316" s="1"/>
      <c r="Y1316" s="1" t="s">
        <v>5895</v>
      </c>
      <c r="Z1316" s="1" t="s">
        <v>5896</v>
      </c>
      <c r="AA1316" s="1" t="s">
        <v>5897</v>
      </c>
      <c r="AB1316" s="1"/>
      <c r="AC1316" s="1"/>
      <c r="AD1316" s="1"/>
      <c r="AE1316" s="1"/>
      <c r="AF1316" s="1" t="s">
        <v>5898</v>
      </c>
      <c r="AG1316" s="2" t="str">
        <f>"0300016743"</f>
        <v>0300016743</v>
      </c>
      <c r="AH1316" s="2" t="str">
        <f>"9780300016741"</f>
        <v>9780300016741</v>
      </c>
      <c r="AI1316" s="1">
        <v>0.0</v>
      </c>
      <c r="AJ1316" s="1">
        <v>4.12</v>
      </c>
      <c r="AK1316" s="1" t="s">
        <v>5899</v>
      </c>
      <c r="AL1316" s="1" t="s">
        <v>28</v>
      </c>
      <c r="AM1316" s="1">
        <v>226.0</v>
      </c>
      <c r="AN1316" s="1">
        <v>1973.0</v>
      </c>
      <c r="AO1316" s="1">
        <v>1942.0</v>
      </c>
      <c r="AQ1316" s="3">
        <v>44959.0</v>
      </c>
      <c r="AR1316" s="1" t="s">
        <v>31</v>
      </c>
      <c r="AS1316" s="1" t="s">
        <v>5900</v>
      </c>
      <c r="AT1316" s="1" t="s">
        <v>31</v>
      </c>
      <c r="AX1316" s="1">
        <v>0.0</v>
      </c>
      <c r="AY1316" s="1">
        <v>0.0</v>
      </c>
    </row>
    <row r="1317" spans="20:51" ht="15.75" hidden="1">
      <c r="T1317" s="1">
        <v>836345.0</v>
      </c>
      <c r="U1317" s="1"/>
      <c r="V1317" s="1"/>
      <c r="W1317" s="1"/>
      <c r="X1317" s="1"/>
      <c r="Y1317" s="1" t="s">
        <v>5901</v>
      </c>
      <c r="Z1317" s="1" t="s">
        <v>5902</v>
      </c>
      <c r="AA1317" s="1" t="s">
        <v>5903</v>
      </c>
      <c r="AB1317" s="1"/>
      <c r="AC1317" s="1"/>
      <c r="AD1317" s="1"/>
      <c r="AE1317" s="1"/>
      <c r="AG1317" s="2" t="str">
        <f>"0415147557"</f>
        <v>0415147557</v>
      </c>
      <c r="AH1317" s="2" t="str">
        <f>"9780415147552"</f>
        <v>9780415147552</v>
      </c>
      <c r="AI1317" s="1">
        <v>0.0</v>
      </c>
      <c r="AJ1317" s="1">
        <v>4.12</v>
      </c>
      <c r="AK1317" s="1" t="s">
        <v>132</v>
      </c>
      <c r="AL1317" s="1" t="s">
        <v>28</v>
      </c>
      <c r="AM1317" s="1">
        <v>472.0</v>
      </c>
      <c r="AN1317" s="1">
        <v>1999.0</v>
      </c>
      <c r="AO1317" s="1">
        <v>1999.0</v>
      </c>
      <c r="AQ1317" s="3">
        <v>45120.0</v>
      </c>
      <c r="AR1317" s="1" t="s">
        <v>31</v>
      </c>
      <c r="AS1317" s="1" t="s">
        <v>5904</v>
      </c>
      <c r="AT1317" s="1" t="s">
        <v>31</v>
      </c>
      <c r="AX1317" s="1">
        <v>0.0</v>
      </c>
      <c r="AY1317" s="1">
        <v>0.0</v>
      </c>
    </row>
    <row r="1318" spans="20:51" ht="15.75" hidden="1">
      <c r="T1318" s="1">
        <v>955114.0</v>
      </c>
      <c r="U1318" s="1"/>
      <c r="V1318" s="1"/>
      <c r="W1318" s="1"/>
      <c r="X1318" s="1"/>
      <c r="Y1318" s="1" t="s">
        <v>5905</v>
      </c>
      <c r="Z1318" s="1" t="s">
        <v>5810</v>
      </c>
      <c r="AA1318" s="1" t="s">
        <v>5811</v>
      </c>
      <c r="AB1318" s="1"/>
      <c r="AC1318" s="1"/>
      <c r="AD1318" s="1"/>
      <c r="AE1318" s="1"/>
      <c r="AF1318" s="1" t="s">
        <v>5906</v>
      </c>
      <c r="AG1318" s="2" t="str">
        <f>"0312162944"</f>
        <v>0312162944</v>
      </c>
      <c r="AH1318" s="2" t="str">
        <f>"9780312162948"</f>
        <v>9780312162948</v>
      </c>
      <c r="AI1318" s="1">
        <v>0.0</v>
      </c>
      <c r="AJ1318" s="1">
        <v>4.18</v>
      </c>
      <c r="AK1318" s="1" t="s">
        <v>1998</v>
      </c>
      <c r="AL1318" s="1" t="s">
        <v>41</v>
      </c>
      <c r="AM1318" s="1">
        <v>308.0</v>
      </c>
      <c r="AN1318" s="1">
        <v>1996.0</v>
      </c>
      <c r="AO1318" s="1">
        <v>1996.0</v>
      </c>
      <c r="AQ1318" s="3">
        <v>44805.0</v>
      </c>
      <c r="AR1318" s="1" t="s">
        <v>31</v>
      </c>
      <c r="AS1318" s="1" t="s">
        <v>5907</v>
      </c>
      <c r="AT1318" s="1" t="s">
        <v>31</v>
      </c>
      <c r="AX1318" s="1">
        <v>0.0</v>
      </c>
      <c r="AY1318" s="1">
        <v>0.0</v>
      </c>
    </row>
    <row r="1319" spans="20:51" ht="15.75" hidden="1">
      <c r="T1319" s="1">
        <v>974866.0</v>
      </c>
      <c r="U1319" s="1"/>
      <c r="V1319" s="1"/>
      <c r="W1319" s="1"/>
      <c r="X1319" s="1"/>
      <c r="Y1319" s="1" t="s">
        <v>5908</v>
      </c>
      <c r="Z1319" s="1" t="s">
        <v>5909</v>
      </c>
      <c r="AA1319" s="1" t="s">
        <v>5910</v>
      </c>
      <c r="AB1319" s="1"/>
      <c r="AC1319" s="1"/>
      <c r="AD1319" s="1"/>
      <c r="AE1319" s="1"/>
      <c r="AG1319" s="2" t="str">
        <f>"0943358019"</f>
        <v>0943358019</v>
      </c>
      <c r="AH1319" s="2" t="str">
        <f>"9780943358017"</f>
        <v>9780943358017</v>
      </c>
      <c r="AI1319" s="1">
        <v>0.0</v>
      </c>
      <c r="AJ1319" s="1">
        <v>4.39</v>
      </c>
      <c r="AK1319" s="1" t="s">
        <v>5911</v>
      </c>
      <c r="AL1319" s="1" t="s">
        <v>28</v>
      </c>
      <c r="AN1319" s="1">
        <v>1983.0</v>
      </c>
      <c r="AO1319" s="1">
        <v>1975.0</v>
      </c>
      <c r="AQ1319" s="4">
        <v>44908.0</v>
      </c>
      <c r="AR1319" s="1" t="s">
        <v>31</v>
      </c>
      <c r="AS1319" s="1" t="s">
        <v>5912</v>
      </c>
      <c r="AT1319" s="1" t="s">
        <v>31</v>
      </c>
      <c r="AX1319" s="1">
        <v>0.0</v>
      </c>
      <c r="AY1319" s="1">
        <v>0.0</v>
      </c>
    </row>
    <row r="1320" spans="20:51" ht="15.75" hidden="1">
      <c r="T1320" s="1">
        <v>761156.0</v>
      </c>
      <c r="U1320" s="1"/>
      <c r="V1320" s="1"/>
      <c r="W1320" s="1"/>
      <c r="X1320" s="1"/>
      <c r="Y1320" s="1" t="s">
        <v>5913</v>
      </c>
      <c r="Z1320" s="1" t="s">
        <v>5914</v>
      </c>
      <c r="AA1320" s="1" t="s">
        <v>5915</v>
      </c>
      <c r="AB1320" s="1"/>
      <c r="AC1320" s="1"/>
      <c r="AD1320" s="1"/>
      <c r="AE1320" s="1"/>
      <c r="AG1320" s="2" t="str">
        <f>"0684824779"</f>
        <v>0684824779</v>
      </c>
      <c r="AH1320" s="2" t="str">
        <f>"9780684824772"</f>
        <v>9780684824772</v>
      </c>
      <c r="AI1320" s="1">
        <v>0.0</v>
      </c>
      <c r="AJ1320" s="1">
        <v>3.84</v>
      </c>
      <c r="AK1320" s="1" t="s">
        <v>101</v>
      </c>
      <c r="AL1320" s="1" t="s">
        <v>28</v>
      </c>
      <c r="AM1320" s="1">
        <v>224.0</v>
      </c>
      <c r="AN1320" s="1">
        <v>1996.0</v>
      </c>
      <c r="AO1320" s="1">
        <v>1972.0</v>
      </c>
      <c r="AQ1320" s="4">
        <v>44118.0</v>
      </c>
      <c r="AR1320" s="1" t="s">
        <v>31</v>
      </c>
      <c r="AS1320" s="1" t="s">
        <v>5916</v>
      </c>
      <c r="AT1320" s="1" t="s">
        <v>31</v>
      </c>
      <c r="AX1320" s="1">
        <v>0.0</v>
      </c>
      <c r="AY1320" s="1">
        <v>0.0</v>
      </c>
    </row>
    <row r="1321" spans="20:51" ht="15.75" hidden="1">
      <c r="T1321" s="1">
        <v>760806.0</v>
      </c>
      <c r="U1321" s="1"/>
      <c r="V1321" s="1"/>
      <c r="W1321" s="1"/>
      <c r="X1321" s="1"/>
      <c r="Y1321" s="1" t="s">
        <v>5917</v>
      </c>
      <c r="Z1321" s="1" t="s">
        <v>5918</v>
      </c>
      <c r="AA1321" s="1" t="s">
        <v>5919</v>
      </c>
      <c r="AB1321" s="1"/>
      <c r="AC1321" s="1"/>
      <c r="AD1321" s="1"/>
      <c r="AE1321" s="1"/>
      <c r="AF1321" s="1" t="s">
        <v>5920</v>
      </c>
      <c r="AG1321" s="2" t="str">
        <f>"0064300250"</f>
        <v>0064300250</v>
      </c>
      <c r="AH1321" s="2" t="str">
        <f>"9780064300254"</f>
        <v>9780064300254</v>
      </c>
      <c r="AI1321" s="1">
        <v>0.0</v>
      </c>
      <c r="AJ1321" s="1">
        <v>4.22</v>
      </c>
      <c r="AK1321" s="1" t="s">
        <v>132</v>
      </c>
      <c r="AL1321" s="1" t="s">
        <v>28</v>
      </c>
      <c r="AM1321" s="1">
        <v>263.0</v>
      </c>
      <c r="AN1321" s="1">
        <v>1972.0</v>
      </c>
      <c r="AO1321" s="1">
        <v>1967.0</v>
      </c>
      <c r="AQ1321" s="3">
        <v>44804.0</v>
      </c>
      <c r="AR1321" s="1" t="s">
        <v>31</v>
      </c>
      <c r="AS1321" s="1" t="s">
        <v>5921</v>
      </c>
      <c r="AT1321" s="1" t="s">
        <v>31</v>
      </c>
      <c r="AX1321" s="1">
        <v>0.0</v>
      </c>
      <c r="AY1321" s="1">
        <v>0.0</v>
      </c>
    </row>
    <row r="1322" spans="20:51" ht="15.75" hidden="1">
      <c r="T1322" s="1">
        <v>496975.0</v>
      </c>
      <c r="U1322" s="1"/>
      <c r="V1322" s="1"/>
      <c r="W1322" s="1"/>
      <c r="X1322" s="1"/>
      <c r="Y1322" s="1" t="s">
        <v>5922</v>
      </c>
      <c r="Z1322" s="1" t="s">
        <v>3167</v>
      </c>
      <c r="AA1322" s="1" t="s">
        <v>3168</v>
      </c>
      <c r="AB1322" s="1"/>
      <c r="AC1322" s="1"/>
      <c r="AD1322" s="1"/>
      <c r="AE1322" s="1"/>
      <c r="AG1322" s="2" t="str">
        <f>"0300110243"</f>
        <v>0300110243</v>
      </c>
      <c r="AH1322" s="2" t="str">
        <f>"9780300110241"</f>
        <v>9780300110241</v>
      </c>
      <c r="AI1322" s="1">
        <v>0.0</v>
      </c>
      <c r="AJ1322" s="1">
        <v>4.18</v>
      </c>
      <c r="AK1322" s="1" t="s">
        <v>545</v>
      </c>
      <c r="AL1322" s="1" t="s">
        <v>41</v>
      </c>
      <c r="AM1322" s="1">
        <v>391.0</v>
      </c>
      <c r="AN1322" s="1">
        <v>2005.0</v>
      </c>
      <c r="AO1322" s="1">
        <v>2005.0</v>
      </c>
      <c r="AQ1322" s="3">
        <v>44255.0</v>
      </c>
      <c r="AR1322" s="1" t="s">
        <v>31</v>
      </c>
      <c r="AS1322" s="1" t="s">
        <v>5923</v>
      </c>
      <c r="AT1322" s="1" t="s">
        <v>31</v>
      </c>
      <c r="AX1322" s="1">
        <v>0.0</v>
      </c>
      <c r="AY1322" s="1">
        <v>0.0</v>
      </c>
    </row>
    <row r="1323" spans="20:51" ht="15.75" hidden="1">
      <c r="T1323" s="1">
        <v>316298.0</v>
      </c>
      <c r="U1323" s="1"/>
      <c r="V1323" s="1"/>
      <c r="W1323" s="1"/>
      <c r="X1323" s="1"/>
      <c r="Y1323" s="1" t="s">
        <v>5924</v>
      </c>
      <c r="Z1323" s="1" t="s">
        <v>5925</v>
      </c>
      <c r="AA1323" s="1" t="s">
        <v>5926</v>
      </c>
      <c r="AB1323" s="1"/>
      <c r="AC1323" s="1"/>
      <c r="AD1323" s="1"/>
      <c r="AE1323" s="1"/>
      <c r="AG1323" s="2" t="str">
        <f>"0300030991"</f>
        <v>0300030991</v>
      </c>
      <c r="AH1323" s="2" t="str">
        <f>"9780300030990"</f>
        <v>9780300030990</v>
      </c>
      <c r="AI1323" s="1">
        <v>0.0</v>
      </c>
      <c r="AJ1323" s="1">
        <v>4.34</v>
      </c>
      <c r="AK1323" s="1" t="s">
        <v>545</v>
      </c>
      <c r="AL1323" s="1" t="s">
        <v>28</v>
      </c>
      <c r="AM1323" s="1">
        <v>563.0</v>
      </c>
      <c r="AN1323" s="1">
        <v>1983.0</v>
      </c>
      <c r="AO1323" s="1">
        <v>1982.0</v>
      </c>
      <c r="AQ1323" s="3">
        <v>43155.0</v>
      </c>
      <c r="AR1323" s="1" t="s">
        <v>31</v>
      </c>
      <c r="AS1323" s="1" t="s">
        <v>5927</v>
      </c>
      <c r="AT1323" s="1" t="s">
        <v>31</v>
      </c>
      <c r="AX1323" s="1">
        <v>0.0</v>
      </c>
      <c r="AY1323" s="1">
        <v>0.0</v>
      </c>
    </row>
    <row r="1324" spans="20:51" ht="15.75" hidden="1">
      <c r="T1324" s="1">
        <v>306944.0</v>
      </c>
      <c r="U1324" s="1"/>
      <c r="V1324" s="1"/>
      <c r="W1324" s="1"/>
      <c r="X1324" s="1"/>
      <c r="Y1324" s="1" t="s">
        <v>5928</v>
      </c>
      <c r="Z1324" s="1" t="s">
        <v>894</v>
      </c>
      <c r="AA1324" s="1" t="s">
        <v>895</v>
      </c>
      <c r="AB1324" s="1"/>
      <c r="AC1324" s="1"/>
      <c r="AD1324" s="1"/>
      <c r="AE1324" s="1"/>
      <c r="AG1324" s="2" t="str">
        <f>"0415902592"</f>
        <v>0415902592</v>
      </c>
      <c r="AH1324" s="2" t="str">
        <f>"9780415902595"</f>
        <v>9780415902595</v>
      </c>
      <c r="AI1324" s="1">
        <v>0.0</v>
      </c>
      <c r="AJ1324" s="1">
        <v>4.0</v>
      </c>
      <c r="AK1324" s="1" t="s">
        <v>132</v>
      </c>
      <c r="AL1324" s="1" t="s">
        <v>28</v>
      </c>
      <c r="AM1324" s="1">
        <v>306.0</v>
      </c>
      <c r="AN1324" s="1">
        <v>1994.0</v>
      </c>
      <c r="AO1324" s="1">
        <v>1994.0</v>
      </c>
      <c r="AQ1324" s="3">
        <v>43949.0</v>
      </c>
      <c r="AR1324" s="1" t="s">
        <v>31</v>
      </c>
      <c r="AS1324" s="1" t="s">
        <v>5929</v>
      </c>
      <c r="AT1324" s="1" t="s">
        <v>31</v>
      </c>
      <c r="AX1324" s="1">
        <v>0.0</v>
      </c>
      <c r="AY1324" s="1">
        <v>0.0</v>
      </c>
    </row>
    <row r="1325" spans="20:51" ht="15.75" hidden="1">
      <c r="T1325" s="1">
        <v>201385.0</v>
      </c>
      <c r="U1325" s="1"/>
      <c r="V1325" s="1"/>
      <c r="W1325" s="1"/>
      <c r="X1325" s="1"/>
      <c r="Y1325" s="1" t="s">
        <v>5930</v>
      </c>
      <c r="Z1325" s="1" t="s">
        <v>5931</v>
      </c>
      <c r="AA1325" s="1" t="s">
        <v>5932</v>
      </c>
      <c r="AB1325" s="1"/>
      <c r="AC1325" s="1"/>
      <c r="AD1325" s="1"/>
      <c r="AE1325" s="1"/>
      <c r="AF1325" s="1" t="s">
        <v>5933</v>
      </c>
      <c r="AG1325" s="2" t="str">
        <f>"0415253802"</f>
        <v>0415253802</v>
      </c>
      <c r="AH1325" s="2" t="str">
        <f>"9780415253802"</f>
        <v>9780415253802</v>
      </c>
      <c r="AI1325" s="1">
        <v>0.0</v>
      </c>
      <c r="AJ1325" s="1">
        <v>4.04</v>
      </c>
      <c r="AK1325" s="1" t="s">
        <v>132</v>
      </c>
      <c r="AL1325" s="1" t="s">
        <v>28</v>
      </c>
      <c r="AM1325" s="1">
        <v>224.0</v>
      </c>
      <c r="AN1325" s="1">
        <v>2001.0</v>
      </c>
      <c r="AO1325" s="1">
        <v>1944.0</v>
      </c>
      <c r="AQ1325" s="3">
        <v>43107.0</v>
      </c>
      <c r="AR1325" s="1" t="s">
        <v>31</v>
      </c>
      <c r="AS1325" s="1" t="s">
        <v>5934</v>
      </c>
      <c r="AT1325" s="1" t="s">
        <v>31</v>
      </c>
      <c r="AX1325" s="1">
        <v>0.0</v>
      </c>
      <c r="AY1325" s="1">
        <v>0.0</v>
      </c>
    </row>
    <row r="1326" spans="20:51" ht="15.75" hidden="1">
      <c r="T1326" s="1">
        <v>111113.0</v>
      </c>
      <c r="U1326" s="1"/>
      <c r="V1326" s="1"/>
      <c r="W1326" s="1"/>
      <c r="X1326" s="1"/>
      <c r="Y1326" s="1" t="s">
        <v>5935</v>
      </c>
      <c r="Z1326" s="1" t="s">
        <v>5936</v>
      </c>
      <c r="AA1326" s="1" t="s">
        <v>5937</v>
      </c>
      <c r="AB1326" s="1"/>
      <c r="AC1326" s="1"/>
      <c r="AD1326" s="1"/>
      <c r="AE1326" s="1"/>
      <c r="AF1326" s="1" t="s">
        <v>5938</v>
      </c>
      <c r="AG1326" s="2" t="str">
        <f>"0300115954"</f>
        <v>0300115954</v>
      </c>
      <c r="AH1326" s="2" t="str">
        <f>"9780300115956"</f>
        <v>9780300115956</v>
      </c>
      <c r="AI1326" s="1">
        <v>0.0</v>
      </c>
      <c r="AJ1326" s="1">
        <v>4.06</v>
      </c>
      <c r="AK1326" s="1" t="s">
        <v>545</v>
      </c>
      <c r="AL1326" s="1" t="s">
        <v>28</v>
      </c>
      <c r="AM1326" s="1">
        <v>160.0</v>
      </c>
      <c r="AN1326" s="1">
        <v>2006.0</v>
      </c>
      <c r="AO1326" s="1">
        <v>1971.0</v>
      </c>
      <c r="AQ1326" s="3">
        <v>43964.0</v>
      </c>
      <c r="AR1326" s="1" t="s">
        <v>31</v>
      </c>
      <c r="AS1326" s="1" t="s">
        <v>5939</v>
      </c>
      <c r="AT1326" s="1" t="s">
        <v>31</v>
      </c>
      <c r="AX1326" s="1">
        <v>0.0</v>
      </c>
      <c r="AY1326" s="1">
        <v>0.0</v>
      </c>
    </row>
    <row r="1327" spans="20:51" ht="15.75" hidden="1">
      <c r="T1327" s="1">
        <v>90697.0</v>
      </c>
      <c r="U1327" s="1"/>
      <c r="V1327" s="1"/>
      <c r="W1327" s="1"/>
      <c r="X1327" s="1"/>
      <c r="Y1327" s="1" t="s">
        <v>5940</v>
      </c>
      <c r="Z1327" s="1" t="s">
        <v>5941</v>
      </c>
      <c r="AA1327" s="1" t="s">
        <v>5942</v>
      </c>
      <c r="AB1327" s="1"/>
      <c r="AC1327" s="1"/>
      <c r="AD1327" s="1"/>
      <c r="AE1327" s="1"/>
      <c r="AF1327" s="1" t="s">
        <v>5943</v>
      </c>
      <c r="AG1327" s="2" t="str">
        <f>"0300088655"</f>
        <v>0300088655</v>
      </c>
      <c r="AH1327" s="2" t="str">
        <f>"9780300088656"</f>
        <v>9780300088656</v>
      </c>
      <c r="AI1327" s="1">
        <v>0.0</v>
      </c>
      <c r="AJ1327" s="1">
        <v>3.81</v>
      </c>
      <c r="AK1327" s="1" t="s">
        <v>545</v>
      </c>
      <c r="AL1327" s="1" t="s">
        <v>28</v>
      </c>
      <c r="AM1327" s="1">
        <v>307.0</v>
      </c>
      <c r="AN1327" s="1">
        <v>2001.0</v>
      </c>
      <c r="AO1327" s="1">
        <v>1950.0</v>
      </c>
      <c r="AQ1327" s="3">
        <v>44171.0</v>
      </c>
      <c r="AR1327" s="1" t="s">
        <v>31</v>
      </c>
      <c r="AS1327" s="1" t="s">
        <v>5944</v>
      </c>
      <c r="AT1327" s="1" t="s">
        <v>31</v>
      </c>
      <c r="AX1327" s="1">
        <v>0.0</v>
      </c>
      <c r="AY1327" s="1">
        <v>0.0</v>
      </c>
    </row>
    <row r="1328" spans="20:51" ht="15.75" hidden="1">
      <c r="T1328" s="1">
        <v>55236.0</v>
      </c>
      <c r="U1328" s="1"/>
      <c r="V1328" s="1"/>
      <c r="W1328" s="1"/>
      <c r="X1328" s="1"/>
      <c r="Y1328" s="1" t="s">
        <v>5945</v>
      </c>
      <c r="Z1328" s="1" t="s">
        <v>5946</v>
      </c>
      <c r="AA1328" s="1" t="s">
        <v>5947</v>
      </c>
      <c r="AB1328" s="1"/>
      <c r="AC1328" s="1"/>
      <c r="AD1328" s="1"/>
      <c r="AE1328" s="1"/>
      <c r="AG1328" s="2" t="str">
        <f>"0684718553"</f>
        <v>0684718553</v>
      </c>
      <c r="AH1328" s="2" t="str">
        <f>"9780684718552"</f>
        <v>9780684718552</v>
      </c>
      <c r="AI1328" s="1">
        <v>0.0</v>
      </c>
      <c r="AJ1328" s="1">
        <v>4.01</v>
      </c>
      <c r="AK1328" s="1" t="s">
        <v>101</v>
      </c>
      <c r="AL1328" s="1" t="s">
        <v>28</v>
      </c>
      <c r="AM1328" s="1">
        <v>174.0</v>
      </c>
      <c r="AN1328" s="1">
        <v>1985.0</v>
      </c>
      <c r="AO1328" s="1">
        <v>1952.0</v>
      </c>
      <c r="AQ1328" s="3">
        <v>44928.0</v>
      </c>
      <c r="AR1328" s="1" t="s">
        <v>31</v>
      </c>
      <c r="AS1328" s="1" t="s">
        <v>5948</v>
      </c>
      <c r="AT1328" s="1" t="s">
        <v>31</v>
      </c>
      <c r="AX1328" s="1">
        <v>0.0</v>
      </c>
      <c r="AY1328" s="1">
        <v>0.0</v>
      </c>
    </row>
    <row r="1329" spans="20:51" ht="15.75" hidden="1">
      <c r="T1329" s="1">
        <v>20943.0</v>
      </c>
      <c r="U1329" s="1"/>
      <c r="V1329" s="1"/>
      <c r="W1329" s="1"/>
      <c r="X1329" s="1"/>
      <c r="Y1329" s="1" t="s">
        <v>5949</v>
      </c>
      <c r="Z1329" s="1" t="s">
        <v>297</v>
      </c>
      <c r="AA1329" s="1" t="s">
        <v>298</v>
      </c>
      <c r="AB1329" s="1"/>
      <c r="AC1329" s="1"/>
      <c r="AD1329" s="1"/>
      <c r="AE1329" s="1"/>
      <c r="AG1329" s="2" t="str">
        <f>"0684859076"</f>
        <v>0684859076</v>
      </c>
      <c r="AH1329" s="2" t="str">
        <f>"9780684859071"</f>
        <v>9780684859071</v>
      </c>
      <c r="AI1329" s="1">
        <v>0.0</v>
      </c>
      <c r="AJ1329" s="1">
        <v>3.6</v>
      </c>
      <c r="AK1329" s="1" t="s">
        <v>101</v>
      </c>
      <c r="AL1329" s="1" t="s">
        <v>28</v>
      </c>
      <c r="AM1329" s="1">
        <v>288.0</v>
      </c>
      <c r="AN1329" s="1">
        <v>2001.0</v>
      </c>
      <c r="AO1329" s="1">
        <v>2000.0</v>
      </c>
      <c r="AQ1329" s="3">
        <v>45111.0</v>
      </c>
      <c r="AR1329" s="1" t="s">
        <v>31</v>
      </c>
      <c r="AS1329" s="1" t="s">
        <v>5950</v>
      </c>
      <c r="AT1329" s="1" t="s">
        <v>31</v>
      </c>
      <c r="AX1329" s="1">
        <v>0.0</v>
      </c>
      <c r="AY1329" s="1">
        <v>0.0</v>
      </c>
    </row>
    <row r="1330" spans="20:51" ht="15.75" hidden="1">
      <c r="T1330" s="1">
        <v>43851.0</v>
      </c>
      <c r="U1330" s="1"/>
      <c r="V1330" s="1"/>
      <c r="W1330" s="1"/>
      <c r="X1330" s="1"/>
      <c r="Y1330" s="1" t="s">
        <v>5951</v>
      </c>
      <c r="Z1330" s="1" t="s">
        <v>5952</v>
      </c>
      <c r="AA1330" s="1" t="s">
        <v>5953</v>
      </c>
      <c r="AB1330" s="1"/>
      <c r="AC1330" s="1"/>
      <c r="AD1330" s="1"/>
      <c r="AE1330" s="1"/>
      <c r="AG1330" s="2" t="str">
        <f>"1585424919"</f>
        <v>1585424919</v>
      </c>
      <c r="AH1330" s="2" t="str">
        <f>"9781585424917"</f>
        <v>9781585424917</v>
      </c>
      <c r="AI1330" s="1">
        <v>0.0</v>
      </c>
      <c r="AJ1330" s="1">
        <v>4.2</v>
      </c>
      <c r="AK1330" s="1" t="s">
        <v>5311</v>
      </c>
      <c r="AL1330" s="1" t="s">
        <v>28</v>
      </c>
      <c r="AM1330" s="1">
        <v>256.0</v>
      </c>
      <c r="AN1330" s="1">
        <v>2006.0</v>
      </c>
      <c r="AO1330" s="1">
        <v>1947.0</v>
      </c>
      <c r="AQ1330" s="3">
        <v>44790.0</v>
      </c>
      <c r="AR1330" s="1" t="s">
        <v>31</v>
      </c>
      <c r="AS1330" s="1" t="s">
        <v>5954</v>
      </c>
      <c r="AT1330" s="1" t="s">
        <v>31</v>
      </c>
      <c r="AX1330" s="1">
        <v>0.0</v>
      </c>
      <c r="AY1330" s="1">
        <v>0.0</v>
      </c>
    </row>
    <row r="1331" spans="20:51" ht="15.75" hidden="1">
      <c r="T1331" s="1">
        <v>12083.0</v>
      </c>
      <c r="U1331" s="1"/>
      <c r="V1331" s="1"/>
      <c r="W1331" s="1"/>
      <c r="X1331" s="1"/>
      <c r="Y1331" s="1" t="s">
        <v>5955</v>
      </c>
      <c r="Z1331" s="1" t="s">
        <v>3125</v>
      </c>
      <c r="AA1331" s="1" t="s">
        <v>3126</v>
      </c>
      <c r="AB1331" s="1"/>
      <c r="AC1331" s="1"/>
      <c r="AD1331" s="1"/>
      <c r="AE1331" s="1"/>
      <c r="AF1331" s="1" t="s">
        <v>297</v>
      </c>
      <c r="AG1331" s="2" t="str">
        <f>"0300093055"</f>
        <v>0300093055</v>
      </c>
      <c r="AH1331" s="2" t="str">
        <f>"9780300093056"</f>
        <v>9780300093056</v>
      </c>
      <c r="AI1331" s="1">
        <v>0.0</v>
      </c>
      <c r="AJ1331" s="1">
        <v>4.05</v>
      </c>
      <c r="AK1331" s="1" t="s">
        <v>545</v>
      </c>
      <c r="AL1331" s="1" t="s">
        <v>28</v>
      </c>
      <c r="AM1331" s="1">
        <v>179.0</v>
      </c>
      <c r="AN1331" s="1">
        <v>2002.0</v>
      </c>
      <c r="AO1331" s="1">
        <v>1956.0</v>
      </c>
      <c r="AQ1331" s="3">
        <v>41396.0</v>
      </c>
      <c r="AR1331" s="1" t="s">
        <v>31</v>
      </c>
      <c r="AS1331" s="1" t="s">
        <v>5956</v>
      </c>
      <c r="AT1331" s="1" t="s">
        <v>31</v>
      </c>
      <c r="AX1331" s="1">
        <v>0.0</v>
      </c>
      <c r="AY1331" s="1">
        <v>0.0</v>
      </c>
    </row>
    <row r="1332" spans="20:51" ht="15.75" hidden="1">
      <c r="T1332" s="1">
        <v>18279.0</v>
      </c>
      <c r="U1332" s="1"/>
      <c r="V1332" s="1"/>
      <c r="W1332" s="1"/>
      <c r="X1332" s="1"/>
      <c r="Y1332" s="1" t="s">
        <v>5957</v>
      </c>
      <c r="Z1332" s="1" t="s">
        <v>5958</v>
      </c>
      <c r="AA1332" s="1" t="s">
        <v>5959</v>
      </c>
      <c r="AB1332" s="1"/>
      <c r="AC1332" s="1"/>
      <c r="AD1332" s="1"/>
      <c r="AE1332" s="1"/>
      <c r="AF1332" s="1" t="s">
        <v>5960</v>
      </c>
      <c r="AG1332" s="2" t="str">
        <f>"0415278414"</f>
        <v>0415278414</v>
      </c>
      <c r="AH1332" s="2" t="str">
        <f>"9780415278416"</f>
        <v>9780415278416</v>
      </c>
      <c r="AI1332" s="1">
        <v>0.0</v>
      </c>
      <c r="AJ1332" s="1">
        <v>4.17</v>
      </c>
      <c r="AK1332" s="1" t="s">
        <v>132</v>
      </c>
      <c r="AL1332" s="1" t="s">
        <v>28</v>
      </c>
      <c r="AM1332" s="1">
        <v>544.0</v>
      </c>
      <c r="AN1332" s="1">
        <v>2005.0</v>
      </c>
      <c r="AO1332" s="1">
        <v>1945.0</v>
      </c>
      <c r="AQ1332" s="3">
        <v>42806.0</v>
      </c>
      <c r="AR1332" s="1" t="s">
        <v>31</v>
      </c>
      <c r="AS1332" s="1" t="s">
        <v>5961</v>
      </c>
      <c r="AT1332" s="1" t="s">
        <v>31</v>
      </c>
      <c r="AX1332" s="1">
        <v>0.0</v>
      </c>
      <c r="AY1332" s="1">
        <v>0.0</v>
      </c>
    </row>
    <row r="1333" spans="20:51" ht="15.75" hidden="1">
      <c r="T1333" s="1">
        <v>53673.0</v>
      </c>
      <c r="U1333" s="1"/>
      <c r="V1333" s="1"/>
      <c r="W1333" s="1"/>
      <c r="X1333" s="1"/>
      <c r="Y1333" s="1" t="s">
        <v>5962</v>
      </c>
      <c r="Z1333" s="1" t="s">
        <v>5963</v>
      </c>
      <c r="AA1333" s="1" t="s">
        <v>5964</v>
      </c>
      <c r="AB1333" s="1"/>
      <c r="AC1333" s="1"/>
      <c r="AD1333" s="1"/>
      <c r="AE1333" s="1"/>
      <c r="AG1333" s="2" t="str">
        <f t="shared" si="109" ref="AG1333:AH1333">""</f>
        <v/>
      </c>
      <c r="AH1333" s="2" t="str">
        <f t="shared" si="109"/>
        <v/>
      </c>
      <c r="AI1333" s="1">
        <v>0.0</v>
      </c>
      <c r="AJ1333" s="1">
        <v>3.87</v>
      </c>
      <c r="AK1333" s="1" t="s">
        <v>2133</v>
      </c>
      <c r="AL1333" s="1" t="s">
        <v>28</v>
      </c>
      <c r="AM1333" s="1">
        <v>400.0</v>
      </c>
      <c r="AN1333" s="1">
        <v>2005.0</v>
      </c>
      <c r="AO1333" s="1">
        <v>1952.0</v>
      </c>
      <c r="AQ1333" s="3">
        <v>42512.0</v>
      </c>
      <c r="AR1333" s="1" t="s">
        <v>31</v>
      </c>
      <c r="AS1333" s="1" t="s">
        <v>5965</v>
      </c>
      <c r="AT1333" s="1" t="s">
        <v>31</v>
      </c>
      <c r="AX1333" s="1">
        <v>0.0</v>
      </c>
      <c r="AY1333" s="1">
        <v>0.0</v>
      </c>
    </row>
    <row r="1334" spans="20:51" ht="15.75" hidden="1">
      <c r="T1334" s="1">
        <v>349619.0</v>
      </c>
      <c r="U1334" s="1"/>
      <c r="V1334" s="1"/>
      <c r="W1334" s="1"/>
      <c r="X1334" s="1"/>
      <c r="Y1334" s="1" t="s">
        <v>5966</v>
      </c>
      <c r="Z1334" s="1" t="s">
        <v>5967</v>
      </c>
      <c r="AA1334" s="1" t="s">
        <v>5968</v>
      </c>
      <c r="AB1334" s="1"/>
      <c r="AC1334" s="1"/>
      <c r="AD1334" s="1"/>
      <c r="AE1334" s="1"/>
      <c r="AG1334" s="2" t="str">
        <f>"185343048X"</f>
        <v>185343048X</v>
      </c>
      <c r="AH1334" s="2" t="str">
        <f>"9781853430480"</f>
        <v>9781853430480</v>
      </c>
      <c r="AI1334" s="1">
        <v>0.0</v>
      </c>
      <c r="AJ1334" s="1">
        <v>4.05</v>
      </c>
      <c r="AK1334" s="1" t="s">
        <v>5969</v>
      </c>
      <c r="AL1334" s="1" t="s">
        <v>28</v>
      </c>
      <c r="AM1334" s="1">
        <v>320.0</v>
      </c>
      <c r="AN1334" s="1">
        <v>1989.0</v>
      </c>
      <c r="AO1334" s="1">
        <v>1968.0</v>
      </c>
      <c r="AQ1334" s="3">
        <v>43950.0</v>
      </c>
      <c r="AR1334" s="1" t="s">
        <v>31</v>
      </c>
      <c r="AS1334" s="1" t="s">
        <v>5970</v>
      </c>
      <c r="AT1334" s="1" t="s">
        <v>31</v>
      </c>
      <c r="AX1334" s="1">
        <v>0.0</v>
      </c>
      <c r="AY1334" s="1">
        <v>0.0</v>
      </c>
    </row>
    <row r="1335" spans="20:51" ht="15.75" hidden="1">
      <c r="T1335" s="1">
        <v>1450665.0</v>
      </c>
      <c r="U1335" s="1"/>
      <c r="V1335" s="1"/>
      <c r="W1335" s="1"/>
      <c r="X1335" s="1"/>
      <c r="Y1335" s="1" t="s">
        <v>5971</v>
      </c>
      <c r="Z1335" s="1" t="s">
        <v>5967</v>
      </c>
      <c r="AA1335" s="1" t="s">
        <v>5968</v>
      </c>
      <c r="AB1335" s="1"/>
      <c r="AC1335" s="1"/>
      <c r="AD1335" s="1"/>
      <c r="AE1335" s="1"/>
      <c r="AG1335" s="2" t="str">
        <f>"1844672093"</f>
        <v>1844672093</v>
      </c>
      <c r="AH1335" s="2" t="str">
        <f>"9781844672097"</f>
        <v>9781844672097</v>
      </c>
      <c r="AI1335" s="1">
        <v>0.0</v>
      </c>
      <c r="AJ1335" s="1">
        <v>3.94</v>
      </c>
      <c r="AK1335" s="1" t="s">
        <v>1973</v>
      </c>
      <c r="AL1335" s="1" t="s">
        <v>5972</v>
      </c>
      <c r="AN1335" s="1">
        <v>2008.0</v>
      </c>
      <c r="AO1335" s="1">
        <v>2008.0</v>
      </c>
      <c r="AQ1335" s="3">
        <v>43046.0</v>
      </c>
      <c r="AR1335" s="1" t="s">
        <v>31</v>
      </c>
      <c r="AS1335" s="1" t="s">
        <v>5973</v>
      </c>
      <c r="AT1335" s="1" t="s">
        <v>31</v>
      </c>
      <c r="AX1335" s="1">
        <v>0.0</v>
      </c>
      <c r="AY1335" s="1">
        <v>0.0</v>
      </c>
    </row>
    <row r="1336" spans="20:51" ht="15.75" hidden="1">
      <c r="T1336" s="1">
        <v>349622.0</v>
      </c>
      <c r="U1336" s="1"/>
      <c r="V1336" s="1"/>
      <c r="W1336" s="1"/>
      <c r="X1336" s="1"/>
      <c r="Y1336" s="1" t="s">
        <v>5974</v>
      </c>
      <c r="Z1336" s="1" t="s">
        <v>5967</v>
      </c>
      <c r="AA1336" s="1" t="s">
        <v>5968</v>
      </c>
      <c r="AB1336" s="1"/>
      <c r="AC1336" s="1"/>
      <c r="AD1336" s="1"/>
      <c r="AE1336" s="1"/>
      <c r="AG1336" s="2" t="str">
        <f>"0807005959"</f>
        <v>0807005959</v>
      </c>
      <c r="AH1336" s="2" t="str">
        <f>"9780807005958"</f>
        <v>9780807005958</v>
      </c>
      <c r="AI1336" s="1">
        <v>0.0</v>
      </c>
      <c r="AJ1336" s="1">
        <v>3.8</v>
      </c>
      <c r="AK1336" s="1" t="s">
        <v>831</v>
      </c>
      <c r="AL1336" s="1" t="s">
        <v>5972</v>
      </c>
      <c r="AM1336" s="1">
        <v>108.0</v>
      </c>
      <c r="AN1336" s="1">
        <v>1971.0</v>
      </c>
      <c r="AO1336" s="1">
        <v>1969.0</v>
      </c>
      <c r="AQ1336" s="3">
        <v>43950.0</v>
      </c>
      <c r="AR1336" s="1" t="s">
        <v>31</v>
      </c>
      <c r="AS1336" s="1" t="s">
        <v>5975</v>
      </c>
      <c r="AT1336" s="1" t="s">
        <v>31</v>
      </c>
      <c r="AX1336" s="1">
        <v>0.0</v>
      </c>
      <c r="AY1336" s="1">
        <v>0.0</v>
      </c>
    </row>
    <row r="1337" spans="20:51" ht="15.75" hidden="1">
      <c r="T1337" s="1">
        <v>15694.0</v>
      </c>
      <c r="U1337" s="1"/>
      <c r="V1337" s="1"/>
      <c r="W1337" s="1"/>
      <c r="X1337" s="1"/>
      <c r="Y1337" s="1" t="s">
        <v>5976</v>
      </c>
      <c r="Z1337" s="1" t="s">
        <v>250</v>
      </c>
      <c r="AA1337" s="1" t="s">
        <v>251</v>
      </c>
      <c r="AB1337" s="1"/>
      <c r="AC1337" s="1"/>
      <c r="AD1337" s="1"/>
      <c r="AE1337" s="1"/>
      <c r="AF1337" s="1" t="s">
        <v>5977</v>
      </c>
      <c r="AG1337" s="2" t="str">
        <f>"0783816014"</f>
        <v>0783816014</v>
      </c>
      <c r="AH1337" s="2" t="str">
        <f>"9780783816012"</f>
        <v>9780783816012</v>
      </c>
      <c r="AI1337" s="1">
        <v>0.0</v>
      </c>
      <c r="AJ1337" s="1">
        <v>3.97</v>
      </c>
      <c r="AK1337" s="1" t="s">
        <v>5978</v>
      </c>
      <c r="AL1337" s="1" t="s">
        <v>41</v>
      </c>
      <c r="AM1337" s="1">
        <v>359.0</v>
      </c>
      <c r="AN1337" s="1">
        <v>1996.0</v>
      </c>
      <c r="AO1337" s="1">
        <v>1994.0</v>
      </c>
      <c r="AQ1337" s="3">
        <v>41306.0</v>
      </c>
      <c r="AR1337" s="1" t="s">
        <v>31</v>
      </c>
      <c r="AS1337" s="1" t="s">
        <v>5979</v>
      </c>
      <c r="AT1337" s="1" t="s">
        <v>31</v>
      </c>
      <c r="AX1337" s="1">
        <v>0.0</v>
      </c>
      <c r="AY1337" s="1">
        <v>0.0</v>
      </c>
    </row>
    <row r="1338" spans="20:51" ht="15.75" hidden="1">
      <c r="T1338" s="1">
        <v>76826.0</v>
      </c>
      <c r="U1338" s="1"/>
      <c r="V1338" s="1"/>
      <c r="W1338" s="1"/>
      <c r="X1338" s="1"/>
      <c r="Y1338" s="1" t="s">
        <v>5980</v>
      </c>
      <c r="Z1338" s="1" t="s">
        <v>250</v>
      </c>
      <c r="AA1338" s="1" t="s">
        <v>251</v>
      </c>
      <c r="AB1338" s="1"/>
      <c r="AC1338" s="1"/>
      <c r="AD1338" s="1"/>
      <c r="AE1338" s="1"/>
      <c r="AF1338" s="1" t="s">
        <v>252</v>
      </c>
      <c r="AG1338" s="2" t="str">
        <f>"067973385X"</f>
        <v>067973385X</v>
      </c>
      <c r="AH1338" s="2" t="str">
        <f>"9780679733850"</f>
        <v>9780679733850</v>
      </c>
      <c r="AI1338" s="1">
        <v>0.0</v>
      </c>
      <c r="AJ1338" s="1">
        <v>3.86</v>
      </c>
      <c r="AK1338" s="1" t="s">
        <v>253</v>
      </c>
      <c r="AL1338" s="1" t="s">
        <v>28</v>
      </c>
      <c r="AM1338" s="1">
        <v>213.0</v>
      </c>
      <c r="AN1338" s="1">
        <v>1991.0</v>
      </c>
      <c r="AO1338" s="1">
        <v>1957.0</v>
      </c>
      <c r="AQ1338" s="3">
        <v>41306.0</v>
      </c>
      <c r="AR1338" s="1" t="s">
        <v>31</v>
      </c>
      <c r="AS1338" s="1" t="s">
        <v>5981</v>
      </c>
      <c r="AT1338" s="1" t="s">
        <v>31</v>
      </c>
      <c r="AX1338" s="1">
        <v>0.0</v>
      </c>
      <c r="AY1338" s="1">
        <v>0.0</v>
      </c>
    </row>
    <row r="1339" spans="20:51" ht="15.75" hidden="1">
      <c r="T1339" s="1">
        <v>8687417.0</v>
      </c>
      <c r="U1339" s="1"/>
      <c r="V1339" s="1"/>
      <c r="W1339" s="1"/>
      <c r="X1339" s="1"/>
      <c r="Y1339" s="1" t="s">
        <v>5982</v>
      </c>
      <c r="Z1339" s="1" t="s">
        <v>675</v>
      </c>
      <c r="AA1339" s="1" t="s">
        <v>676</v>
      </c>
      <c r="AB1339" s="1"/>
      <c r="AC1339" s="1"/>
      <c r="AD1339" s="1"/>
      <c r="AE1339" s="1"/>
      <c r="AG1339" s="2" t="str">
        <f>"030747576X"</f>
        <v>030747576X</v>
      </c>
      <c r="AH1339" s="2" t="str">
        <f>"9780307475763"</f>
        <v>9780307475763</v>
      </c>
      <c r="AI1339" s="1">
        <v>0.0</v>
      </c>
      <c r="AJ1339" s="1">
        <v>3.86</v>
      </c>
      <c r="AK1339" s="1" t="s">
        <v>5983</v>
      </c>
      <c r="AL1339" s="1" t="s">
        <v>28</v>
      </c>
      <c r="AM1339" s="1">
        <v>304.0</v>
      </c>
      <c r="AN1339" s="1">
        <v>2010.0</v>
      </c>
      <c r="AO1339" s="1">
        <v>1975.0</v>
      </c>
      <c r="AQ1339" s="3">
        <v>41533.0</v>
      </c>
      <c r="AR1339" s="1" t="s">
        <v>31</v>
      </c>
      <c r="AS1339" s="1" t="s">
        <v>5984</v>
      </c>
      <c r="AT1339" s="1" t="s">
        <v>31</v>
      </c>
      <c r="AX1339" s="1">
        <v>0.0</v>
      </c>
      <c r="AY1339" s="1">
        <v>0.0</v>
      </c>
    </row>
    <row r="1340" spans="20:51" ht="15.75" hidden="1">
      <c r="T1340" s="1">
        <v>4.0390037E7</v>
      </c>
      <c r="U1340" s="1"/>
      <c r="V1340" s="1"/>
      <c r="W1340" s="1"/>
      <c r="X1340" s="1"/>
      <c r="Y1340" s="1" t="s">
        <v>5985</v>
      </c>
      <c r="Z1340" s="1" t="s">
        <v>1916</v>
      </c>
      <c r="AA1340" s="1" t="s">
        <v>1917</v>
      </c>
      <c r="AB1340" s="1"/>
      <c r="AC1340" s="1"/>
      <c r="AD1340" s="1"/>
      <c r="AE1340" s="1"/>
      <c r="AG1340" s="2" t="str">
        <f>"0553023543"</f>
        <v>0553023543</v>
      </c>
      <c r="AH1340" s="2" t="str">
        <f>"9780553023541"</f>
        <v>9780553023541</v>
      </c>
      <c r="AI1340" s="1">
        <v>0.0</v>
      </c>
      <c r="AJ1340" s="1">
        <v>4.0</v>
      </c>
      <c r="AK1340" s="1" t="s">
        <v>1922</v>
      </c>
      <c r="AL1340" s="1" t="s">
        <v>28</v>
      </c>
      <c r="AO1340" s="1">
        <v>1939.0</v>
      </c>
      <c r="AQ1340" s="3">
        <v>45113.0</v>
      </c>
      <c r="AR1340" s="1" t="s">
        <v>31</v>
      </c>
      <c r="AS1340" s="1" t="s">
        <v>5986</v>
      </c>
      <c r="AT1340" s="1" t="s">
        <v>31</v>
      </c>
      <c r="AX1340" s="1">
        <v>0.0</v>
      </c>
      <c r="AY1340" s="1">
        <v>0.0</v>
      </c>
    </row>
    <row r="1341" spans="20:51" ht="15.75" hidden="1">
      <c r="T1341" s="1">
        <v>23887.0</v>
      </c>
      <c r="U1341" s="1"/>
      <c r="V1341" s="1"/>
      <c r="W1341" s="1"/>
      <c r="X1341" s="1"/>
      <c r="Y1341" s="1" t="s">
        <v>5987</v>
      </c>
      <c r="Z1341" s="1" t="s">
        <v>675</v>
      </c>
      <c r="AA1341" s="1" t="s">
        <v>676</v>
      </c>
      <c r="AB1341" s="1"/>
      <c r="AC1341" s="1"/>
      <c r="AD1341" s="1"/>
      <c r="AE1341" s="1"/>
      <c r="AF1341" s="1" t="s">
        <v>677</v>
      </c>
      <c r="AG1341" s="2" t="str">
        <f>"0060882867"</f>
        <v>0060882867</v>
      </c>
      <c r="AH1341" s="2" t="str">
        <f>"9780060882860"</f>
        <v>9780060882860</v>
      </c>
      <c r="AI1341" s="1">
        <v>0.0</v>
      </c>
      <c r="AJ1341" s="1">
        <v>3.86</v>
      </c>
      <c r="AK1341" s="1" t="s">
        <v>1031</v>
      </c>
      <c r="AL1341" s="1" t="s">
        <v>28</v>
      </c>
      <c r="AM1341" s="1">
        <v>255.0</v>
      </c>
      <c r="AN1341" s="1">
        <v>2006.0</v>
      </c>
      <c r="AO1341" s="1">
        <v>1975.0</v>
      </c>
      <c r="AQ1341" s="3">
        <v>45105.0</v>
      </c>
      <c r="AR1341" s="1" t="s">
        <v>31</v>
      </c>
      <c r="AS1341" s="1" t="s">
        <v>5988</v>
      </c>
      <c r="AT1341" s="1" t="s">
        <v>31</v>
      </c>
      <c r="AX1341" s="1">
        <v>0.0</v>
      </c>
      <c r="AY1341" s="1">
        <v>0.0</v>
      </c>
    </row>
    <row r="1342" spans="20:51" ht="15.75" hidden="1">
      <c r="T1342" s="1">
        <v>4406.0</v>
      </c>
      <c r="U1342" s="1"/>
      <c r="V1342" s="1"/>
      <c r="W1342" s="1"/>
      <c r="X1342" s="1"/>
      <c r="Y1342" s="1" t="s">
        <v>5989</v>
      </c>
      <c r="Z1342" s="1" t="s">
        <v>1916</v>
      </c>
      <c r="AA1342" s="1" t="s">
        <v>1917</v>
      </c>
      <c r="AB1342" s="1"/>
      <c r="AC1342" s="1"/>
      <c r="AD1342" s="1"/>
      <c r="AE1342" s="1"/>
      <c r="AG1342" s="2" t="str">
        <f>"0142000655"</f>
        <v>0142000655</v>
      </c>
      <c r="AH1342" s="2" t="str">
        <f>"9780142000656"</f>
        <v>9780142000656</v>
      </c>
      <c r="AI1342" s="1">
        <v>0.0</v>
      </c>
      <c r="AJ1342" s="1">
        <v>4.4</v>
      </c>
      <c r="AK1342" s="1" t="s">
        <v>460</v>
      </c>
      <c r="AL1342" s="1" t="s">
        <v>28</v>
      </c>
      <c r="AM1342" s="1">
        <v>601.0</v>
      </c>
      <c r="AN1342" s="1">
        <v>2002.0</v>
      </c>
      <c r="AO1342" s="1">
        <v>1952.0</v>
      </c>
      <c r="AQ1342" s="3">
        <v>41529.0</v>
      </c>
      <c r="AR1342" s="1" t="s">
        <v>31</v>
      </c>
      <c r="AS1342" s="1" t="s">
        <v>5990</v>
      </c>
      <c r="AT1342" s="1" t="s">
        <v>31</v>
      </c>
      <c r="AX1342" s="1">
        <v>0.0</v>
      </c>
      <c r="AY1342" s="1">
        <v>0.0</v>
      </c>
    </row>
    <row r="1343" spans="20:51" ht="15.75" hidden="1">
      <c r="T1343" s="1">
        <v>5485.0</v>
      </c>
      <c r="U1343" s="1"/>
      <c r="V1343" s="1"/>
      <c r="W1343" s="1"/>
      <c r="X1343" s="1"/>
      <c r="Y1343" s="1" t="s">
        <v>5991</v>
      </c>
      <c r="Z1343" s="1" t="s">
        <v>5963</v>
      </c>
      <c r="AA1343" s="1" t="s">
        <v>5964</v>
      </c>
      <c r="AB1343" s="1"/>
      <c r="AC1343" s="1"/>
      <c r="AD1343" s="1"/>
      <c r="AE1343" s="1"/>
      <c r="AG1343" s="2" t="str">
        <f>"0060850523"</f>
        <v>0060850523</v>
      </c>
      <c r="AH1343" s="2" t="str">
        <f>"9780060850524"</f>
        <v>9780060850524</v>
      </c>
      <c r="AI1343" s="1">
        <v>3.0</v>
      </c>
      <c r="AJ1343" s="1">
        <v>3.99</v>
      </c>
      <c r="AK1343" s="1" t="s">
        <v>1031</v>
      </c>
      <c r="AL1343" s="1" t="s">
        <v>28</v>
      </c>
      <c r="AM1343" s="1">
        <v>288.0</v>
      </c>
      <c r="AN1343" s="1">
        <v>2006.0</v>
      </c>
      <c r="AO1343" s="1">
        <v>1932.0</v>
      </c>
      <c r="AP1343" s="3">
        <v>41350.0</v>
      </c>
      <c r="AQ1343" s="3">
        <v>41335.0</v>
      </c>
      <c r="AR1343" s="1" t="s">
        <v>31</v>
      </c>
      <c r="AS1343" s="1" t="s">
        <v>5992</v>
      </c>
      <c r="AT1343" s="1" t="s">
        <v>31</v>
      </c>
      <c r="AX1343" s="1">
        <v>1.0</v>
      </c>
      <c r="AY1343" s="1">
        <v>0.0</v>
      </c>
    </row>
    <row r="1344" spans="20:51" ht="15.75" hidden="1">
      <c r="T1344" s="1">
        <v>5128.0</v>
      </c>
      <c r="U1344" s="1"/>
      <c r="V1344" s="1"/>
      <c r="W1344" s="1"/>
      <c r="X1344" s="1"/>
      <c r="Y1344" s="1" t="s">
        <v>5993</v>
      </c>
      <c r="Z1344" s="1" t="s">
        <v>5963</v>
      </c>
      <c r="AA1344" s="1" t="s">
        <v>5964</v>
      </c>
      <c r="AB1344" s="1"/>
      <c r="AC1344" s="1"/>
      <c r="AD1344" s="1"/>
      <c r="AE1344" s="1"/>
      <c r="AG1344" s="2" t="str">
        <f>"0060595183"</f>
        <v>0060595183</v>
      </c>
      <c r="AH1344" s="2" t="str">
        <f>"9780060595180"</f>
        <v>9780060595180</v>
      </c>
      <c r="AI1344" s="1">
        <v>0.0</v>
      </c>
      <c r="AJ1344" s="1">
        <v>3.93</v>
      </c>
      <c r="AK1344" s="1" t="s">
        <v>1031</v>
      </c>
      <c r="AL1344" s="1" t="s">
        <v>28</v>
      </c>
      <c r="AM1344" s="1">
        <v>187.0</v>
      </c>
      <c r="AN1344" s="1">
        <v>2004.0</v>
      </c>
      <c r="AO1344" s="1">
        <v>1956.0</v>
      </c>
      <c r="AQ1344" s="3">
        <v>41053.0</v>
      </c>
      <c r="AR1344" s="1" t="s">
        <v>31</v>
      </c>
      <c r="AS1344" s="1" t="s">
        <v>5994</v>
      </c>
      <c r="AT1344" s="1" t="s">
        <v>31</v>
      </c>
      <c r="AX1344" s="1">
        <v>0.0</v>
      </c>
      <c r="AY1344" s="1">
        <v>0.0</v>
      </c>
    </row>
    <row r="1345" spans="20:51" ht="15.75" hidden="1">
      <c r="T1345" s="1">
        <v>2.3131105E7</v>
      </c>
      <c r="U1345" s="1"/>
      <c r="V1345" s="1"/>
      <c r="W1345" s="1"/>
      <c r="X1345" s="1"/>
      <c r="Y1345" s="1" t="s">
        <v>5995</v>
      </c>
      <c r="Z1345" s="1" t="s">
        <v>5996</v>
      </c>
      <c r="AA1345" s="1" t="s">
        <v>5997</v>
      </c>
      <c r="AB1345" s="1"/>
      <c r="AC1345" s="1"/>
      <c r="AD1345" s="1"/>
      <c r="AE1345" s="1"/>
      <c r="AG1345" s="2" t="str">
        <f>"0062384392"</f>
        <v>0062384392</v>
      </c>
      <c r="AH1345" s="2" t="str">
        <f>"9780062384393"</f>
        <v>9780062384393</v>
      </c>
      <c r="AI1345" s="1">
        <v>0.0</v>
      </c>
      <c r="AJ1345" s="1">
        <v>3.73</v>
      </c>
      <c r="AK1345" s="1" t="s">
        <v>194</v>
      </c>
      <c r="AL1345" s="1" t="s">
        <v>41</v>
      </c>
      <c r="AM1345" s="1">
        <v>328.0</v>
      </c>
      <c r="AN1345" s="1">
        <v>2015.0</v>
      </c>
      <c r="AO1345" s="1">
        <v>2014.0</v>
      </c>
      <c r="AQ1345" s="3">
        <v>44214.0</v>
      </c>
      <c r="AR1345" s="1" t="s">
        <v>5998</v>
      </c>
      <c r="AS1345" s="1" t="s">
        <v>5999</v>
      </c>
      <c r="AT1345" s="1" t="s">
        <v>31</v>
      </c>
      <c r="AX1345" s="1">
        <v>0.0</v>
      </c>
      <c r="AY1345" s="1">
        <v>0.0</v>
      </c>
    </row>
    <row r="1346" spans="20:51" ht="15.75" hidden="1">
      <c r="T1346" s="1">
        <v>2.0893314E7</v>
      </c>
      <c r="U1346" s="1"/>
      <c r="V1346" s="1"/>
      <c r="W1346" s="1"/>
      <c r="X1346" s="1"/>
      <c r="Y1346" s="1" t="s">
        <v>6000</v>
      </c>
      <c r="Z1346" s="1" t="s">
        <v>6001</v>
      </c>
      <c r="AA1346" s="1" t="s">
        <v>6002</v>
      </c>
      <c r="AB1346" s="1"/>
      <c r="AC1346" s="1"/>
      <c r="AD1346" s="1"/>
      <c r="AE1346" s="1"/>
      <c r="AG1346" s="2" t="str">
        <f>"159448600X"</f>
        <v>159448600X</v>
      </c>
      <c r="AH1346" s="2" t="str">
        <f>"9781594486005"</f>
        <v>9781594486005</v>
      </c>
      <c r="AI1346" s="1">
        <v>0.0</v>
      </c>
      <c r="AJ1346" s="1">
        <v>3.89</v>
      </c>
      <c r="AK1346" s="1" t="s">
        <v>387</v>
      </c>
      <c r="AL1346" s="1" t="s">
        <v>41</v>
      </c>
      <c r="AM1346" s="1">
        <v>688.0</v>
      </c>
      <c r="AN1346" s="1">
        <v>2014.0</v>
      </c>
      <c r="AO1346" s="1">
        <v>2014.0</v>
      </c>
      <c r="AQ1346" s="3">
        <v>45111.0</v>
      </c>
      <c r="AR1346" s="1" t="s">
        <v>5364</v>
      </c>
      <c r="AS1346" s="1" t="s">
        <v>6003</v>
      </c>
      <c r="AT1346" s="1" t="s">
        <v>31</v>
      </c>
      <c r="AX1346" s="1">
        <v>0.0</v>
      </c>
      <c r="AY1346" s="1">
        <v>0.0</v>
      </c>
    </row>
    <row r="1347" spans="20:51" ht="15.75" hidden="1">
      <c r="T1347" s="1">
        <v>2050203.0</v>
      </c>
      <c r="U1347" s="1"/>
      <c r="V1347" s="1"/>
      <c r="W1347" s="1"/>
      <c r="X1347" s="1"/>
      <c r="Y1347" s="1" t="s">
        <v>6004</v>
      </c>
      <c r="Z1347" s="1" t="s">
        <v>6005</v>
      </c>
      <c r="AA1347" s="1" t="s">
        <v>6006</v>
      </c>
      <c r="AB1347" s="1"/>
      <c r="AC1347" s="1"/>
      <c r="AD1347" s="1"/>
      <c r="AE1347" s="1"/>
      <c r="AG1347" s="2" t="str">
        <f>"0517150646"</f>
        <v>0517150646</v>
      </c>
      <c r="AH1347" s="2" t="str">
        <f>"9780517150641"</f>
        <v>9780517150641</v>
      </c>
      <c r="AI1347" s="1">
        <v>0.0</v>
      </c>
      <c r="AJ1347" s="1">
        <v>3.69</v>
      </c>
      <c r="AK1347" s="1" t="s">
        <v>6007</v>
      </c>
      <c r="AL1347" s="1" t="s">
        <v>41</v>
      </c>
      <c r="AM1347" s="1">
        <v>496.0</v>
      </c>
      <c r="AN1347" s="1">
        <v>1996.0</v>
      </c>
      <c r="AO1347" s="1">
        <v>1899.0</v>
      </c>
      <c r="AQ1347" s="3">
        <v>44960.0</v>
      </c>
      <c r="AR1347" s="1" t="s">
        <v>31</v>
      </c>
      <c r="AS1347" s="1" t="s">
        <v>6008</v>
      </c>
      <c r="AT1347" s="1" t="s">
        <v>31</v>
      </c>
      <c r="AX1347" s="1">
        <v>0.0</v>
      </c>
      <c r="AY1347" s="1">
        <v>0.0</v>
      </c>
    </row>
    <row r="1348" spans="20:51" ht="15.75" hidden="1">
      <c r="T1348" s="1">
        <v>1417354.0</v>
      </c>
      <c r="U1348" s="1"/>
      <c r="V1348" s="1"/>
      <c r="W1348" s="1"/>
      <c r="X1348" s="1"/>
      <c r="Y1348" s="1" t="s">
        <v>6009</v>
      </c>
      <c r="Z1348" s="1" t="s">
        <v>6010</v>
      </c>
      <c r="AA1348" s="1" t="s">
        <v>6011</v>
      </c>
      <c r="AB1348" s="1"/>
      <c r="AC1348" s="1"/>
      <c r="AD1348" s="1"/>
      <c r="AE1348" s="1"/>
      <c r="AG1348" s="2" t="str">
        <f>"9505576706"</f>
        <v>9505576706</v>
      </c>
      <c r="AH1348" s="2" t="str">
        <f>"9789505576708"</f>
        <v>9789505576708</v>
      </c>
      <c r="AI1348" s="1">
        <v>0.0</v>
      </c>
      <c r="AJ1348" s="1">
        <v>3.14</v>
      </c>
      <c r="AK1348" s="1" t="s">
        <v>6012</v>
      </c>
      <c r="AL1348" s="1" t="s">
        <v>28</v>
      </c>
      <c r="AN1348" s="1">
        <v>2014.0</v>
      </c>
      <c r="AO1348" s="1">
        <v>1984.0</v>
      </c>
      <c r="AQ1348" s="3">
        <v>44166.0</v>
      </c>
      <c r="AR1348" s="1" t="s">
        <v>2451</v>
      </c>
      <c r="AS1348" s="1" t="s">
        <v>6013</v>
      </c>
      <c r="AT1348" s="1" t="s">
        <v>31</v>
      </c>
      <c r="AX1348" s="1">
        <v>0.0</v>
      </c>
      <c r="AY1348" s="1">
        <v>0.0</v>
      </c>
    </row>
    <row r="1349" spans="20:51" ht="15.75" hidden="1">
      <c r="T1349" s="1">
        <v>692827.0</v>
      </c>
      <c r="U1349" s="1"/>
      <c r="V1349" s="1"/>
      <c r="W1349" s="1"/>
      <c r="X1349" s="1"/>
      <c r="Y1349" s="1" t="s">
        <v>6014</v>
      </c>
      <c r="Z1349" s="1" t="s">
        <v>6015</v>
      </c>
      <c r="AA1349" s="1" t="s">
        <v>6016</v>
      </c>
      <c r="AB1349" s="1"/>
      <c r="AC1349" s="1"/>
      <c r="AD1349" s="1"/>
      <c r="AE1349" s="1"/>
      <c r="AF1349" s="1" t="s">
        <v>6017</v>
      </c>
      <c r="AG1349" s="2" t="str">
        <f>"082232914X"</f>
        <v>082232914X</v>
      </c>
      <c r="AH1349" s="2" t="str">
        <f>"9780822329145"</f>
        <v>9780822329145</v>
      </c>
      <c r="AI1349" s="1">
        <v>0.0</v>
      </c>
      <c r="AJ1349" s="1">
        <v>3.91</v>
      </c>
      <c r="AK1349" s="1" t="s">
        <v>896</v>
      </c>
      <c r="AL1349" s="1" t="s">
        <v>28</v>
      </c>
      <c r="AM1349" s="1">
        <v>600.0</v>
      </c>
      <c r="AN1349" s="1">
        <v>2002.0</v>
      </c>
      <c r="AO1349" s="1">
        <v>2002.0</v>
      </c>
      <c r="AQ1349" s="4">
        <v>43022.0</v>
      </c>
      <c r="AR1349" s="1" t="s">
        <v>31</v>
      </c>
      <c r="AS1349" s="1" t="s">
        <v>6018</v>
      </c>
      <c r="AT1349" s="1" t="s">
        <v>31</v>
      </c>
      <c r="AX1349" s="1">
        <v>0.0</v>
      </c>
      <c r="AY1349" s="1">
        <v>0.0</v>
      </c>
    </row>
    <row r="1350" spans="20:51" ht="15.75" hidden="1">
      <c r="T1350" s="1">
        <v>418702.0</v>
      </c>
      <c r="U1350" s="1"/>
      <c r="V1350" s="1"/>
      <c r="W1350" s="1"/>
      <c r="X1350" s="1"/>
      <c r="Y1350" s="1" t="s">
        <v>6019</v>
      </c>
      <c r="Z1350" s="1" t="s">
        <v>6020</v>
      </c>
      <c r="AA1350" s="1" t="s">
        <v>6021</v>
      </c>
      <c r="AB1350" s="1"/>
      <c r="AC1350" s="1"/>
      <c r="AD1350" s="1"/>
      <c r="AE1350" s="1"/>
      <c r="AF1350" s="1" t="s">
        <v>6022</v>
      </c>
      <c r="AG1350" s="2" t="str">
        <f>"0262621606"</f>
        <v>0262621606</v>
      </c>
      <c r="AH1350" s="2" t="str">
        <f>"9780262621601"</f>
        <v>9780262621601</v>
      </c>
      <c r="AI1350" s="1">
        <v>0.0</v>
      </c>
      <c r="AJ1350" s="1">
        <v>3.51</v>
      </c>
      <c r="AK1350" s="1" t="s">
        <v>2366</v>
      </c>
      <c r="AL1350" s="1" t="s">
        <v>28</v>
      </c>
      <c r="AM1350" s="1">
        <v>175.0</v>
      </c>
      <c r="AN1350" s="1">
        <v>2002.0</v>
      </c>
      <c r="AO1350" s="1">
        <v>1978.0</v>
      </c>
      <c r="AQ1350" s="3">
        <v>45108.0</v>
      </c>
      <c r="AR1350" s="1" t="s">
        <v>31</v>
      </c>
      <c r="AS1350" s="1" t="s">
        <v>6023</v>
      </c>
      <c r="AT1350" s="1" t="s">
        <v>31</v>
      </c>
      <c r="AX1350" s="1">
        <v>0.0</v>
      </c>
      <c r="AY1350" s="1">
        <v>0.0</v>
      </c>
    </row>
    <row r="1351" spans="20:51" ht="15.75" hidden="1">
      <c r="T1351" s="1">
        <v>110090.0</v>
      </c>
      <c r="U1351" s="1"/>
      <c r="V1351" s="1"/>
      <c r="W1351" s="1"/>
      <c r="X1351" s="1"/>
      <c r="Y1351" s="1" t="s">
        <v>6024</v>
      </c>
      <c r="Z1351" s="1" t="s">
        <v>6025</v>
      </c>
      <c r="AA1351" s="1" t="s">
        <v>6026</v>
      </c>
      <c r="AB1351" s="1"/>
      <c r="AC1351" s="1"/>
      <c r="AD1351" s="1"/>
      <c r="AE1351" s="1"/>
      <c r="AG1351" s="2" t="str">
        <f>"0375724672"</f>
        <v>0375724672</v>
      </c>
      <c r="AH1351" s="2" t="str">
        <f>"9780375724671"</f>
        <v>9780375724671</v>
      </c>
      <c r="AI1351" s="1">
        <v>0.0</v>
      </c>
      <c r="AJ1351" s="1">
        <v>3.83</v>
      </c>
      <c r="AK1351" s="1" t="s">
        <v>83</v>
      </c>
      <c r="AL1351" s="1" t="s">
        <v>28</v>
      </c>
      <c r="AM1351" s="1">
        <v>384.0</v>
      </c>
      <c r="AN1351" s="1">
        <v>2001.0</v>
      </c>
      <c r="AO1351" s="1">
        <v>2000.0</v>
      </c>
      <c r="AQ1351" s="3">
        <v>45111.0</v>
      </c>
      <c r="AR1351" s="1" t="s">
        <v>5364</v>
      </c>
      <c r="AS1351" s="1" t="s">
        <v>6027</v>
      </c>
      <c r="AT1351" s="1" t="s">
        <v>31</v>
      </c>
      <c r="AX1351" s="1">
        <v>0.0</v>
      </c>
      <c r="AY1351" s="1">
        <v>0.0</v>
      </c>
    </row>
    <row r="1352" spans="20:51" ht="15.75" hidden="1">
      <c r="T1352" s="1">
        <v>826706.0</v>
      </c>
      <c r="U1352" s="1"/>
      <c r="V1352" s="1"/>
      <c r="W1352" s="1"/>
      <c r="X1352" s="1"/>
      <c r="Y1352" s="1" t="s">
        <v>6028</v>
      </c>
      <c r="Z1352" s="1" t="s">
        <v>6029</v>
      </c>
      <c r="AA1352" s="1" t="s">
        <v>6030</v>
      </c>
      <c r="AB1352" s="1"/>
      <c r="AC1352" s="1"/>
      <c r="AD1352" s="1"/>
      <c r="AE1352" s="1"/>
      <c r="AG1352" s="2" t="str">
        <f>"0898702682"</f>
        <v>0898702682</v>
      </c>
      <c r="AH1352" s="2" t="str">
        <f>"9780898702682"</f>
        <v>9780898702682</v>
      </c>
      <c r="AI1352" s="1">
        <v>0.0</v>
      </c>
      <c r="AJ1352" s="1">
        <v>4.11</v>
      </c>
      <c r="AK1352" s="1" t="s">
        <v>6031</v>
      </c>
      <c r="AL1352" s="1" t="s">
        <v>28</v>
      </c>
      <c r="AM1352" s="1">
        <v>452.0</v>
      </c>
      <c r="AN1352" s="1">
        <v>1989.0</v>
      </c>
      <c r="AO1352" s="1">
        <v>1896.0</v>
      </c>
      <c r="AQ1352" s="3">
        <v>44222.0</v>
      </c>
      <c r="AR1352" s="1" t="s">
        <v>31</v>
      </c>
      <c r="AS1352" s="1" t="s">
        <v>6032</v>
      </c>
      <c r="AT1352" s="1" t="s">
        <v>31</v>
      </c>
      <c r="AX1352" s="1">
        <v>0.0</v>
      </c>
      <c r="AY1352" s="1">
        <v>0.0</v>
      </c>
    </row>
    <row r="1353" spans="20:51" ht="15.75" hidden="1">
      <c r="T1353" s="1">
        <v>4981.0</v>
      </c>
      <c r="U1353" s="1"/>
      <c r="V1353" s="1"/>
      <c r="W1353" s="1"/>
      <c r="X1353" s="1"/>
      <c r="Y1353" s="1" t="s">
        <v>6033</v>
      </c>
      <c r="Z1353" s="1" t="s">
        <v>3993</v>
      </c>
      <c r="AA1353" s="1" t="s">
        <v>3994</v>
      </c>
      <c r="AB1353" s="1"/>
      <c r="AC1353" s="1"/>
      <c r="AD1353" s="1"/>
      <c r="AE1353" s="1"/>
      <c r="AG1353" s="2" t="str">
        <f>"0385333846"</f>
        <v>0385333846</v>
      </c>
      <c r="AH1353" s="2" t="str">
        <f>"9780385333849"</f>
        <v>9780385333849</v>
      </c>
      <c r="AI1353" s="1">
        <v>0.0</v>
      </c>
      <c r="AJ1353" s="1">
        <v>4.09</v>
      </c>
      <c r="AK1353" s="1" t="s">
        <v>6034</v>
      </c>
      <c r="AL1353" s="1" t="s">
        <v>28</v>
      </c>
      <c r="AM1353" s="1">
        <v>275.0</v>
      </c>
      <c r="AN1353" s="1">
        <v>1999.0</v>
      </c>
      <c r="AO1353" s="1">
        <v>1969.0</v>
      </c>
      <c r="AQ1353" s="3">
        <v>41020.0</v>
      </c>
      <c r="AR1353" s="1" t="s">
        <v>31</v>
      </c>
      <c r="AS1353" s="1" t="s">
        <v>6035</v>
      </c>
      <c r="AT1353" s="1" t="s">
        <v>31</v>
      </c>
      <c r="AX1353" s="1">
        <v>0.0</v>
      </c>
      <c r="AY1353" s="1">
        <v>0.0</v>
      </c>
    </row>
    <row r="1354" spans="20:51" ht="15.75" hidden="1">
      <c r="T1354" s="1">
        <v>60142.0</v>
      </c>
      <c r="U1354" s="1"/>
      <c r="V1354" s="1"/>
      <c r="W1354" s="1"/>
      <c r="X1354" s="1"/>
      <c r="Y1354" s="1" t="s">
        <v>6036</v>
      </c>
      <c r="Z1354" s="1" t="s">
        <v>1897</v>
      </c>
      <c r="AA1354" s="1" t="s">
        <v>1898</v>
      </c>
      <c r="AB1354" s="1"/>
      <c r="AC1354" s="1"/>
      <c r="AD1354" s="1"/>
      <c r="AE1354" s="1"/>
      <c r="AG1354" s="2" t="str">
        <f>"8466309152"</f>
        <v>8466309152</v>
      </c>
      <c r="AH1354" s="2" t="str">
        <f>"9788466309158"</f>
        <v>9788466309158</v>
      </c>
      <c r="AI1354" s="1">
        <v>0.0</v>
      </c>
      <c r="AJ1354" s="1">
        <v>4.15</v>
      </c>
      <c r="AK1354" s="1" t="s">
        <v>6037</v>
      </c>
      <c r="AL1354" s="1" t="s">
        <v>315</v>
      </c>
      <c r="AM1354" s="1">
        <v>446.0</v>
      </c>
      <c r="AN1354" s="1">
        <v>2000.0</v>
      </c>
      <c r="AO1354" s="1">
        <v>1962.0</v>
      </c>
      <c r="AQ1354" s="3">
        <v>43970.0</v>
      </c>
      <c r="AR1354" s="1" t="s">
        <v>31</v>
      </c>
      <c r="AS1354" s="1" t="s">
        <v>6038</v>
      </c>
      <c r="AT1354" s="1" t="s">
        <v>31</v>
      </c>
      <c r="AX1354" s="1">
        <v>0.0</v>
      </c>
      <c r="AY1354" s="1">
        <v>0.0</v>
      </c>
    </row>
    <row r="1355" spans="20:51" ht="15.75" hidden="1">
      <c r="T1355" s="1">
        <v>3.6481692E7</v>
      </c>
      <c r="U1355" s="1"/>
      <c r="V1355" s="1"/>
      <c r="W1355" s="1"/>
      <c r="X1355" s="1"/>
      <c r="Y1355" s="1" t="s">
        <v>6039</v>
      </c>
      <c r="Z1355" s="1" t="s">
        <v>1039</v>
      </c>
      <c r="AA1355" s="1" t="s">
        <v>1040</v>
      </c>
      <c r="AB1355" s="1"/>
      <c r="AC1355" s="1"/>
      <c r="AD1355" s="1"/>
      <c r="AE1355" s="1"/>
      <c r="AF1355" s="1" t="s">
        <v>6040</v>
      </c>
      <c r="AG1355" s="2" t="str">
        <f>"1635900174"</f>
        <v>1635900174</v>
      </c>
      <c r="AH1355" s="2" t="str">
        <f>"9781635900170"</f>
        <v>9781635900170</v>
      </c>
      <c r="AI1355" s="1">
        <v>0.0</v>
      </c>
      <c r="AJ1355" s="1">
        <v>4.32</v>
      </c>
      <c r="AK1355" s="1" t="s">
        <v>6041</v>
      </c>
      <c r="AL1355" s="1" t="s">
        <v>28</v>
      </c>
      <c r="AM1355" s="1">
        <v>240.0</v>
      </c>
      <c r="AN1355" s="1">
        <v>2018.0</v>
      </c>
      <c r="AQ1355" s="3">
        <v>44249.0</v>
      </c>
      <c r="AR1355" s="1" t="s">
        <v>31</v>
      </c>
      <c r="AS1355" s="1" t="s">
        <v>6042</v>
      </c>
      <c r="AT1355" s="1" t="s">
        <v>31</v>
      </c>
      <c r="AX1355" s="1">
        <v>0.0</v>
      </c>
      <c r="AY1355" s="1">
        <v>0.0</v>
      </c>
    </row>
    <row r="1356" spans="20:51" ht="15.75" hidden="1">
      <c r="T1356" s="1">
        <v>228630.0</v>
      </c>
      <c r="U1356" s="1"/>
      <c r="V1356" s="1"/>
      <c r="W1356" s="1"/>
      <c r="X1356" s="1"/>
      <c r="Y1356" s="1" t="s">
        <v>6043</v>
      </c>
      <c r="Z1356" s="1" t="s">
        <v>6044</v>
      </c>
      <c r="AA1356" s="1" t="s">
        <v>6045</v>
      </c>
      <c r="AB1356" s="1"/>
      <c r="AC1356" s="1"/>
      <c r="AD1356" s="1"/>
      <c r="AE1356" s="1"/>
      <c r="AF1356" s="1" t="s">
        <v>6046</v>
      </c>
      <c r="AG1356" s="2" t="str">
        <f>"0060929782"</f>
        <v>0060929782</v>
      </c>
      <c r="AH1356" s="2" t="str">
        <f>"9780060929787"</f>
        <v>9780060929787</v>
      </c>
      <c r="AI1356" s="1">
        <v>0.0</v>
      </c>
      <c r="AJ1356" s="1">
        <v>4.08</v>
      </c>
      <c r="AK1356" s="1" t="s">
        <v>1031</v>
      </c>
      <c r="AL1356" s="1" t="s">
        <v>28</v>
      </c>
      <c r="AM1356" s="1">
        <v>419.0</v>
      </c>
      <c r="AN1356" s="1">
        <v>1998.0</v>
      </c>
      <c r="AO1356" s="1">
        <v>1945.0</v>
      </c>
      <c r="AP1356" s="3">
        <v>41396.0</v>
      </c>
      <c r="AQ1356" s="3">
        <v>41346.0</v>
      </c>
      <c r="AT1356" s="1" t="s">
        <v>127</v>
      </c>
      <c r="AX1356" s="1">
        <v>1.0</v>
      </c>
      <c r="AY1356" s="1">
        <v>0.0</v>
      </c>
    </row>
    <row r="1357" spans="20:51" ht="15.75" hidden="1">
      <c r="T1357" s="1">
        <v>9954162.0</v>
      </c>
      <c r="U1357" s="1"/>
      <c r="V1357" s="1"/>
      <c r="W1357" s="1"/>
      <c r="X1357" s="1"/>
      <c r="Y1357" s="1" t="s">
        <v>6047</v>
      </c>
      <c r="Z1357" s="1" t="s">
        <v>6048</v>
      </c>
      <c r="AA1357" s="1" t="s">
        <v>6049</v>
      </c>
      <c r="AB1357" s="1"/>
      <c r="AC1357" s="1"/>
      <c r="AD1357" s="1"/>
      <c r="AE1357" s="1"/>
      <c r="AG1357" s="2" t="str">
        <f>"9681654269"</f>
        <v>9681654269</v>
      </c>
      <c r="AH1357" s="2" t="str">
        <f>"9789681654269"</f>
        <v>9789681654269</v>
      </c>
      <c r="AI1357" s="1">
        <v>0.0</v>
      </c>
      <c r="AJ1357" s="1">
        <v>4.38</v>
      </c>
      <c r="AK1357" s="1" t="s">
        <v>6050</v>
      </c>
      <c r="AL1357" s="1" t="s">
        <v>28</v>
      </c>
      <c r="AM1357" s="1">
        <v>202.0</v>
      </c>
      <c r="AN1357" s="1">
        <v>1997.0</v>
      </c>
      <c r="AO1357" s="1">
        <v>1995.0</v>
      </c>
      <c r="AQ1357" s="3">
        <v>43976.0</v>
      </c>
      <c r="AR1357" s="1" t="s">
        <v>31</v>
      </c>
      <c r="AS1357" s="1" t="s">
        <v>6051</v>
      </c>
      <c r="AT1357" s="1" t="s">
        <v>31</v>
      </c>
      <c r="AX1357" s="1">
        <v>0.0</v>
      </c>
      <c r="AY1357" s="1">
        <v>0.0</v>
      </c>
    </row>
    <row r="1358" spans="20:51" ht="15.75" hidden="1">
      <c r="T1358" s="1">
        <v>203310.0</v>
      </c>
      <c r="U1358" s="1"/>
      <c r="V1358" s="1"/>
      <c r="W1358" s="1"/>
      <c r="X1358" s="1"/>
      <c r="Y1358" s="1" t="s">
        <v>6052</v>
      </c>
      <c r="Z1358" s="1" t="s">
        <v>4134</v>
      </c>
      <c r="AA1358" s="1" t="s">
        <v>4135</v>
      </c>
      <c r="AB1358" s="1"/>
      <c r="AC1358" s="1"/>
      <c r="AD1358" s="1"/>
      <c r="AE1358" s="1"/>
      <c r="AF1358" s="1" t="s">
        <v>6053</v>
      </c>
      <c r="AG1358" s="2" t="str">
        <f t="shared" si="110" ref="AG1358:AH1358">""</f>
        <v/>
      </c>
      <c r="AH1358" s="2" t="str">
        <f t="shared" si="110"/>
        <v/>
      </c>
      <c r="AI1358" s="1">
        <v>0.0</v>
      </c>
      <c r="AJ1358" s="1">
        <v>4.11</v>
      </c>
      <c r="AK1358" s="1" t="s">
        <v>1031</v>
      </c>
      <c r="AL1358" s="1" t="s">
        <v>28</v>
      </c>
      <c r="AM1358" s="1">
        <v>256.0</v>
      </c>
      <c r="AN1358" s="1">
        <v>2013.0</v>
      </c>
      <c r="AO1358" s="1">
        <v>1971.0</v>
      </c>
      <c r="AQ1358" s="3">
        <v>42816.0</v>
      </c>
      <c r="AR1358" s="1" t="s">
        <v>31</v>
      </c>
      <c r="AS1358" s="1" t="s">
        <v>6054</v>
      </c>
      <c r="AT1358" s="1" t="s">
        <v>31</v>
      </c>
      <c r="AX1358" s="1">
        <v>0.0</v>
      </c>
      <c r="AY1358" s="1">
        <v>0.0</v>
      </c>
    </row>
    <row r="1359" spans="20:51" ht="15.75" hidden="1">
      <c r="T1359" s="1">
        <v>553874.0</v>
      </c>
      <c r="U1359" s="1"/>
      <c r="V1359" s="1"/>
      <c r="W1359" s="1"/>
      <c r="X1359" s="1"/>
      <c r="Y1359" s="1" t="s">
        <v>6055</v>
      </c>
      <c r="Z1359" s="1" t="s">
        <v>6056</v>
      </c>
      <c r="AA1359" s="1" t="s">
        <v>6057</v>
      </c>
      <c r="AB1359" s="1"/>
      <c r="AC1359" s="1"/>
      <c r="AD1359" s="1"/>
      <c r="AE1359" s="1"/>
      <c r="AG1359" s="2" t="str">
        <f>"0521000025"</f>
        <v>0521000025</v>
      </c>
      <c r="AH1359" s="2" t="str">
        <f>"9780521000024"</f>
        <v>9780521000024</v>
      </c>
      <c r="AI1359" s="1">
        <v>0.0</v>
      </c>
      <c r="AJ1359" s="1">
        <v>4.19</v>
      </c>
      <c r="AK1359" s="1" t="s">
        <v>605</v>
      </c>
      <c r="AL1359" s="1" t="s">
        <v>28</v>
      </c>
      <c r="AM1359" s="1">
        <v>274.0</v>
      </c>
      <c r="AN1359" s="1">
        <v>2001.0</v>
      </c>
      <c r="AO1359" s="1">
        <v>1999.0</v>
      </c>
      <c r="AQ1359" s="3">
        <v>44444.0</v>
      </c>
      <c r="AR1359" s="1" t="s">
        <v>2539</v>
      </c>
      <c r="AS1359" s="1" t="s">
        <v>6058</v>
      </c>
      <c r="AT1359" s="1" t="s">
        <v>31</v>
      </c>
      <c r="AX1359" s="1">
        <v>0.0</v>
      </c>
      <c r="AY1359" s="1">
        <v>0.0</v>
      </c>
    </row>
    <row r="1360" spans="20:51" ht="15.75" hidden="1">
      <c r="T1360" s="1">
        <v>135448.0</v>
      </c>
      <c r="U1360" s="1"/>
      <c r="V1360" s="1"/>
      <c r="W1360" s="1"/>
      <c r="X1360" s="1"/>
      <c r="Y1360" s="1" t="s">
        <v>6059</v>
      </c>
      <c r="Z1360" s="1" t="s">
        <v>6060</v>
      </c>
      <c r="AA1360" s="1" t="s">
        <v>6061</v>
      </c>
      <c r="AB1360" s="1"/>
      <c r="AC1360" s="1"/>
      <c r="AD1360" s="1"/>
      <c r="AE1360" s="1"/>
      <c r="AF1360" s="1" t="s">
        <v>6062</v>
      </c>
      <c r="AG1360" s="2" t="str">
        <f>"0631199594"</f>
        <v>0631199594</v>
      </c>
      <c r="AH1360" s="2" t="str">
        <f>"9780631199595"</f>
        <v>9780631199595</v>
      </c>
      <c r="AI1360" s="1">
        <v>0.0</v>
      </c>
      <c r="AJ1360" s="1">
        <v>4.19</v>
      </c>
      <c r="AK1360" s="1" t="s">
        <v>6063</v>
      </c>
      <c r="AL1360" s="1" t="s">
        <v>28</v>
      </c>
      <c r="AM1360" s="1">
        <v>364.0</v>
      </c>
      <c r="AN1360" s="1">
        <v>1997.0</v>
      </c>
      <c r="AO1360" s="1">
        <v>1997.0</v>
      </c>
      <c r="AQ1360" s="3">
        <v>45046.0</v>
      </c>
      <c r="AR1360" s="1" t="s">
        <v>31</v>
      </c>
      <c r="AS1360" s="1" t="s">
        <v>6064</v>
      </c>
      <c r="AT1360" s="1" t="s">
        <v>31</v>
      </c>
      <c r="AX1360" s="1">
        <v>0.0</v>
      </c>
      <c r="AY1360" s="1">
        <v>0.0</v>
      </c>
    </row>
    <row r="1361" spans="20:51" ht="15.75" hidden="1">
      <c r="T1361" s="1">
        <v>5904852.0</v>
      </c>
      <c r="U1361" s="1"/>
      <c r="V1361" s="1"/>
      <c r="W1361" s="1"/>
      <c r="X1361" s="1"/>
      <c r="Y1361" s="1" t="s">
        <v>6065</v>
      </c>
      <c r="Z1361" s="1" t="s">
        <v>6066</v>
      </c>
      <c r="AA1361" s="1" t="s">
        <v>6067</v>
      </c>
      <c r="AB1361" s="1"/>
      <c r="AC1361" s="1"/>
      <c r="AD1361" s="1"/>
      <c r="AE1361" s="1"/>
      <c r="AG1361" s="2" t="str">
        <f>"0806529776"</f>
        <v>0806529776</v>
      </c>
      <c r="AH1361" s="2" t="str">
        <f>"9780806529776"</f>
        <v>9780806529776</v>
      </c>
      <c r="AI1361" s="1">
        <v>0.0</v>
      </c>
      <c r="AJ1361" s="1">
        <v>3.62</v>
      </c>
      <c r="AK1361" s="1" t="s">
        <v>4317</v>
      </c>
      <c r="AL1361" s="1" t="s">
        <v>28</v>
      </c>
      <c r="AM1361" s="1">
        <v>356.0</v>
      </c>
      <c r="AN1361" s="1">
        <v>1972.0</v>
      </c>
      <c r="AO1361" s="1">
        <v>1972.0</v>
      </c>
      <c r="AQ1361" s="3">
        <v>44443.0</v>
      </c>
      <c r="AR1361" s="1" t="s">
        <v>2539</v>
      </c>
      <c r="AS1361" s="1" t="s">
        <v>6068</v>
      </c>
      <c r="AT1361" s="1" t="s">
        <v>31</v>
      </c>
      <c r="AX1361" s="1">
        <v>0.0</v>
      </c>
      <c r="AY1361" s="1">
        <v>0.0</v>
      </c>
    </row>
    <row r="1362" spans="20:51" ht="15.75" hidden="1">
      <c r="T1362" s="1">
        <v>2023127.0</v>
      </c>
      <c r="U1362" s="1"/>
      <c r="V1362" s="1"/>
      <c r="W1362" s="1"/>
      <c r="X1362" s="1"/>
      <c r="Y1362" s="1" t="s">
        <v>6069</v>
      </c>
      <c r="Z1362" s="1" t="s">
        <v>6070</v>
      </c>
      <c r="AA1362" s="1" t="s">
        <v>6071</v>
      </c>
      <c r="AB1362" s="1"/>
      <c r="AC1362" s="1"/>
      <c r="AD1362" s="1"/>
      <c r="AE1362" s="1"/>
      <c r="AG1362" s="2" t="str">
        <f>"0631232478"</f>
        <v>0631232478</v>
      </c>
      <c r="AH1362" s="2" t="str">
        <f>"9780631232476"</f>
        <v>9780631232476</v>
      </c>
      <c r="AI1362" s="1">
        <v>0.0</v>
      </c>
      <c r="AJ1362" s="1">
        <v>3.85</v>
      </c>
      <c r="AK1362" s="1" t="s">
        <v>1315</v>
      </c>
      <c r="AL1362" s="1" t="s">
        <v>41</v>
      </c>
      <c r="AM1362" s="1">
        <v>356.0</v>
      </c>
      <c r="AN1362" s="1">
        <v>2005.0</v>
      </c>
      <c r="AO1362" s="1">
        <v>2005.0</v>
      </c>
      <c r="AQ1362" s="3">
        <v>45120.0</v>
      </c>
      <c r="AR1362" s="1" t="s">
        <v>31</v>
      </c>
      <c r="AS1362" s="1" t="s">
        <v>6072</v>
      </c>
      <c r="AT1362" s="1" t="s">
        <v>31</v>
      </c>
      <c r="AX1362" s="1">
        <v>0.0</v>
      </c>
      <c r="AY1362" s="1">
        <v>0.0</v>
      </c>
    </row>
    <row r="1363" spans="20:51" ht="15.75" hidden="1">
      <c r="T1363" s="1">
        <v>437556.0</v>
      </c>
      <c r="U1363" s="1"/>
      <c r="V1363" s="1"/>
      <c r="W1363" s="1"/>
      <c r="X1363" s="1"/>
      <c r="Y1363" s="1" t="s">
        <v>6073</v>
      </c>
      <c r="Z1363" s="1" t="s">
        <v>602</v>
      </c>
      <c r="AA1363" s="1" t="s">
        <v>603</v>
      </c>
      <c r="AB1363" s="1"/>
      <c r="AC1363" s="1"/>
      <c r="AD1363" s="1"/>
      <c r="AE1363" s="1"/>
      <c r="AF1363" s="1" t="s">
        <v>6074</v>
      </c>
      <c r="AG1363" s="2" t="str">
        <f>"0195070097"</f>
        <v>0195070097</v>
      </c>
      <c r="AH1363" s="2" t="str">
        <f>"9780195070095"</f>
        <v>9780195070095</v>
      </c>
      <c r="AI1363" s="1">
        <v>0.0</v>
      </c>
      <c r="AJ1363" s="1">
        <v>3.83</v>
      </c>
      <c r="AK1363" s="1" t="s">
        <v>214</v>
      </c>
      <c r="AL1363" s="1" t="s">
        <v>28</v>
      </c>
      <c r="AM1363" s="1">
        <v>112.0</v>
      </c>
      <c r="AN1363" s="1">
        <v>1991.0</v>
      </c>
      <c r="AO1363" s="1">
        <v>-450.0</v>
      </c>
      <c r="AQ1363" s="3">
        <v>45120.0</v>
      </c>
      <c r="AR1363" s="1" t="s">
        <v>31</v>
      </c>
      <c r="AS1363" s="1" t="s">
        <v>6075</v>
      </c>
      <c r="AT1363" s="1" t="s">
        <v>31</v>
      </c>
      <c r="AX1363" s="1">
        <v>0.0</v>
      </c>
      <c r="AY1363" s="1">
        <v>0.0</v>
      </c>
    </row>
    <row r="1364" spans="20:51" ht="15.75" hidden="1">
      <c r="T1364" s="1">
        <v>1.2099263E8</v>
      </c>
      <c r="U1364" s="1"/>
      <c r="V1364" s="1"/>
      <c r="W1364" s="1"/>
      <c r="X1364" s="1"/>
      <c r="Y1364" s="1" t="s">
        <v>6076</v>
      </c>
      <c r="Z1364" s="1" t="s">
        <v>6077</v>
      </c>
      <c r="AA1364" s="1" t="s">
        <v>6078</v>
      </c>
      <c r="AB1364" s="1"/>
      <c r="AC1364" s="1"/>
      <c r="AD1364" s="1"/>
      <c r="AE1364" s="1"/>
      <c r="AG1364" s="2" t="str">
        <f>"1804290203"</f>
        <v>1804290203</v>
      </c>
      <c r="AH1364" s="2" t="str">
        <f>"9781804290200"</f>
        <v>9781804290200</v>
      </c>
      <c r="AI1364" s="1">
        <v>0.0</v>
      </c>
      <c r="AJ1364" s="1">
        <v>4.06</v>
      </c>
      <c r="AK1364" s="1" t="s">
        <v>1973</v>
      </c>
      <c r="AL1364" s="1" t="s">
        <v>65</v>
      </c>
      <c r="AM1364" s="1">
        <v>331.0</v>
      </c>
      <c r="AN1364" s="1">
        <v>2023.0</v>
      </c>
      <c r="AQ1364" s="3">
        <v>45119.0</v>
      </c>
      <c r="AR1364" s="1" t="s">
        <v>31</v>
      </c>
      <c r="AS1364" s="1" t="s">
        <v>6079</v>
      </c>
      <c r="AT1364" s="1" t="s">
        <v>31</v>
      </c>
      <c r="AX1364" s="1">
        <v>0.0</v>
      </c>
      <c r="AY1364" s="1">
        <v>0.0</v>
      </c>
    </row>
    <row r="1365" spans="20:51" ht="15.75" hidden="1">
      <c r="T1365" s="1">
        <v>144870.0</v>
      </c>
      <c r="U1365" s="1"/>
      <c r="V1365" s="1"/>
      <c r="W1365" s="1"/>
      <c r="X1365" s="1"/>
      <c r="Y1365" s="1" t="s">
        <v>6080</v>
      </c>
      <c r="Z1365" s="1" t="s">
        <v>6081</v>
      </c>
      <c r="AA1365" s="1" t="s">
        <v>6082</v>
      </c>
      <c r="AB1365" s="1"/>
      <c r="AC1365" s="1"/>
      <c r="AD1365" s="1"/>
      <c r="AE1365" s="1"/>
      <c r="AF1365" s="1" t="s">
        <v>6083</v>
      </c>
      <c r="AG1365" s="2" t="str">
        <f>"0140444343"</f>
        <v>0140444343</v>
      </c>
      <c r="AH1365" s="2" t="str">
        <f>"9780140444346"</f>
        <v>9780140444346</v>
      </c>
      <c r="AI1365" s="1">
        <v>0.0</v>
      </c>
      <c r="AJ1365" s="1">
        <v>4.24</v>
      </c>
      <c r="AK1365" s="1" t="s">
        <v>232</v>
      </c>
      <c r="AL1365" s="1" t="s">
        <v>28</v>
      </c>
      <c r="AM1365" s="1">
        <v>278.0</v>
      </c>
      <c r="AN1365" s="1">
        <v>1984.0</v>
      </c>
      <c r="AO1365" s="1">
        <v>1177.0</v>
      </c>
      <c r="AQ1365" s="3">
        <v>45117.0</v>
      </c>
      <c r="AR1365" s="1" t="s">
        <v>31</v>
      </c>
      <c r="AS1365" s="1" t="s">
        <v>6084</v>
      </c>
      <c r="AT1365" s="1" t="s">
        <v>31</v>
      </c>
      <c r="AX1365" s="1">
        <v>0.0</v>
      </c>
      <c r="AY1365" s="1">
        <v>0.0</v>
      </c>
    </row>
    <row r="1366" spans="20:51" ht="15.75" hidden="1">
      <c r="T1366" s="1">
        <v>865408.0</v>
      </c>
      <c r="U1366" s="1"/>
      <c r="V1366" s="1"/>
      <c r="W1366" s="1"/>
      <c r="X1366" s="1"/>
      <c r="Y1366" s="1" t="s">
        <v>6085</v>
      </c>
      <c r="Z1366" s="1" t="s">
        <v>6086</v>
      </c>
      <c r="AA1366" s="1" t="s">
        <v>6087</v>
      </c>
      <c r="AB1366" s="1"/>
      <c r="AC1366" s="1"/>
      <c r="AD1366" s="1"/>
      <c r="AE1366" s="1"/>
      <c r="AG1366" s="2" t="str">
        <f>"0198661215"</f>
        <v>0198661215</v>
      </c>
      <c r="AH1366" s="2" t="str">
        <f>"9780198661214"</f>
        <v>9780198661214</v>
      </c>
      <c r="AI1366" s="1">
        <v>0.0</v>
      </c>
      <c r="AJ1366" s="1">
        <v>4.24</v>
      </c>
      <c r="AK1366" s="1" t="s">
        <v>214</v>
      </c>
      <c r="AL1366" s="1" t="s">
        <v>41</v>
      </c>
      <c r="AM1366" s="1">
        <v>615.0</v>
      </c>
      <c r="AN1366" s="1">
        <v>1989.0</v>
      </c>
      <c r="AO1366" s="1">
        <v>1989.0</v>
      </c>
      <c r="AQ1366" s="3">
        <v>45116.0</v>
      </c>
      <c r="AR1366" s="1" t="s">
        <v>31</v>
      </c>
      <c r="AS1366" s="1" t="s">
        <v>6088</v>
      </c>
      <c r="AT1366" s="1" t="s">
        <v>31</v>
      </c>
      <c r="AX1366" s="1">
        <v>0.0</v>
      </c>
      <c r="AY1366" s="1">
        <v>0.0</v>
      </c>
    </row>
    <row r="1367" spans="20:51" ht="15.75" hidden="1">
      <c r="T1367" s="1">
        <v>565355.0</v>
      </c>
      <c r="U1367" s="1"/>
      <c r="V1367" s="1"/>
      <c r="W1367" s="1"/>
      <c r="X1367" s="1"/>
      <c r="Y1367" s="1" t="s">
        <v>6089</v>
      </c>
      <c r="Z1367" s="1" t="s">
        <v>6090</v>
      </c>
      <c r="AA1367" s="1" t="s">
        <v>6091</v>
      </c>
      <c r="AB1367" s="1"/>
      <c r="AC1367" s="1"/>
      <c r="AD1367" s="1"/>
      <c r="AE1367" s="1"/>
      <c r="AG1367" s="2" t="str">
        <f>"0253208912"</f>
        <v>0253208912</v>
      </c>
      <c r="AH1367" s="2" t="str">
        <f>"9780253208910"</f>
        <v>9780253208910</v>
      </c>
      <c r="AI1367" s="1">
        <v>0.0</v>
      </c>
      <c r="AJ1367" s="1">
        <v>4.15</v>
      </c>
      <c r="AK1367" s="1" t="s">
        <v>6092</v>
      </c>
      <c r="AL1367" s="1" t="s">
        <v>28</v>
      </c>
      <c r="AM1367" s="1">
        <v>288.0</v>
      </c>
      <c r="AN1367" s="1">
        <v>1995.0</v>
      </c>
      <c r="AO1367" s="1">
        <v>1933.0</v>
      </c>
      <c r="AQ1367" s="3">
        <v>45115.0</v>
      </c>
      <c r="AR1367" s="1" t="s">
        <v>31</v>
      </c>
      <c r="AS1367" s="1" t="s">
        <v>6093</v>
      </c>
      <c r="AT1367" s="1" t="s">
        <v>31</v>
      </c>
      <c r="AX1367" s="1">
        <v>0.0</v>
      </c>
      <c r="AY1367" s="1">
        <v>0.0</v>
      </c>
    </row>
    <row r="1368" spans="20:51" ht="15.75" hidden="1">
      <c r="T1368" s="1">
        <v>6460814.0</v>
      </c>
      <c r="U1368" s="1"/>
      <c r="V1368" s="1"/>
      <c r="W1368" s="1"/>
      <c r="X1368" s="1"/>
      <c r="Y1368" s="1" t="s">
        <v>6094</v>
      </c>
      <c r="Z1368" s="1" t="s">
        <v>1615</v>
      </c>
      <c r="AA1368" s="1" t="s">
        <v>6095</v>
      </c>
      <c r="AB1368" s="1"/>
      <c r="AC1368" s="1"/>
      <c r="AD1368" s="1"/>
      <c r="AE1368" s="1"/>
      <c r="AG1368" s="2" t="str">
        <f>"1741668379"</f>
        <v>1741668379</v>
      </c>
      <c r="AH1368" s="2" t="str">
        <f>"9781741668377"</f>
        <v>9781741668377</v>
      </c>
      <c r="AI1368" s="1">
        <v>0.0</v>
      </c>
      <c r="AJ1368" s="1">
        <v>3.7</v>
      </c>
      <c r="AK1368" s="1" t="s">
        <v>2550</v>
      </c>
      <c r="AL1368" s="1" t="s">
        <v>41</v>
      </c>
      <c r="AM1368" s="1">
        <v>224.0</v>
      </c>
      <c r="AO1368" s="1">
        <v>2009.0</v>
      </c>
      <c r="AQ1368" s="3">
        <v>45115.0</v>
      </c>
      <c r="AR1368" s="1" t="s">
        <v>31</v>
      </c>
      <c r="AS1368" s="1" t="s">
        <v>6096</v>
      </c>
      <c r="AT1368" s="1" t="s">
        <v>31</v>
      </c>
      <c r="AX1368" s="1">
        <v>0.0</v>
      </c>
      <c r="AY1368" s="1">
        <v>0.0</v>
      </c>
    </row>
    <row r="1369" spans="20:51" ht="15.75" hidden="1">
      <c r="T1369" s="1">
        <v>1.8077789E7</v>
      </c>
      <c r="U1369" s="1"/>
      <c r="V1369" s="1"/>
      <c r="W1369" s="1"/>
      <c r="X1369" s="1"/>
      <c r="Y1369" s="1" t="s">
        <v>6097</v>
      </c>
      <c r="Z1369" s="1" t="s">
        <v>6098</v>
      </c>
      <c r="AA1369" s="1" t="s">
        <v>6099</v>
      </c>
      <c r="AB1369" s="1"/>
      <c r="AC1369" s="1"/>
      <c r="AD1369" s="1"/>
      <c r="AE1369" s="1"/>
      <c r="AG1369" s="2" t="str">
        <f>"0307596877"</f>
        <v>0307596877</v>
      </c>
      <c r="AH1369" s="2" t="str">
        <f>"9780307596871"</f>
        <v>9780307596871</v>
      </c>
      <c r="AI1369" s="1">
        <v>0.0</v>
      </c>
      <c r="AJ1369" s="1">
        <v>4.13</v>
      </c>
      <c r="AK1369" s="1" t="s">
        <v>6100</v>
      </c>
      <c r="AL1369" s="1" t="s">
        <v>41</v>
      </c>
      <c r="AM1369" s="1">
        <v>290.0</v>
      </c>
      <c r="AN1369" s="1">
        <v>2014.0</v>
      </c>
      <c r="AO1369" s="1">
        <v>2014.0</v>
      </c>
      <c r="AQ1369" s="3">
        <v>45115.0</v>
      </c>
      <c r="AR1369" s="1" t="s">
        <v>31</v>
      </c>
      <c r="AS1369" s="1" t="s">
        <v>6101</v>
      </c>
      <c r="AT1369" s="1" t="s">
        <v>31</v>
      </c>
      <c r="AX1369" s="1">
        <v>0.0</v>
      </c>
      <c r="AY1369" s="1">
        <v>0.0</v>
      </c>
    </row>
    <row r="1370" spans="20:51" ht="15.75" hidden="1">
      <c r="T1370" s="1">
        <v>1505138.0</v>
      </c>
      <c r="U1370" s="1"/>
      <c r="V1370" s="1"/>
      <c r="W1370" s="1"/>
      <c r="X1370" s="1"/>
      <c r="Y1370" s="1" t="s">
        <v>6102</v>
      </c>
      <c r="Z1370" s="1" t="s">
        <v>6103</v>
      </c>
      <c r="AA1370" s="1" t="s">
        <v>6104</v>
      </c>
      <c r="AB1370" s="1"/>
      <c r="AC1370" s="1"/>
      <c r="AD1370" s="1"/>
      <c r="AE1370" s="1"/>
      <c r="AG1370" s="2" t="str">
        <f>"0486425002"</f>
        <v>0486425002</v>
      </c>
      <c r="AH1370" s="2" t="str">
        <f>"9780486425009"</f>
        <v>9780486425009</v>
      </c>
      <c r="AI1370" s="1">
        <v>0.0</v>
      </c>
      <c r="AJ1370" s="1">
        <v>4.0</v>
      </c>
      <c r="AK1370" s="1" t="s">
        <v>540</v>
      </c>
      <c r="AL1370" s="1" t="s">
        <v>28</v>
      </c>
      <c r="AM1370" s="1">
        <v>240.0</v>
      </c>
      <c r="AN1370" s="1">
        <v>2003.0</v>
      </c>
      <c r="AO1370" s="1">
        <v>1914.0</v>
      </c>
      <c r="AQ1370" s="3">
        <v>45115.0</v>
      </c>
      <c r="AR1370" s="1" t="s">
        <v>31</v>
      </c>
      <c r="AS1370" s="1" t="s">
        <v>6105</v>
      </c>
      <c r="AT1370" s="1" t="s">
        <v>31</v>
      </c>
      <c r="AX1370" s="1">
        <v>0.0</v>
      </c>
      <c r="AY1370" s="1">
        <v>0.0</v>
      </c>
    </row>
    <row r="1371" spans="20:51" ht="15.75" hidden="1">
      <c r="T1371" s="1">
        <v>621939.0</v>
      </c>
      <c r="U1371" s="1"/>
      <c r="V1371" s="1"/>
      <c r="W1371" s="1"/>
      <c r="X1371" s="1"/>
      <c r="Y1371" s="1" t="s">
        <v>6106</v>
      </c>
      <c r="Z1371" s="1" t="s">
        <v>1427</v>
      </c>
      <c r="AA1371" s="1" t="s">
        <v>1428</v>
      </c>
      <c r="AB1371" s="1"/>
      <c r="AC1371" s="1"/>
      <c r="AD1371" s="1"/>
      <c r="AE1371" s="1"/>
      <c r="AG1371" s="2" t="str">
        <f>"0807057932"</f>
        <v>0807057932</v>
      </c>
      <c r="AH1371" s="2" t="str">
        <f>"9780807057933"</f>
        <v>9780807057933</v>
      </c>
      <c r="AI1371" s="1">
        <v>0.0</v>
      </c>
      <c r="AJ1371" s="1">
        <v>3.72</v>
      </c>
      <c r="AK1371" s="1" t="s">
        <v>6107</v>
      </c>
      <c r="AL1371" s="1" t="s">
        <v>28</v>
      </c>
      <c r="AM1371" s="1">
        <v>404.0</v>
      </c>
      <c r="AN1371" s="1">
        <v>1971.0</v>
      </c>
      <c r="AO1371" s="1">
        <v>1950.0</v>
      </c>
      <c r="AQ1371" s="3">
        <v>45115.0</v>
      </c>
      <c r="AR1371" s="1" t="s">
        <v>31</v>
      </c>
      <c r="AS1371" s="1" t="s">
        <v>6108</v>
      </c>
      <c r="AT1371" s="1" t="s">
        <v>31</v>
      </c>
      <c r="AX1371" s="1">
        <v>0.0</v>
      </c>
      <c r="AY1371" s="1">
        <v>0.0</v>
      </c>
    </row>
    <row r="1372" spans="20:51" ht="15.75" hidden="1">
      <c r="T1372" s="1">
        <v>5047676.0</v>
      </c>
      <c r="U1372" s="1"/>
      <c r="V1372" s="1"/>
      <c r="W1372" s="1"/>
      <c r="X1372" s="1"/>
      <c r="Y1372" s="1" t="s">
        <v>6109</v>
      </c>
      <c r="Z1372" s="1" t="s">
        <v>6110</v>
      </c>
      <c r="AA1372" s="1" t="s">
        <v>6111</v>
      </c>
      <c r="AB1372" s="1"/>
      <c r="AC1372" s="1"/>
      <c r="AD1372" s="1"/>
      <c r="AE1372" s="1"/>
      <c r="AG1372" s="2" t="str">
        <f>"0520040910"</f>
        <v>0520040910</v>
      </c>
      <c r="AH1372" s="2" t="str">
        <f>"9780520040915"</f>
        <v>9780520040915</v>
      </c>
      <c r="AI1372" s="1">
        <v>0.0</v>
      </c>
      <c r="AJ1372" s="1">
        <v>3.75</v>
      </c>
      <c r="AK1372" s="1" t="s">
        <v>6112</v>
      </c>
      <c r="AL1372" s="1" t="s">
        <v>28</v>
      </c>
      <c r="AM1372" s="1">
        <v>637.0</v>
      </c>
      <c r="AN1372" s="1">
        <v>1980.0</v>
      </c>
      <c r="AO1372" s="1">
        <v>1959.0</v>
      </c>
      <c r="AQ1372" s="3">
        <v>45115.0</v>
      </c>
      <c r="AR1372" s="1" t="s">
        <v>31</v>
      </c>
      <c r="AS1372" s="1" t="s">
        <v>6113</v>
      </c>
      <c r="AT1372" s="1" t="s">
        <v>31</v>
      </c>
      <c r="AX1372" s="1">
        <v>0.0</v>
      </c>
      <c r="AY1372" s="1">
        <v>0.0</v>
      </c>
    </row>
    <row r="1373" spans="20:51" ht="15.75" hidden="1">
      <c r="T1373" s="1">
        <v>2041759.0</v>
      </c>
      <c r="U1373" s="1"/>
      <c r="V1373" s="1"/>
      <c r="W1373" s="1"/>
      <c r="X1373" s="1"/>
      <c r="Y1373" s="1" t="s">
        <v>6114</v>
      </c>
      <c r="Z1373" s="1" t="s">
        <v>6115</v>
      </c>
      <c r="AA1373" s="1" t="s">
        <v>6116</v>
      </c>
      <c r="AB1373" s="1"/>
      <c r="AC1373" s="1"/>
      <c r="AD1373" s="1"/>
      <c r="AE1373" s="1"/>
      <c r="AG1373" s="2" t="str">
        <f>"0801480000"</f>
        <v>0801480000</v>
      </c>
      <c r="AH1373" s="2" t="str">
        <f>"9780801480003"</f>
        <v>9780801480003</v>
      </c>
      <c r="AI1373" s="1">
        <v>0.0</v>
      </c>
      <c r="AJ1373" s="1">
        <v>3.67</v>
      </c>
      <c r="AK1373" s="1" t="s">
        <v>2533</v>
      </c>
      <c r="AL1373" s="1" t="s">
        <v>28</v>
      </c>
      <c r="AM1373" s="1">
        <v>355.0</v>
      </c>
      <c r="AN1373" s="1">
        <v>1992.0</v>
      </c>
      <c r="AO1373" s="1">
        <v>1990.0</v>
      </c>
      <c r="AQ1373" s="3">
        <v>45115.0</v>
      </c>
      <c r="AR1373" s="1" t="s">
        <v>31</v>
      </c>
      <c r="AS1373" s="1" t="s">
        <v>6117</v>
      </c>
      <c r="AT1373" s="1" t="s">
        <v>31</v>
      </c>
      <c r="AX1373" s="1">
        <v>0.0</v>
      </c>
      <c r="AY1373" s="1">
        <v>0.0</v>
      </c>
    </row>
    <row r="1374" spans="20:51" ht="15.75" hidden="1">
      <c r="T1374" s="1">
        <v>779822.0</v>
      </c>
      <c r="U1374" s="1"/>
      <c r="V1374" s="1"/>
      <c r="W1374" s="1"/>
      <c r="X1374" s="1"/>
      <c r="Y1374" s="1" t="s">
        <v>6118</v>
      </c>
      <c r="Z1374" s="1" t="s">
        <v>6119</v>
      </c>
      <c r="AA1374" s="1" t="s">
        <v>6120</v>
      </c>
      <c r="AB1374" s="1"/>
      <c r="AC1374" s="1"/>
      <c r="AD1374" s="1"/>
      <c r="AE1374" s="1"/>
      <c r="AG1374" s="2" t="str">
        <f>"0801825482"</f>
        <v>0801825482</v>
      </c>
      <c r="AH1374" s="2" t="str">
        <f>"9780801825484"</f>
        <v>9780801825484</v>
      </c>
      <c r="AI1374" s="1">
        <v>0.0</v>
      </c>
      <c r="AJ1374" s="1">
        <v>3.98</v>
      </c>
      <c r="AK1374" s="1" t="s">
        <v>1295</v>
      </c>
      <c r="AL1374" s="1" t="s">
        <v>28</v>
      </c>
      <c r="AM1374" s="1">
        <v>416.0</v>
      </c>
      <c r="AN1374" s="1">
        <v>1985.0</v>
      </c>
      <c r="AO1374" s="1">
        <v>1985.0</v>
      </c>
      <c r="AQ1374" s="3">
        <v>45115.0</v>
      </c>
      <c r="AR1374" s="1" t="s">
        <v>31</v>
      </c>
      <c r="AS1374" s="1" t="s">
        <v>6121</v>
      </c>
      <c r="AT1374" s="1" t="s">
        <v>31</v>
      </c>
      <c r="AX1374" s="1">
        <v>0.0</v>
      </c>
      <c r="AY1374" s="1">
        <v>0.0</v>
      </c>
    </row>
    <row r="1375" spans="20:51" ht="15.75" hidden="1">
      <c r="T1375" s="1">
        <v>1042903.0</v>
      </c>
      <c r="U1375" s="1"/>
      <c r="V1375" s="1"/>
      <c r="W1375" s="1"/>
      <c r="X1375" s="1"/>
      <c r="Y1375" s="7" t="s">
        <v>6122</v>
      </c>
      <c r="Z1375" s="1" t="s">
        <v>6123</v>
      </c>
      <c r="AA1375" s="1" t="s">
        <v>6124</v>
      </c>
      <c r="AB1375" s="1"/>
      <c r="AC1375" s="1"/>
      <c r="AD1375" s="1"/>
      <c r="AE1375" s="1"/>
      <c r="AF1375" s="1" t="s">
        <v>6125</v>
      </c>
      <c r="AG1375" s="2" t="str">
        <f>"0713650605"</f>
        <v>0713650605</v>
      </c>
      <c r="AH1375" s="2" t="str">
        <f>"9780713650600"</f>
        <v>9780713650600</v>
      </c>
      <c r="AI1375" s="1">
        <v>0.0</v>
      </c>
      <c r="AJ1375" s="1">
        <v>3.69</v>
      </c>
      <c r="AK1375" s="1" t="s">
        <v>6126</v>
      </c>
      <c r="AL1375" s="1" t="s">
        <v>28</v>
      </c>
      <c r="AM1375" s="1">
        <v>176.0</v>
      </c>
      <c r="AN1375" s="1">
        <v>2008.0</v>
      </c>
      <c r="AO1375" s="1">
        <v>1633.0</v>
      </c>
      <c r="AQ1375" s="3">
        <v>45115.0</v>
      </c>
      <c r="AR1375" s="1" t="s">
        <v>31</v>
      </c>
      <c r="AS1375" s="1" t="s">
        <v>6127</v>
      </c>
      <c r="AT1375" s="1" t="s">
        <v>31</v>
      </c>
      <c r="AX1375" s="1">
        <v>0.0</v>
      </c>
      <c r="AY1375" s="1">
        <v>0.0</v>
      </c>
    </row>
    <row r="1376" spans="20:51" ht="15.75" hidden="1">
      <c r="T1376" s="1">
        <v>123091.0</v>
      </c>
      <c r="U1376" s="1"/>
      <c r="V1376" s="1"/>
      <c r="W1376" s="1"/>
      <c r="X1376" s="1"/>
      <c r="Y1376" s="1" t="s">
        <v>6128</v>
      </c>
      <c r="Z1376" s="1" t="s">
        <v>6129</v>
      </c>
      <c r="AA1376" s="1" t="s">
        <v>6130</v>
      </c>
      <c r="AB1376" s="1"/>
      <c r="AC1376" s="1"/>
      <c r="AD1376" s="1"/>
      <c r="AE1376" s="1"/>
      <c r="AG1376" s="2" t="str">
        <f>"089733356X"</f>
        <v>089733356X</v>
      </c>
      <c r="AH1376" s="2" t="str">
        <f>"9780897333566"</f>
        <v>9780897333566</v>
      </c>
      <c r="AI1376" s="1">
        <v>0.0</v>
      </c>
      <c r="AJ1376" s="1">
        <v>4.09</v>
      </c>
      <c r="AK1376" s="1" t="s">
        <v>6131</v>
      </c>
      <c r="AL1376" s="1" t="s">
        <v>28</v>
      </c>
      <c r="AM1376" s="1">
        <v>592.0</v>
      </c>
      <c r="AN1376" s="1">
        <v>2005.0</v>
      </c>
      <c r="AO1376" s="1">
        <v>1949.0</v>
      </c>
      <c r="AQ1376" s="3">
        <v>45115.0</v>
      </c>
      <c r="AR1376" s="1" t="s">
        <v>31</v>
      </c>
      <c r="AS1376" s="1" t="s">
        <v>6132</v>
      </c>
      <c r="AT1376" s="1" t="s">
        <v>31</v>
      </c>
      <c r="AX1376" s="1">
        <v>0.0</v>
      </c>
      <c r="AY1376" s="1">
        <v>0.0</v>
      </c>
    </row>
    <row r="1377" spans="20:51" ht="15.75" hidden="1">
      <c r="T1377" s="1">
        <v>6087120.0</v>
      </c>
      <c r="U1377" s="1"/>
      <c r="V1377" s="1"/>
      <c r="W1377" s="1"/>
      <c r="X1377" s="1"/>
      <c r="Y1377" s="1" t="s">
        <v>6133</v>
      </c>
      <c r="Z1377" s="1" t="s">
        <v>6134</v>
      </c>
      <c r="AA1377" s="1" t="s">
        <v>6135</v>
      </c>
      <c r="AB1377" s="1"/>
      <c r="AC1377" s="1"/>
      <c r="AD1377" s="1"/>
      <c r="AE1377" s="1"/>
      <c r="AF1377" s="1" t="s">
        <v>6136</v>
      </c>
      <c r="AG1377" s="2" t="str">
        <f>"1879923025"</f>
        <v>1879923025</v>
      </c>
      <c r="AH1377" s="2" t="str">
        <f>"9781879923027"</f>
        <v>9781879923027</v>
      </c>
      <c r="AI1377" s="1">
        <v>0.0</v>
      </c>
      <c r="AJ1377" s="1">
        <v>3.6</v>
      </c>
      <c r="AK1377" s="1" t="s">
        <v>6137</v>
      </c>
      <c r="AL1377" s="1" t="s">
        <v>28</v>
      </c>
      <c r="AM1377" s="1">
        <v>240.0</v>
      </c>
      <c r="AN1377" s="1">
        <v>1993.0</v>
      </c>
      <c r="AO1377" s="1">
        <v>1919.0</v>
      </c>
      <c r="AQ1377" s="3">
        <v>45115.0</v>
      </c>
      <c r="AR1377" s="1" t="s">
        <v>31</v>
      </c>
      <c r="AS1377" s="1" t="s">
        <v>6138</v>
      </c>
      <c r="AT1377" s="1" t="s">
        <v>31</v>
      </c>
      <c r="AX1377" s="1">
        <v>0.0</v>
      </c>
      <c r="AY1377" s="1">
        <v>0.0</v>
      </c>
    </row>
    <row r="1378" spans="20:51" ht="15.75" hidden="1">
      <c r="T1378" s="1">
        <v>129223.0</v>
      </c>
      <c r="U1378" s="1"/>
      <c r="V1378" s="1"/>
      <c r="W1378" s="1"/>
      <c r="X1378" s="1"/>
      <c r="Y1378" s="1" t="s">
        <v>6139</v>
      </c>
      <c r="Z1378" s="1" t="s">
        <v>6140</v>
      </c>
      <c r="AA1378" s="1" t="s">
        <v>6141</v>
      </c>
      <c r="AB1378" s="1"/>
      <c r="AC1378" s="1"/>
      <c r="AD1378" s="1"/>
      <c r="AE1378" s="1"/>
      <c r="AG1378" s="2" t="str">
        <f>"184022455X"</f>
        <v>184022455X</v>
      </c>
      <c r="AH1378" s="2" t="str">
        <f>"9781840224559"</f>
        <v>9781840224559</v>
      </c>
      <c r="AI1378" s="1">
        <v>0.0</v>
      </c>
      <c r="AJ1378" s="1">
        <v>3.73</v>
      </c>
      <c r="AK1378" s="1" t="s">
        <v>6142</v>
      </c>
      <c r="AL1378" s="1" t="s">
        <v>28</v>
      </c>
      <c r="AM1378" s="1">
        <v>448.0</v>
      </c>
      <c r="AN1378" s="1">
        <v>2014.0</v>
      </c>
      <c r="AO1378" s="1">
        <v>1928.0</v>
      </c>
      <c r="AQ1378" s="3">
        <v>45115.0</v>
      </c>
      <c r="AR1378" s="1" t="s">
        <v>31</v>
      </c>
      <c r="AS1378" s="1" t="s">
        <v>6143</v>
      </c>
      <c r="AT1378" s="1" t="s">
        <v>31</v>
      </c>
      <c r="AX1378" s="1">
        <v>0.0</v>
      </c>
      <c r="AY1378" s="1">
        <v>0.0</v>
      </c>
    </row>
    <row r="1379" spans="20:51" ht="15.75" hidden="1">
      <c r="T1379" s="1">
        <v>286957.0</v>
      </c>
      <c r="U1379" s="1"/>
      <c r="V1379" s="1"/>
      <c r="W1379" s="1"/>
      <c r="X1379" s="1"/>
      <c r="Y1379" s="1" t="s">
        <v>6144</v>
      </c>
      <c r="Z1379" s="1" t="s">
        <v>6145</v>
      </c>
      <c r="AA1379" s="1" t="s">
        <v>6146</v>
      </c>
      <c r="AB1379" s="1"/>
      <c r="AC1379" s="1"/>
      <c r="AD1379" s="1"/>
      <c r="AE1379" s="1"/>
      <c r="AF1379" s="1" t="s">
        <v>6147</v>
      </c>
      <c r="AG1379" s="2" t="str">
        <f>"1558611584"</f>
        <v>1558611584</v>
      </c>
      <c r="AH1379" s="2" t="str">
        <f>"9781558611580"</f>
        <v>9781558611580</v>
      </c>
      <c r="AI1379" s="1">
        <v>0.0</v>
      </c>
      <c r="AJ1379" s="1">
        <v>4.1</v>
      </c>
      <c r="AK1379" s="1" t="s">
        <v>2120</v>
      </c>
      <c r="AL1379" s="1" t="s">
        <v>28</v>
      </c>
      <c r="AM1379" s="1">
        <v>64.0</v>
      </c>
      <c r="AN1379" s="1">
        <v>1996.0</v>
      </c>
      <c r="AO1379" s="1">
        <v>1892.0</v>
      </c>
      <c r="AQ1379" s="3">
        <v>45115.0</v>
      </c>
      <c r="AR1379" s="1" t="s">
        <v>31</v>
      </c>
      <c r="AS1379" s="1" t="s">
        <v>6148</v>
      </c>
      <c r="AT1379" s="1" t="s">
        <v>31</v>
      </c>
      <c r="AX1379" s="1">
        <v>0.0</v>
      </c>
      <c r="AY1379" s="1">
        <v>0.0</v>
      </c>
    </row>
    <row r="1380" spans="20:51" ht="15.75" hidden="1">
      <c r="T1380" s="1">
        <v>253.0</v>
      </c>
      <c r="U1380" s="1"/>
      <c r="V1380" s="1"/>
      <c r="W1380" s="1"/>
      <c r="X1380" s="1"/>
      <c r="Y1380" s="1" t="s">
        <v>6149</v>
      </c>
      <c r="Z1380" s="1" t="s">
        <v>4073</v>
      </c>
      <c r="AA1380" s="1" t="s">
        <v>4074</v>
      </c>
      <c r="AB1380" s="1"/>
      <c r="AC1380" s="1"/>
      <c r="AD1380" s="1"/>
      <c r="AE1380" s="1"/>
      <c r="AG1380" s="2" t="str">
        <f>"0811201066"</f>
        <v>0811201066</v>
      </c>
      <c r="AH1380" s="2" t="str">
        <f>"9780811201063"</f>
        <v>9780811201063</v>
      </c>
      <c r="AI1380" s="1">
        <v>0.0</v>
      </c>
      <c r="AJ1380" s="1">
        <v>3.82</v>
      </c>
      <c r="AK1380" s="1" t="s">
        <v>95</v>
      </c>
      <c r="AL1380" s="1" t="s">
        <v>28</v>
      </c>
      <c r="AM1380" s="1">
        <v>292.0</v>
      </c>
      <c r="AN1380" s="1">
        <v>1970.0</v>
      </c>
      <c r="AO1380" s="1">
        <v>1945.0</v>
      </c>
      <c r="AQ1380" s="3">
        <v>45115.0</v>
      </c>
      <c r="AR1380" s="1" t="s">
        <v>31</v>
      </c>
      <c r="AS1380" s="1" t="s">
        <v>6150</v>
      </c>
      <c r="AT1380" s="1" t="s">
        <v>31</v>
      </c>
      <c r="AX1380" s="1">
        <v>0.0</v>
      </c>
      <c r="AY1380" s="1">
        <v>0.0</v>
      </c>
    </row>
    <row r="1381" spans="20:51" ht="15.75" hidden="1">
      <c r="T1381" s="1">
        <v>1382866.0</v>
      </c>
      <c r="U1381" s="1"/>
      <c r="V1381" s="1"/>
      <c r="W1381" s="1"/>
      <c r="X1381" s="1"/>
      <c r="Y1381" s="1" t="s">
        <v>6151</v>
      </c>
      <c r="Z1381" s="1" t="s">
        <v>5314</v>
      </c>
      <c r="AA1381" s="1" t="s">
        <v>5315</v>
      </c>
      <c r="AB1381" s="1"/>
      <c r="AC1381" s="1"/>
      <c r="AD1381" s="1"/>
      <c r="AE1381" s="1"/>
      <c r="AF1381" s="1" t="s">
        <v>6152</v>
      </c>
      <c r="AG1381" s="2" t="str">
        <f>"0850362296"</f>
        <v>0850362296</v>
      </c>
      <c r="AH1381" s="2" t="str">
        <f>"9780850362299"</f>
        <v>9780850362299</v>
      </c>
      <c r="AI1381" s="1">
        <v>0.0</v>
      </c>
      <c r="AJ1381" s="1">
        <v>4.39</v>
      </c>
      <c r="AK1381" s="1" t="s">
        <v>6153</v>
      </c>
      <c r="AL1381" s="1" t="s">
        <v>28</v>
      </c>
      <c r="AM1381" s="1">
        <v>559.0</v>
      </c>
      <c r="AN1381" s="1">
        <v>1977.0</v>
      </c>
      <c r="AO1381" s="1">
        <v>1963.0</v>
      </c>
      <c r="AQ1381" s="3">
        <v>45115.0</v>
      </c>
      <c r="AR1381" s="1" t="s">
        <v>31</v>
      </c>
      <c r="AS1381" s="1" t="s">
        <v>6154</v>
      </c>
      <c r="AT1381" s="1" t="s">
        <v>31</v>
      </c>
      <c r="AX1381" s="1">
        <v>0.0</v>
      </c>
      <c r="AY1381" s="1">
        <v>0.0</v>
      </c>
    </row>
    <row r="1382" spans="20:51" ht="15.75" hidden="1">
      <c r="T1382" s="1">
        <v>54218.0</v>
      </c>
      <c r="U1382" s="1"/>
      <c r="V1382" s="1"/>
      <c r="W1382" s="1"/>
      <c r="X1382" s="1"/>
      <c r="Y1382" s="1" t="s">
        <v>6155</v>
      </c>
      <c r="Z1382" s="1" t="s">
        <v>6156</v>
      </c>
      <c r="AA1382" s="1" t="s">
        <v>6157</v>
      </c>
      <c r="AB1382" s="1"/>
      <c r="AC1382" s="1"/>
      <c r="AD1382" s="1"/>
      <c r="AE1382" s="1"/>
      <c r="AG1382" s="2" t="str">
        <f>"0393314251"</f>
        <v>0393314251</v>
      </c>
      <c r="AH1382" s="2" t="str">
        <f>"9780393314250"</f>
        <v>9780393314250</v>
      </c>
      <c r="AI1382" s="1">
        <v>0.0</v>
      </c>
      <c r="AJ1382" s="1">
        <v>4.05</v>
      </c>
      <c r="AK1382" s="1" t="s">
        <v>113</v>
      </c>
      <c r="AL1382" s="1" t="s">
        <v>28</v>
      </c>
      <c r="AM1382" s="1">
        <v>446.0</v>
      </c>
      <c r="AN1382" s="1">
        <v>1996.0</v>
      </c>
      <c r="AO1382" s="1">
        <v>1982.0</v>
      </c>
      <c r="AQ1382" s="3">
        <v>45115.0</v>
      </c>
      <c r="AR1382" s="1" t="s">
        <v>31</v>
      </c>
      <c r="AS1382" s="1" t="s">
        <v>6158</v>
      </c>
      <c r="AT1382" s="1" t="s">
        <v>31</v>
      </c>
      <c r="AX1382" s="1">
        <v>0.0</v>
      </c>
      <c r="AY1382" s="1">
        <v>0.0</v>
      </c>
    </row>
    <row r="1383" spans="20:51" ht="15.75" hidden="1">
      <c r="T1383" s="1">
        <v>250693.0</v>
      </c>
      <c r="U1383" s="1"/>
      <c r="V1383" s="1"/>
      <c r="W1383" s="1"/>
      <c r="X1383" s="1"/>
      <c r="Y1383" s="1" t="s">
        <v>6159</v>
      </c>
      <c r="Z1383" s="1" t="s">
        <v>6160</v>
      </c>
      <c r="AA1383" s="1" t="s">
        <v>6161</v>
      </c>
      <c r="AB1383" s="1"/>
      <c r="AC1383" s="1"/>
      <c r="AD1383" s="1"/>
      <c r="AE1383" s="1"/>
      <c r="AG1383" s="2" t="str">
        <f>"0865473366"</f>
        <v>0865473366</v>
      </c>
      <c r="AH1383" s="2" t="str">
        <f>"9780865473362"</f>
        <v>9780865473362</v>
      </c>
      <c r="AI1383" s="1">
        <v>0.0</v>
      </c>
      <c r="AJ1383" s="1">
        <v>4.16</v>
      </c>
      <c r="AK1383" s="1" t="s">
        <v>6162</v>
      </c>
      <c r="AL1383" s="1" t="s">
        <v>28</v>
      </c>
      <c r="AM1383" s="1">
        <v>202.0</v>
      </c>
      <c r="AN1383" s="1">
        <v>1988.0</v>
      </c>
      <c r="AO1383" s="1">
        <v>1942.0</v>
      </c>
      <c r="AQ1383" s="3">
        <v>45115.0</v>
      </c>
      <c r="AR1383" s="1" t="s">
        <v>31</v>
      </c>
      <c r="AS1383" s="1" t="s">
        <v>6163</v>
      </c>
      <c r="AT1383" s="1" t="s">
        <v>31</v>
      </c>
      <c r="AX1383" s="1">
        <v>0.0</v>
      </c>
      <c r="AY1383" s="1">
        <v>0.0</v>
      </c>
    </row>
    <row r="1384" spans="20:51" ht="15.75" hidden="1">
      <c r="T1384" s="1">
        <v>765167.0</v>
      </c>
      <c r="U1384" s="1"/>
      <c r="V1384" s="1"/>
      <c r="W1384" s="1"/>
      <c r="X1384" s="1"/>
      <c r="Y1384" s="1" t="s">
        <v>6164</v>
      </c>
      <c r="Z1384" s="1" t="s">
        <v>6165</v>
      </c>
      <c r="AA1384" s="1" t="s">
        <v>6166</v>
      </c>
      <c r="AB1384" s="1"/>
      <c r="AC1384" s="1"/>
      <c r="AD1384" s="1"/>
      <c r="AE1384" s="1"/>
      <c r="AG1384" s="2" t="str">
        <f>"081120037X"</f>
        <v>081120037X</v>
      </c>
      <c r="AH1384" s="2" t="str">
        <f>"9780811200370"</f>
        <v>9780811200370</v>
      </c>
      <c r="AI1384" s="1">
        <v>0.0</v>
      </c>
      <c r="AJ1384" s="1">
        <v>3.82</v>
      </c>
      <c r="AK1384" s="1" t="s">
        <v>95</v>
      </c>
      <c r="AL1384" s="1" t="s">
        <v>28</v>
      </c>
      <c r="AM1384" s="1">
        <v>256.0</v>
      </c>
      <c r="AN1384" s="1">
        <v>1966.0</v>
      </c>
      <c r="AO1384" s="1">
        <v>1930.0</v>
      </c>
      <c r="AQ1384" s="3">
        <v>45115.0</v>
      </c>
      <c r="AR1384" s="1" t="s">
        <v>31</v>
      </c>
      <c r="AS1384" s="1" t="s">
        <v>6167</v>
      </c>
      <c r="AT1384" s="1" t="s">
        <v>31</v>
      </c>
      <c r="AX1384" s="1">
        <v>0.0</v>
      </c>
      <c r="AY1384" s="1">
        <v>0.0</v>
      </c>
    </row>
    <row r="1385" spans="20:51" ht="15.75" hidden="1">
      <c r="T1385" s="1">
        <v>245831.0</v>
      </c>
      <c r="U1385" s="1"/>
      <c r="V1385" s="1"/>
      <c r="W1385" s="1"/>
      <c r="X1385" s="1"/>
      <c r="Y1385" s="1" t="s">
        <v>6168</v>
      </c>
      <c r="Z1385" s="1" t="s">
        <v>6169</v>
      </c>
      <c r="AA1385" s="1" t="s">
        <v>6170</v>
      </c>
      <c r="AB1385" s="1"/>
      <c r="AC1385" s="1"/>
      <c r="AD1385" s="1"/>
      <c r="AE1385" s="1"/>
      <c r="AG1385" s="2" t="str">
        <f>"0226950018"</f>
        <v>0226950018</v>
      </c>
      <c r="AH1385" s="2" t="str">
        <f>"9780226950013"</f>
        <v>9780226950013</v>
      </c>
      <c r="AI1385" s="1">
        <v>0.0</v>
      </c>
      <c r="AJ1385" s="1">
        <v>4.16</v>
      </c>
      <c r="AK1385" s="1" t="s">
        <v>224</v>
      </c>
      <c r="AL1385" s="1" t="s">
        <v>28</v>
      </c>
      <c r="AM1385" s="1">
        <v>400.0</v>
      </c>
      <c r="AN1385" s="1">
        <v>2001.0</v>
      </c>
      <c r="AO1385" s="1">
        <v>1966.0</v>
      </c>
      <c r="AQ1385" s="3">
        <v>45115.0</v>
      </c>
      <c r="AR1385" s="1" t="s">
        <v>31</v>
      </c>
      <c r="AS1385" s="1" t="s">
        <v>6171</v>
      </c>
      <c r="AT1385" s="1" t="s">
        <v>31</v>
      </c>
      <c r="AX1385" s="1">
        <v>0.0</v>
      </c>
      <c r="AY1385" s="1">
        <v>0.0</v>
      </c>
    </row>
    <row r="1386" spans="20:51" ht="15.75" hidden="1">
      <c r="T1386" s="1">
        <v>862835.0</v>
      </c>
      <c r="U1386" s="1"/>
      <c r="V1386" s="1"/>
      <c r="W1386" s="1"/>
      <c r="X1386" s="1"/>
      <c r="Y1386" s="1" t="s">
        <v>6172</v>
      </c>
      <c r="Z1386" s="1" t="s">
        <v>6173</v>
      </c>
      <c r="AA1386" s="1" t="s">
        <v>6174</v>
      </c>
      <c r="AB1386" s="1"/>
      <c r="AC1386" s="1"/>
      <c r="AD1386" s="1"/>
      <c r="AE1386" s="1"/>
      <c r="AG1386" s="2" t="str">
        <f>"0520003276"</f>
        <v>0520003276</v>
      </c>
      <c r="AH1386" s="2" t="str">
        <f>"9780520003279"</f>
        <v>9780520003279</v>
      </c>
      <c r="AI1386" s="1">
        <v>0.0</v>
      </c>
      <c r="AJ1386" s="1">
        <v>4.2</v>
      </c>
      <c r="AK1386" s="1" t="s">
        <v>1306</v>
      </c>
      <c r="AL1386" s="1" t="s">
        <v>28</v>
      </c>
      <c r="AM1386" s="1">
        <v>327.0</v>
      </c>
      <c r="AN1386" s="1">
        <v>1962.0</v>
      </c>
      <c r="AO1386" s="1">
        <v>1951.0</v>
      </c>
      <c r="AQ1386" s="3">
        <v>45115.0</v>
      </c>
      <c r="AR1386" s="1" t="s">
        <v>31</v>
      </c>
      <c r="AS1386" s="1" t="s">
        <v>6175</v>
      </c>
      <c r="AT1386" s="1" t="s">
        <v>31</v>
      </c>
      <c r="AX1386" s="1">
        <v>0.0</v>
      </c>
      <c r="AY1386" s="1">
        <v>0.0</v>
      </c>
    </row>
    <row r="1387" spans="20:51" ht="15.75" hidden="1">
      <c r="T1387" s="1">
        <v>76485.0</v>
      </c>
      <c r="U1387" s="1"/>
      <c r="V1387" s="1"/>
      <c r="W1387" s="1"/>
      <c r="X1387" s="1"/>
      <c r="Y1387" s="1" t="s">
        <v>6176</v>
      </c>
      <c r="Z1387" s="1" t="s">
        <v>6177</v>
      </c>
      <c r="AA1387" s="1" t="s">
        <v>6178</v>
      </c>
      <c r="AB1387" s="1"/>
      <c r="AC1387" s="1"/>
      <c r="AD1387" s="1"/>
      <c r="AE1387" s="1"/>
      <c r="AG1387" s="2" t="str">
        <f>"0316735051"</f>
        <v>0316735051</v>
      </c>
      <c r="AH1387" s="2" t="str">
        <f>"9780316735056"</f>
        <v>9780316735056</v>
      </c>
      <c r="AI1387" s="1">
        <v>0.0</v>
      </c>
      <c r="AJ1387" s="1">
        <v>3.24</v>
      </c>
      <c r="AK1387" s="1" t="s">
        <v>1717</v>
      </c>
      <c r="AL1387" s="1" t="s">
        <v>28</v>
      </c>
      <c r="AM1387" s="1">
        <v>192.0</v>
      </c>
      <c r="AN1387" s="1">
        <v>2003.0</v>
      </c>
      <c r="AO1387" s="1">
        <v>1998.0</v>
      </c>
      <c r="AQ1387" s="3">
        <v>45115.0</v>
      </c>
      <c r="AR1387" s="1" t="s">
        <v>31</v>
      </c>
      <c r="AS1387" s="1" t="s">
        <v>6179</v>
      </c>
      <c r="AT1387" s="1" t="s">
        <v>31</v>
      </c>
      <c r="AX1387" s="1">
        <v>0.0</v>
      </c>
      <c r="AY1387" s="1">
        <v>0.0</v>
      </c>
    </row>
    <row r="1388" spans="20:51" ht="15.75" hidden="1">
      <c r="T1388" s="1">
        <v>1787444.0</v>
      </c>
      <c r="U1388" s="1"/>
      <c r="V1388" s="1"/>
      <c r="W1388" s="1"/>
      <c r="X1388" s="1"/>
      <c r="Y1388" s="1" t="s">
        <v>6180</v>
      </c>
      <c r="Z1388" s="1" t="s">
        <v>6181</v>
      </c>
      <c r="AA1388" s="1" t="s">
        <v>6182</v>
      </c>
      <c r="AB1388" s="1"/>
      <c r="AC1388" s="1"/>
      <c r="AD1388" s="1"/>
      <c r="AE1388" s="1"/>
      <c r="AG1388" s="2" t="str">
        <f>"0140036164"</f>
        <v>0140036164</v>
      </c>
      <c r="AH1388" s="2" t="str">
        <f>"9780140036169"</f>
        <v>9780140036169</v>
      </c>
      <c r="AI1388" s="1">
        <v>0.0</v>
      </c>
      <c r="AJ1388" s="1">
        <v>4.09</v>
      </c>
      <c r="AK1388" s="1" t="s">
        <v>6183</v>
      </c>
      <c r="AL1388" s="1" t="s">
        <v>28</v>
      </c>
      <c r="AM1388" s="1">
        <v>576.0</v>
      </c>
      <c r="AN1388" s="1">
        <v>1973.0</v>
      </c>
      <c r="AO1388" s="1">
        <v>1960.0</v>
      </c>
      <c r="AQ1388" s="3">
        <v>45115.0</v>
      </c>
      <c r="AR1388" s="1" t="s">
        <v>31</v>
      </c>
      <c r="AS1388" s="1" t="s">
        <v>6184</v>
      </c>
      <c r="AT1388" s="1" t="s">
        <v>31</v>
      </c>
      <c r="AX1388" s="1">
        <v>0.0</v>
      </c>
      <c r="AY1388" s="1">
        <v>0.0</v>
      </c>
    </row>
    <row r="1389" spans="20:51" ht="15.75" hidden="1">
      <c r="T1389" s="1">
        <v>775939.0</v>
      </c>
      <c r="U1389" s="1"/>
      <c r="V1389" s="1"/>
      <c r="W1389" s="1"/>
      <c r="X1389" s="1"/>
      <c r="Y1389" s="1" t="s">
        <v>6185</v>
      </c>
      <c r="Z1389" s="1" t="s">
        <v>6186</v>
      </c>
      <c r="AA1389" s="1" t="s">
        <v>6187</v>
      </c>
      <c r="AB1389" s="1"/>
      <c r="AC1389" s="1"/>
      <c r="AD1389" s="1"/>
      <c r="AE1389" s="1"/>
      <c r="AG1389" s="2" t="str">
        <f>"0262581833"</f>
        <v>0262581833</v>
      </c>
      <c r="AH1389" s="2" t="str">
        <f>"9780262581837"</f>
        <v>9780262581837</v>
      </c>
      <c r="AI1389" s="1">
        <v>0.0</v>
      </c>
      <c r="AJ1389" s="1">
        <v>4.15</v>
      </c>
      <c r="AK1389" s="1" t="s">
        <v>2366</v>
      </c>
      <c r="AL1389" s="1" t="s">
        <v>28</v>
      </c>
      <c r="AM1389" s="1">
        <v>192.0</v>
      </c>
      <c r="AN1389" s="1">
        <v>2000.0</v>
      </c>
      <c r="AO1389" s="1">
        <v>1977.0</v>
      </c>
      <c r="AQ1389" s="3">
        <v>45115.0</v>
      </c>
      <c r="AR1389" s="1" t="s">
        <v>31</v>
      </c>
      <c r="AS1389" s="1" t="s">
        <v>6188</v>
      </c>
      <c r="AT1389" s="1" t="s">
        <v>31</v>
      </c>
      <c r="AX1389" s="1">
        <v>0.0</v>
      </c>
      <c r="AY1389" s="1">
        <v>0.0</v>
      </c>
    </row>
    <row r="1390" spans="20:51" ht="15.75" hidden="1">
      <c r="T1390" s="1">
        <v>219601.0</v>
      </c>
      <c r="U1390" s="1"/>
      <c r="V1390" s="1"/>
      <c r="W1390" s="1"/>
      <c r="X1390" s="1"/>
      <c r="Y1390" s="1" t="s">
        <v>6189</v>
      </c>
      <c r="Z1390" s="1" t="s">
        <v>6190</v>
      </c>
      <c r="AA1390" s="1" t="s">
        <v>6191</v>
      </c>
      <c r="AB1390" s="1"/>
      <c r="AC1390" s="1"/>
      <c r="AD1390" s="1"/>
      <c r="AE1390" s="1"/>
      <c r="AF1390" s="1" t="s">
        <v>6192</v>
      </c>
      <c r="AG1390" s="2" t="str">
        <f>"193361806X"</f>
        <v>193361806X</v>
      </c>
      <c r="AH1390" s="2" t="str">
        <f>"9781933618067"</f>
        <v>9781933618067</v>
      </c>
      <c r="AI1390" s="1">
        <v>0.0</v>
      </c>
      <c r="AJ1390" s="1">
        <v>4.09</v>
      </c>
      <c r="AK1390" s="1" t="s">
        <v>6193</v>
      </c>
      <c r="AL1390" s="1" t="s">
        <v>28</v>
      </c>
      <c r="AM1390" s="1">
        <v>224.0</v>
      </c>
      <c r="AN1390" s="1">
        <v>2006.0</v>
      </c>
      <c r="AO1390" s="1">
        <v>1964.0</v>
      </c>
      <c r="AQ1390" s="3">
        <v>45115.0</v>
      </c>
      <c r="AR1390" s="1" t="s">
        <v>31</v>
      </c>
      <c r="AS1390" s="1" t="s">
        <v>6194</v>
      </c>
      <c r="AT1390" s="1" t="s">
        <v>31</v>
      </c>
      <c r="AX1390" s="1">
        <v>0.0</v>
      </c>
      <c r="AY1390" s="1">
        <v>0.0</v>
      </c>
    </row>
    <row r="1391" spans="20:51" ht="15.75" hidden="1">
      <c r="T1391" s="1">
        <v>48037.0</v>
      </c>
      <c r="U1391" s="1"/>
      <c r="V1391" s="1"/>
      <c r="W1391" s="1"/>
      <c r="X1391" s="1"/>
      <c r="Y1391" s="1" t="s">
        <v>6195</v>
      </c>
      <c r="Z1391" s="1" t="s">
        <v>6196</v>
      </c>
      <c r="AA1391" s="1" t="s">
        <v>6197</v>
      </c>
      <c r="AB1391" s="1"/>
      <c r="AC1391" s="1"/>
      <c r="AD1391" s="1"/>
      <c r="AE1391" s="1"/>
      <c r="AF1391" s="1" t="s">
        <v>6198</v>
      </c>
      <c r="AG1391" s="2" t="str">
        <f>"0809510839"</f>
        <v>0809510839</v>
      </c>
      <c r="AH1391" s="2" t="str">
        <f>"9780809510832"</f>
        <v>9780809510832</v>
      </c>
      <c r="AI1391" s="1">
        <v>0.0</v>
      </c>
      <c r="AJ1391" s="1">
        <v>3.85</v>
      </c>
      <c r="AK1391" s="1" t="s">
        <v>6199</v>
      </c>
      <c r="AL1391" s="1" t="s">
        <v>28</v>
      </c>
      <c r="AM1391" s="1">
        <v>108.0</v>
      </c>
      <c r="AN1391" s="1">
        <v>2000.0</v>
      </c>
      <c r="AO1391" s="1">
        <v>1872.0</v>
      </c>
      <c r="AQ1391" s="3">
        <v>45115.0</v>
      </c>
      <c r="AR1391" s="1" t="s">
        <v>31</v>
      </c>
      <c r="AS1391" s="1" t="s">
        <v>6200</v>
      </c>
      <c r="AT1391" s="1" t="s">
        <v>31</v>
      </c>
      <c r="AX1391" s="1">
        <v>0.0</v>
      </c>
      <c r="AY1391" s="1">
        <v>0.0</v>
      </c>
    </row>
    <row r="1392" spans="20:51" ht="15.75" hidden="1">
      <c r="T1392" s="1">
        <v>1.2390139E7</v>
      </c>
      <c r="U1392" s="1"/>
      <c r="V1392" s="1"/>
      <c r="W1392" s="1"/>
      <c r="X1392" s="1"/>
      <c r="Y1392" s="1" t="s">
        <v>6201</v>
      </c>
      <c r="Z1392" s="1" t="s">
        <v>6202</v>
      </c>
      <c r="AA1392" s="1" t="s">
        <v>6203</v>
      </c>
      <c r="AB1392" s="1"/>
      <c r="AC1392" s="1"/>
      <c r="AD1392" s="1"/>
      <c r="AE1392" s="1"/>
      <c r="AG1392" s="2" t="str">
        <f>"6077646083"</f>
        <v>6077646083</v>
      </c>
      <c r="AH1392" s="2" t="str">
        <f>"9786077646082"</f>
        <v>9786077646082</v>
      </c>
      <c r="AI1392" s="1">
        <v>0.0</v>
      </c>
      <c r="AJ1392" s="1">
        <v>4.05</v>
      </c>
      <c r="AK1392" s="1" t="s">
        <v>6204</v>
      </c>
      <c r="AL1392" s="1" t="s">
        <v>28</v>
      </c>
      <c r="AN1392" s="1">
        <v>2009.0</v>
      </c>
      <c r="AQ1392" s="3">
        <v>45115.0</v>
      </c>
      <c r="AR1392" s="1" t="s">
        <v>31</v>
      </c>
      <c r="AS1392" s="1" t="s">
        <v>6205</v>
      </c>
      <c r="AT1392" s="1" t="s">
        <v>31</v>
      </c>
      <c r="AX1392" s="1">
        <v>0.0</v>
      </c>
      <c r="AY1392" s="1">
        <v>0.0</v>
      </c>
    </row>
    <row r="1393" spans="20:51" ht="15.75" hidden="1">
      <c r="T1393" s="1">
        <v>259655.0</v>
      </c>
      <c r="U1393" s="1"/>
      <c r="V1393" s="1"/>
      <c r="W1393" s="1"/>
      <c r="X1393" s="1"/>
      <c r="Y1393" s="1" t="s">
        <v>6206</v>
      </c>
      <c r="Z1393" s="1" t="s">
        <v>6207</v>
      </c>
      <c r="AA1393" s="1" t="s">
        <v>6208</v>
      </c>
      <c r="AB1393" s="1"/>
      <c r="AC1393" s="1"/>
      <c r="AD1393" s="1"/>
      <c r="AE1393" s="1"/>
      <c r="AF1393" s="1" t="s">
        <v>1893</v>
      </c>
      <c r="AG1393" s="2" t="str">
        <f>"081011514X"</f>
        <v>081011514X</v>
      </c>
      <c r="AH1393" s="2" t="str">
        <f>"9780810115149"</f>
        <v>9780810115149</v>
      </c>
      <c r="AI1393" s="1">
        <v>0.0</v>
      </c>
      <c r="AJ1393" s="1">
        <v>4.08</v>
      </c>
      <c r="AK1393" s="1" t="s">
        <v>1894</v>
      </c>
      <c r="AL1393" s="1" t="s">
        <v>28</v>
      </c>
      <c r="AM1393" s="1">
        <v>199.0</v>
      </c>
      <c r="AN1393" s="1">
        <v>1998.0</v>
      </c>
      <c r="AO1393" s="1">
        <v>1983.0</v>
      </c>
      <c r="AQ1393" s="3">
        <v>45115.0</v>
      </c>
      <c r="AR1393" s="1" t="s">
        <v>31</v>
      </c>
      <c r="AS1393" s="1" t="s">
        <v>6209</v>
      </c>
      <c r="AT1393" s="1" t="s">
        <v>31</v>
      </c>
      <c r="AX1393" s="1">
        <v>0.0</v>
      </c>
      <c r="AY1393" s="1">
        <v>0.0</v>
      </c>
    </row>
    <row r="1394" spans="20:51" ht="15.75" hidden="1">
      <c r="T1394" s="1">
        <v>59561.0</v>
      </c>
      <c r="U1394" s="1"/>
      <c r="V1394" s="1"/>
      <c r="W1394" s="1"/>
      <c r="X1394" s="1"/>
      <c r="Y1394" s="1" t="s">
        <v>6210</v>
      </c>
      <c r="Z1394" s="1" t="s">
        <v>6211</v>
      </c>
      <c r="AA1394" s="1" t="s">
        <v>6212</v>
      </c>
      <c r="AB1394" s="1"/>
      <c r="AC1394" s="1"/>
      <c r="AD1394" s="1"/>
      <c r="AE1394" s="1"/>
      <c r="AF1394" s="1" t="s">
        <v>6213</v>
      </c>
      <c r="AG1394" s="2" t="str">
        <f>"1933693002"</f>
        <v>1933693002</v>
      </c>
      <c r="AH1394" s="2" t="str">
        <f>"9781933693002"</f>
        <v>9781933693002</v>
      </c>
      <c r="AI1394" s="1">
        <v>0.0</v>
      </c>
      <c r="AJ1394" s="1">
        <v>3.89</v>
      </c>
      <c r="AK1394" s="1" t="s">
        <v>6214</v>
      </c>
      <c r="AL1394" s="1" t="s">
        <v>28</v>
      </c>
      <c r="AM1394" s="1">
        <v>240.0</v>
      </c>
      <c r="AN1394" s="1">
        <v>2006.0</v>
      </c>
      <c r="AO1394" s="1">
        <v>1986.0</v>
      </c>
      <c r="AQ1394" s="3">
        <v>45115.0</v>
      </c>
      <c r="AR1394" s="1" t="s">
        <v>31</v>
      </c>
      <c r="AS1394" s="1" t="s">
        <v>6215</v>
      </c>
      <c r="AT1394" s="1" t="s">
        <v>31</v>
      </c>
      <c r="AX1394" s="1">
        <v>0.0</v>
      </c>
      <c r="AY1394" s="1">
        <v>0.0</v>
      </c>
    </row>
    <row r="1395" spans="20:51" ht="15.75" hidden="1">
      <c r="T1395" s="1">
        <v>9632051.0</v>
      </c>
      <c r="U1395" s="1"/>
      <c r="V1395" s="1"/>
      <c r="W1395" s="1"/>
      <c r="X1395" s="1"/>
      <c r="Y1395" s="1" t="s">
        <v>6216</v>
      </c>
      <c r="Z1395" s="1" t="s">
        <v>6217</v>
      </c>
      <c r="AA1395" s="1" t="s">
        <v>6218</v>
      </c>
      <c r="AB1395" s="1"/>
      <c r="AC1395" s="1"/>
      <c r="AD1395" s="1"/>
      <c r="AE1395" s="1"/>
      <c r="AF1395" s="1" t="s">
        <v>6219</v>
      </c>
      <c r="AG1395" s="2" t="str">
        <f>"1564786277"</f>
        <v>1564786277</v>
      </c>
      <c r="AH1395" s="2" t="str">
        <f>"9781564786272"</f>
        <v>9781564786272</v>
      </c>
      <c r="AI1395" s="1">
        <v>0.0</v>
      </c>
      <c r="AJ1395" s="1">
        <v>4.1</v>
      </c>
      <c r="AK1395" s="1" t="s">
        <v>27</v>
      </c>
      <c r="AL1395" s="1" t="s">
        <v>28</v>
      </c>
      <c r="AM1395" s="1">
        <v>342.0</v>
      </c>
      <c r="AN1395" s="1">
        <v>2011.0</v>
      </c>
      <c r="AO1395" s="1">
        <v>2007.0</v>
      </c>
      <c r="AQ1395" s="3">
        <v>45115.0</v>
      </c>
      <c r="AR1395" s="1" t="s">
        <v>31</v>
      </c>
      <c r="AS1395" s="1" t="s">
        <v>6220</v>
      </c>
      <c r="AT1395" s="1" t="s">
        <v>31</v>
      </c>
      <c r="AX1395" s="1">
        <v>0.0</v>
      </c>
      <c r="AY1395" s="1">
        <v>0.0</v>
      </c>
    </row>
    <row r="1396" spans="20:51" ht="15.75" hidden="1">
      <c r="T1396" s="1">
        <v>3.8496507E7</v>
      </c>
      <c r="U1396" s="1"/>
      <c r="V1396" s="1"/>
      <c r="W1396" s="1"/>
      <c r="X1396" s="1"/>
      <c r="Y1396" s="1" t="s">
        <v>6221</v>
      </c>
      <c r="Z1396" s="1" t="s">
        <v>6222</v>
      </c>
      <c r="AA1396" s="1" t="s">
        <v>6223</v>
      </c>
      <c r="AB1396" s="1"/>
      <c r="AC1396" s="1"/>
      <c r="AD1396" s="1"/>
      <c r="AE1396" s="1"/>
      <c r="AG1396" s="2" t="str">
        <f>"0143131621"</f>
        <v>0143131621</v>
      </c>
      <c r="AH1396" s="2" t="str">
        <f>"9780143131625"</f>
        <v>9780143131625</v>
      </c>
      <c r="AI1396" s="1">
        <v>0.0</v>
      </c>
      <c r="AJ1396" s="1">
        <v>3.64</v>
      </c>
      <c r="AK1396" s="1" t="s">
        <v>232</v>
      </c>
      <c r="AL1396" s="1" t="s">
        <v>28</v>
      </c>
      <c r="AM1396" s="1">
        <v>304.0</v>
      </c>
      <c r="AN1396" s="1">
        <v>2018.0</v>
      </c>
      <c r="AO1396" s="1">
        <v>2018.0</v>
      </c>
      <c r="AQ1396" s="3">
        <v>45114.0</v>
      </c>
      <c r="AR1396" s="1" t="s">
        <v>31</v>
      </c>
      <c r="AS1396" s="1" t="s">
        <v>6224</v>
      </c>
      <c r="AT1396" s="1" t="s">
        <v>31</v>
      </c>
      <c r="AX1396" s="1">
        <v>0.0</v>
      </c>
      <c r="AY1396" s="1">
        <v>0.0</v>
      </c>
    </row>
    <row r="1397" spans="20:51" ht="15.75" hidden="1">
      <c r="T1397" s="1">
        <v>5.1704141E7</v>
      </c>
      <c r="U1397" s="1"/>
      <c r="V1397" s="1"/>
      <c r="W1397" s="1"/>
      <c r="X1397" s="1"/>
      <c r="Y1397" s="1" t="s">
        <v>6225</v>
      </c>
      <c r="Z1397" s="1" t="s">
        <v>6226</v>
      </c>
      <c r="AA1397" s="1" t="s">
        <v>6227</v>
      </c>
      <c r="AB1397" s="1"/>
      <c r="AC1397" s="1"/>
      <c r="AD1397" s="1"/>
      <c r="AE1397" s="1"/>
      <c r="AG1397" s="2" t="str">
        <f>"0143135473"</f>
        <v>0143135473</v>
      </c>
      <c r="AH1397" s="2" t="str">
        <f>"9780143135470"</f>
        <v>9780143135470</v>
      </c>
      <c r="AI1397" s="1">
        <v>0.0</v>
      </c>
      <c r="AJ1397" s="1">
        <v>3.44</v>
      </c>
      <c r="AK1397" s="1" t="s">
        <v>232</v>
      </c>
      <c r="AL1397" s="1" t="s">
        <v>28</v>
      </c>
      <c r="AM1397" s="1">
        <v>336.0</v>
      </c>
      <c r="AN1397" s="1">
        <v>2020.0</v>
      </c>
      <c r="AO1397" s="1">
        <v>2020.0</v>
      </c>
      <c r="AQ1397" s="3">
        <v>45114.0</v>
      </c>
      <c r="AR1397" s="1" t="s">
        <v>31</v>
      </c>
      <c r="AS1397" s="1" t="s">
        <v>6228</v>
      </c>
      <c r="AT1397" s="1" t="s">
        <v>31</v>
      </c>
      <c r="AX1397" s="1">
        <v>0.0</v>
      </c>
      <c r="AY1397" s="1">
        <v>0.0</v>
      </c>
    </row>
    <row r="1398" spans="20:51" ht="15.75" hidden="1">
      <c r="T1398" s="1">
        <v>2.1535268E7</v>
      </c>
      <c r="U1398" s="1"/>
      <c r="V1398" s="1"/>
      <c r="W1398" s="1"/>
      <c r="X1398" s="1"/>
      <c r="Y1398" s="1" t="s">
        <v>6229</v>
      </c>
      <c r="Z1398" s="1" t="s">
        <v>6230</v>
      </c>
      <c r="AA1398" s="1" t="s">
        <v>6231</v>
      </c>
      <c r="AB1398" s="1"/>
      <c r="AC1398" s="1"/>
      <c r="AD1398" s="1"/>
      <c r="AE1398" s="1"/>
      <c r="AG1398" s="2" t="str">
        <f>"014310618X"</f>
        <v>014310618X</v>
      </c>
      <c r="AH1398" s="2" t="str">
        <f>"9780143106180"</f>
        <v>9780143106180</v>
      </c>
      <c r="AI1398" s="1">
        <v>0.0</v>
      </c>
      <c r="AJ1398" s="1">
        <v>3.53</v>
      </c>
      <c r="AK1398" s="1" t="s">
        <v>232</v>
      </c>
      <c r="AL1398" s="1" t="s">
        <v>28</v>
      </c>
      <c r="AM1398" s="1">
        <v>319.0</v>
      </c>
      <c r="AN1398" s="1">
        <v>2014.0</v>
      </c>
      <c r="AO1398" s="1">
        <v>2014.0</v>
      </c>
      <c r="AQ1398" s="3">
        <v>45114.0</v>
      </c>
      <c r="AR1398" s="1" t="s">
        <v>31</v>
      </c>
      <c r="AS1398" s="1" t="s">
        <v>6232</v>
      </c>
      <c r="AT1398" s="1" t="s">
        <v>31</v>
      </c>
      <c r="AX1398" s="1">
        <v>0.0</v>
      </c>
      <c r="AY1398" s="1">
        <v>0.0</v>
      </c>
    </row>
    <row r="1399" spans="20:51" ht="15.75" hidden="1">
      <c r="T1399" s="1">
        <v>9814.0</v>
      </c>
      <c r="U1399" s="1"/>
      <c r="V1399" s="1"/>
      <c r="W1399" s="1"/>
      <c r="X1399" s="1"/>
      <c r="Y1399" s="1" t="s">
        <v>6233</v>
      </c>
      <c r="Z1399" s="1" t="s">
        <v>5723</v>
      </c>
      <c r="AA1399" s="1" t="s">
        <v>5724</v>
      </c>
      <c r="AB1399" s="1"/>
      <c r="AC1399" s="1"/>
      <c r="AD1399" s="1"/>
      <c r="AE1399" s="1"/>
      <c r="AG1399" s="2" t="str">
        <f>"0679743499"</f>
        <v>0679743499</v>
      </c>
      <c r="AH1399" s="2" t="str">
        <f>"9780679743491"</f>
        <v>9780679743491</v>
      </c>
      <c r="AI1399" s="1">
        <v>0.0</v>
      </c>
      <c r="AJ1399" s="1">
        <v>3.84</v>
      </c>
      <c r="AK1399" s="1" t="s">
        <v>83</v>
      </c>
      <c r="AL1399" s="1" t="s">
        <v>28</v>
      </c>
      <c r="AM1399" s="1">
        <v>288.0</v>
      </c>
      <c r="AN1399" s="1">
        <v>2001.0</v>
      </c>
      <c r="AO1399" s="1">
        <v>1991.0</v>
      </c>
      <c r="AQ1399" s="3">
        <v>45114.0</v>
      </c>
      <c r="AR1399" s="1" t="s">
        <v>31</v>
      </c>
      <c r="AS1399" s="1" t="s">
        <v>6234</v>
      </c>
      <c r="AT1399" s="1" t="s">
        <v>31</v>
      </c>
      <c r="AX1399" s="1">
        <v>0.0</v>
      </c>
      <c r="AY1399" s="1">
        <v>0.0</v>
      </c>
    </row>
    <row r="1400" spans="20:51" ht="15.75" hidden="1">
      <c r="T1400" s="1">
        <v>984015.0</v>
      </c>
      <c r="U1400" s="1"/>
      <c r="V1400" s="1"/>
      <c r="W1400" s="1"/>
      <c r="X1400" s="1"/>
      <c r="Y1400" s="1" t="s">
        <v>6235</v>
      </c>
      <c r="Z1400" s="1" t="s">
        <v>6236</v>
      </c>
      <c r="AA1400" s="1" t="s">
        <v>6237</v>
      </c>
      <c r="AB1400" s="1"/>
      <c r="AC1400" s="1"/>
      <c r="AD1400" s="1"/>
      <c r="AE1400" s="1"/>
      <c r="AF1400" s="1" t="s">
        <v>2640</v>
      </c>
      <c r="AG1400" s="2" t="str">
        <f>"0940322501"</f>
        <v>0940322501</v>
      </c>
      <c r="AH1400" s="2" t="str">
        <f>"9780940322509"</f>
        <v>9780940322509</v>
      </c>
      <c r="AI1400" s="1">
        <v>0.0</v>
      </c>
      <c r="AJ1400" s="1">
        <v>4.18</v>
      </c>
      <c r="AK1400" s="1" t="s">
        <v>77</v>
      </c>
      <c r="AL1400" s="1" t="s">
        <v>28</v>
      </c>
      <c r="AM1400" s="1">
        <v>264.0</v>
      </c>
      <c r="AN1400" s="1">
        <v>2000.0</v>
      </c>
      <c r="AO1400" s="1">
        <v>1799.0</v>
      </c>
      <c r="AQ1400" s="3">
        <v>45114.0</v>
      </c>
      <c r="AR1400" s="1" t="s">
        <v>31</v>
      </c>
      <c r="AS1400" s="1" t="s">
        <v>6238</v>
      </c>
      <c r="AT1400" s="1" t="s">
        <v>31</v>
      </c>
      <c r="AX1400" s="1">
        <v>0.0</v>
      </c>
      <c r="AY1400" s="1">
        <v>0.0</v>
      </c>
    </row>
    <row r="1401" spans="20:51" ht="15.75" hidden="1">
      <c r="T1401" s="1">
        <v>1704206.0</v>
      </c>
      <c r="U1401" s="1"/>
      <c r="V1401" s="1"/>
      <c r="W1401" s="1"/>
      <c r="X1401" s="1"/>
      <c r="Y1401" s="1" t="s">
        <v>6239</v>
      </c>
      <c r="Z1401" s="1" t="s">
        <v>6240</v>
      </c>
      <c r="AA1401" s="1" t="s">
        <v>6241</v>
      </c>
      <c r="AB1401" s="1"/>
      <c r="AC1401" s="1"/>
      <c r="AD1401" s="1"/>
      <c r="AE1401" s="1"/>
      <c r="AF1401" s="1" t="s">
        <v>6242</v>
      </c>
      <c r="AG1401" s="2" t="str">
        <f>"0821210920"</f>
        <v>0821210920</v>
      </c>
      <c r="AH1401" s="2" t="str">
        <f>"9780821210925"</f>
        <v>9780821210925</v>
      </c>
      <c r="AI1401" s="1">
        <v>0.0</v>
      </c>
      <c r="AJ1401" s="1">
        <v>4.18</v>
      </c>
      <c r="AK1401" s="1" t="s">
        <v>6243</v>
      </c>
      <c r="AL1401" s="1" t="s">
        <v>41</v>
      </c>
      <c r="AM1401" s="1">
        <v>203.0</v>
      </c>
      <c r="AN1401" s="1">
        <v>1980.0</v>
      </c>
      <c r="AO1401" s="1">
        <v>1980.0</v>
      </c>
      <c r="AQ1401" s="3">
        <v>44018.0</v>
      </c>
      <c r="AR1401" s="1" t="s">
        <v>6244</v>
      </c>
      <c r="AS1401" s="1" t="s">
        <v>6245</v>
      </c>
      <c r="AT1401" s="1" t="s">
        <v>31</v>
      </c>
      <c r="AX1401" s="1">
        <v>0.0</v>
      </c>
      <c r="AY1401" s="1">
        <v>0.0</v>
      </c>
    </row>
    <row r="1402" spans="20:51" ht="15.75" hidden="1">
      <c r="T1402" s="1">
        <v>4.366674E7</v>
      </c>
      <c r="U1402" s="1"/>
      <c r="V1402" s="1"/>
      <c r="W1402" s="1"/>
      <c r="X1402" s="1"/>
      <c r="Y1402" s="1" t="s">
        <v>6246</v>
      </c>
      <c r="Z1402" s="1" t="s">
        <v>6247</v>
      </c>
      <c r="AA1402" s="1" t="s">
        <v>6248</v>
      </c>
      <c r="AB1402" s="1"/>
      <c r="AC1402" s="1"/>
      <c r="AD1402" s="1"/>
      <c r="AE1402" s="1"/>
      <c r="AF1402" s="1" t="s">
        <v>6249</v>
      </c>
      <c r="AG1402" s="2" t="str">
        <f t="shared" si="111" ref="AG1402:AH1402">""</f>
        <v/>
      </c>
      <c r="AH1402" s="2" t="str">
        <f t="shared" si="111"/>
        <v/>
      </c>
      <c r="AI1402" s="1">
        <v>0.0</v>
      </c>
      <c r="AJ1402" s="1">
        <v>4.51</v>
      </c>
      <c r="AK1402" s="1" t="s">
        <v>6250</v>
      </c>
      <c r="AL1402" s="1" t="s">
        <v>59</v>
      </c>
      <c r="AM1402" s="1">
        <v>308.0</v>
      </c>
      <c r="AN1402" s="1">
        <v>2019.0</v>
      </c>
      <c r="AO1402" s="1">
        <v>2012.0</v>
      </c>
      <c r="AQ1402" s="3">
        <v>43934.0</v>
      </c>
      <c r="AR1402" s="1" t="s">
        <v>2539</v>
      </c>
      <c r="AS1402" s="1" t="s">
        <v>6251</v>
      </c>
      <c r="AT1402" s="1" t="s">
        <v>31</v>
      </c>
      <c r="AX1402" s="1">
        <v>0.0</v>
      </c>
      <c r="AY1402" s="1">
        <v>0.0</v>
      </c>
    </row>
    <row r="1403" spans="20:51" ht="15.75" hidden="1">
      <c r="T1403" s="1">
        <v>382593.0</v>
      </c>
      <c r="U1403" s="1"/>
      <c r="V1403" s="1"/>
      <c r="W1403" s="1"/>
      <c r="X1403" s="1"/>
      <c r="Y1403" s="1" t="s">
        <v>6252</v>
      </c>
      <c r="Z1403" s="1" t="s">
        <v>6253</v>
      </c>
      <c r="AA1403" s="1" t="s">
        <v>6254</v>
      </c>
      <c r="AB1403" s="1"/>
      <c r="AC1403" s="1"/>
      <c r="AD1403" s="1"/>
      <c r="AE1403" s="1"/>
      <c r="AG1403" s="2" t="str">
        <f>"0806523263"</f>
        <v>0806523263</v>
      </c>
      <c r="AH1403" s="2" t="str">
        <f>"9780806523262"</f>
        <v>9780806523262</v>
      </c>
      <c r="AI1403" s="1">
        <v>0.0</v>
      </c>
      <c r="AJ1403" s="1">
        <v>4.06</v>
      </c>
      <c r="AK1403" s="1" t="s">
        <v>6255</v>
      </c>
      <c r="AL1403" s="1" t="s">
        <v>28</v>
      </c>
      <c r="AM1403" s="1">
        <v>256.0</v>
      </c>
      <c r="AN1403" s="1">
        <v>2002.0</v>
      </c>
      <c r="AO1403" s="1">
        <v>1934.0</v>
      </c>
      <c r="AQ1403" s="3">
        <v>45113.0</v>
      </c>
      <c r="AR1403" s="1" t="s">
        <v>31</v>
      </c>
      <c r="AS1403" s="1" t="s">
        <v>6256</v>
      </c>
      <c r="AT1403" s="1" t="s">
        <v>31</v>
      </c>
      <c r="AX1403" s="1">
        <v>0.0</v>
      </c>
      <c r="AY1403" s="1">
        <v>0.0</v>
      </c>
    </row>
    <row r="1404" spans="20:51" ht="15.75" hidden="1">
      <c r="T1404" s="1">
        <v>3.7561945E7</v>
      </c>
      <c r="U1404" s="1"/>
      <c r="V1404" s="1"/>
      <c r="W1404" s="1"/>
      <c r="X1404" s="1"/>
      <c r="Y1404" s="1" t="s">
        <v>3249</v>
      </c>
      <c r="Z1404" s="1" t="s">
        <v>3250</v>
      </c>
      <c r="AA1404" s="1" t="s">
        <v>3251</v>
      </c>
      <c r="AB1404" s="1"/>
      <c r="AC1404" s="1"/>
      <c r="AD1404" s="1"/>
      <c r="AE1404" s="1"/>
      <c r="AG1404" s="2" t="str">
        <f>"0190675578"</f>
        <v>0190675578</v>
      </c>
      <c r="AH1404" s="2" t="str">
        <f>"9780190675578"</f>
        <v>9780190675578</v>
      </c>
      <c r="AI1404" s="1">
        <v>0.0</v>
      </c>
      <c r="AJ1404" s="1">
        <v>4.41</v>
      </c>
      <c r="AK1404" s="1" t="s">
        <v>214</v>
      </c>
      <c r="AL1404" s="1" t="s">
        <v>59</v>
      </c>
      <c r="AM1404" s="1">
        <v>270.0</v>
      </c>
      <c r="AN1404" s="1">
        <v>2017.0</v>
      </c>
      <c r="AO1404" s="1">
        <v>2017.0</v>
      </c>
      <c r="AQ1404" s="3">
        <v>45113.0</v>
      </c>
      <c r="AR1404" s="1" t="s">
        <v>31</v>
      </c>
      <c r="AS1404" s="1" t="s">
        <v>6257</v>
      </c>
      <c r="AT1404" s="1" t="s">
        <v>31</v>
      </c>
      <c r="AX1404" s="1">
        <v>0.0</v>
      </c>
      <c r="AY1404" s="1">
        <v>0.0</v>
      </c>
    </row>
    <row r="1405" spans="20:51" ht="15.75" hidden="1">
      <c r="T1405" s="1">
        <v>7.5616707E7</v>
      </c>
      <c r="U1405" s="1"/>
      <c r="V1405" s="1"/>
      <c r="W1405" s="1"/>
      <c r="X1405" s="1"/>
      <c r="Y1405" s="1" t="s">
        <v>6258</v>
      </c>
      <c r="Z1405" s="1" t="s">
        <v>3518</v>
      </c>
      <c r="AA1405" s="1" t="s">
        <v>6259</v>
      </c>
      <c r="AB1405" s="1"/>
      <c r="AC1405" s="1"/>
      <c r="AD1405" s="1"/>
      <c r="AE1405" s="1"/>
      <c r="AG1405" s="2" t="str">
        <f>"1032131276"</f>
        <v>1032131276</v>
      </c>
      <c r="AH1405" s="2" t="str">
        <f>"9781032131276"</f>
        <v>9781032131276</v>
      </c>
      <c r="AI1405" s="1">
        <v>0.0</v>
      </c>
      <c r="AJ1405" s="1">
        <v>5.0</v>
      </c>
      <c r="AL1405" s="1" t="s">
        <v>28</v>
      </c>
      <c r="AN1405" s="1">
        <v>2022.0</v>
      </c>
      <c r="AQ1405" s="3">
        <v>45113.0</v>
      </c>
      <c r="AR1405" s="1" t="s">
        <v>31</v>
      </c>
      <c r="AS1405" s="1" t="s">
        <v>6260</v>
      </c>
      <c r="AT1405" s="1" t="s">
        <v>31</v>
      </c>
      <c r="AX1405" s="1">
        <v>0.0</v>
      </c>
      <c r="AY1405" s="1">
        <v>0.0</v>
      </c>
    </row>
    <row r="1406" spans="20:51" ht="15.75" hidden="1">
      <c r="T1406" s="1">
        <v>2098165.0</v>
      </c>
      <c r="U1406" s="1"/>
      <c r="V1406" s="1"/>
      <c r="W1406" s="1"/>
      <c r="X1406" s="1"/>
      <c r="Y1406" s="1" t="s">
        <v>6261</v>
      </c>
      <c r="Z1406" s="1" t="s">
        <v>6262</v>
      </c>
      <c r="AA1406" s="1" t="s">
        <v>6263</v>
      </c>
      <c r="AB1406" s="1"/>
      <c r="AC1406" s="1"/>
      <c r="AD1406" s="1"/>
      <c r="AE1406" s="1"/>
      <c r="AG1406" s="2" t="str">
        <f>"0486262987"</f>
        <v>0486262987</v>
      </c>
      <c r="AH1406" s="2" t="str">
        <f>"9780486262987"</f>
        <v>9780486262987</v>
      </c>
      <c r="AI1406" s="1">
        <v>0.0</v>
      </c>
      <c r="AJ1406" s="1">
        <v>3.65</v>
      </c>
      <c r="AK1406" s="1" t="s">
        <v>540</v>
      </c>
      <c r="AL1406" s="1" t="s">
        <v>28</v>
      </c>
      <c r="AM1406" s="1">
        <v>336.0</v>
      </c>
      <c r="AN1406" s="1">
        <v>1990.0</v>
      </c>
      <c r="AO1406" s="1">
        <v>1957.0</v>
      </c>
      <c r="AQ1406" s="3">
        <v>45113.0</v>
      </c>
      <c r="AR1406" s="1" t="s">
        <v>31</v>
      </c>
      <c r="AS1406" s="1" t="s">
        <v>6264</v>
      </c>
      <c r="AT1406" s="1" t="s">
        <v>31</v>
      </c>
      <c r="AX1406" s="1">
        <v>0.0</v>
      </c>
      <c r="AY1406" s="1">
        <v>0.0</v>
      </c>
    </row>
    <row r="1407" spans="20:51" ht="15.75" hidden="1">
      <c r="T1407" s="1">
        <v>1.9924237E7</v>
      </c>
      <c r="U1407" s="1"/>
      <c r="V1407" s="1"/>
      <c r="W1407" s="1"/>
      <c r="X1407" s="1"/>
      <c r="Y1407" s="1" t="s">
        <v>2277</v>
      </c>
      <c r="Z1407" s="1" t="s">
        <v>2278</v>
      </c>
      <c r="AA1407" s="1" t="s">
        <v>2279</v>
      </c>
      <c r="AB1407" s="1"/>
      <c r="AC1407" s="1"/>
      <c r="AD1407" s="1"/>
      <c r="AE1407" s="1"/>
      <c r="AG1407" s="2" t="str">
        <f t="shared" si="112" ref="AG1407:AG1410">""</f>
        <v/>
      </c>
      <c r="AH1407" s="2" t="str">
        <f>"0971487555461"</f>
        <v>0971487555461</v>
      </c>
      <c r="AI1407" s="1">
        <v>0.0</v>
      </c>
      <c r="AJ1407" s="1">
        <v>4.06</v>
      </c>
      <c r="AK1407" s="1" t="s">
        <v>2139</v>
      </c>
      <c r="AL1407" s="1" t="s">
        <v>28</v>
      </c>
      <c r="AM1407" s="1">
        <v>352.0</v>
      </c>
      <c r="AN1407" s="1">
        <v>2010.0</v>
      </c>
      <c r="AO1407" s="1">
        <v>1994.0</v>
      </c>
      <c r="AQ1407" s="3">
        <v>45113.0</v>
      </c>
      <c r="AR1407" s="1" t="s">
        <v>31</v>
      </c>
      <c r="AS1407" s="1" t="s">
        <v>6265</v>
      </c>
      <c r="AT1407" s="1" t="s">
        <v>31</v>
      </c>
      <c r="AX1407" s="1">
        <v>0.0</v>
      </c>
      <c r="AY1407" s="1">
        <v>0.0</v>
      </c>
    </row>
    <row r="1408" spans="20:51" ht="15.75" hidden="1">
      <c r="T1408" s="1">
        <v>6568056.0</v>
      </c>
      <c r="U1408" s="1"/>
      <c r="V1408" s="1"/>
      <c r="W1408" s="1"/>
      <c r="X1408" s="1"/>
      <c r="Y1408" s="1" t="s">
        <v>6266</v>
      </c>
      <c r="Z1408" s="1" t="s">
        <v>4246</v>
      </c>
      <c r="AA1408" s="1" t="s">
        <v>4247</v>
      </c>
      <c r="AB1408" s="1"/>
      <c r="AC1408" s="1"/>
      <c r="AD1408" s="1"/>
      <c r="AE1408" s="1"/>
      <c r="AG1408" s="2" t="str">
        <f t="shared" si="112"/>
        <v/>
      </c>
      <c r="AH1408" s="2" t="str">
        <f t="shared" si="113" ref="AH1408:AH1410">""</f>
        <v/>
      </c>
      <c r="AI1408" s="1">
        <v>0.0</v>
      </c>
      <c r="AJ1408" s="1">
        <v>4.21</v>
      </c>
      <c r="AK1408" s="1" t="s">
        <v>2017</v>
      </c>
      <c r="AL1408" s="1" t="s">
        <v>59</v>
      </c>
      <c r="AM1408" s="1">
        <v>448.0</v>
      </c>
      <c r="AN1408" s="1">
        <v>2006.0</v>
      </c>
      <c r="AO1408" s="1">
        <v>2004.0</v>
      </c>
      <c r="AQ1408" s="3">
        <v>45113.0</v>
      </c>
      <c r="AR1408" s="1" t="s">
        <v>31</v>
      </c>
      <c r="AS1408" s="1" t="s">
        <v>6267</v>
      </c>
      <c r="AT1408" s="1" t="s">
        <v>31</v>
      </c>
      <c r="AX1408" s="1">
        <v>0.0</v>
      </c>
      <c r="AY1408" s="1">
        <v>0.0</v>
      </c>
    </row>
    <row r="1409" spans="20:51" ht="15.75" hidden="1">
      <c r="T1409" s="1">
        <v>1.28409437E8</v>
      </c>
      <c r="U1409" s="1"/>
      <c r="V1409" s="1"/>
      <c r="W1409" s="1"/>
      <c r="X1409" s="1"/>
      <c r="Y1409" s="1" t="s">
        <v>3512</v>
      </c>
      <c r="Z1409" s="1" t="s">
        <v>3513</v>
      </c>
      <c r="AA1409" s="1" t="s">
        <v>3514</v>
      </c>
      <c r="AB1409" s="1"/>
      <c r="AC1409" s="1"/>
      <c r="AD1409" s="1"/>
      <c r="AE1409" s="1"/>
      <c r="AG1409" s="2" t="str">
        <f t="shared" si="112"/>
        <v/>
      </c>
      <c r="AH1409" s="2" t="str">
        <f t="shared" si="113"/>
        <v/>
      </c>
      <c r="AI1409" s="1">
        <v>0.0</v>
      </c>
      <c r="AJ1409" s="1">
        <v>4.18</v>
      </c>
      <c r="AK1409" s="1" t="s">
        <v>6268</v>
      </c>
      <c r="AL1409" s="1" t="s">
        <v>28</v>
      </c>
      <c r="AN1409" s="1">
        <v>1961.0</v>
      </c>
      <c r="AO1409" s="1">
        <v>1959.0</v>
      </c>
      <c r="AQ1409" s="3">
        <v>45113.0</v>
      </c>
      <c r="AR1409" s="1" t="s">
        <v>31</v>
      </c>
      <c r="AS1409" s="1" t="s">
        <v>6269</v>
      </c>
      <c r="AT1409" s="1" t="s">
        <v>31</v>
      </c>
      <c r="AX1409" s="1">
        <v>0.0</v>
      </c>
      <c r="AY1409" s="1">
        <v>0.0</v>
      </c>
    </row>
    <row r="1410" spans="20:51" ht="15.75" hidden="1">
      <c r="T1410" s="1">
        <v>5.0092815E7</v>
      </c>
      <c r="U1410" s="1"/>
      <c r="V1410" s="1"/>
      <c r="W1410" s="1"/>
      <c r="X1410" s="1"/>
      <c r="Y1410" s="1" t="s">
        <v>3595</v>
      </c>
      <c r="Z1410" s="1" t="s">
        <v>3596</v>
      </c>
      <c r="AA1410" s="1" t="s">
        <v>3597</v>
      </c>
      <c r="AB1410" s="1"/>
      <c r="AC1410" s="1"/>
      <c r="AD1410" s="1"/>
      <c r="AE1410" s="1"/>
      <c r="AF1410" s="1" t="s">
        <v>3598</v>
      </c>
      <c r="AG1410" s="2" t="str">
        <f t="shared" si="112"/>
        <v/>
      </c>
      <c r="AH1410" s="2" t="str">
        <f t="shared" si="113"/>
        <v/>
      </c>
      <c r="AI1410" s="1">
        <v>0.0</v>
      </c>
      <c r="AJ1410" s="1">
        <v>3.42</v>
      </c>
      <c r="AK1410" s="1" t="s">
        <v>3599</v>
      </c>
      <c r="AL1410" s="1" t="s">
        <v>59</v>
      </c>
      <c r="AM1410" s="1">
        <v>160.0</v>
      </c>
      <c r="AN1410" s="1">
        <v>2015.0</v>
      </c>
      <c r="AO1410" s="1">
        <v>2015.0</v>
      </c>
      <c r="AQ1410" s="3">
        <v>45113.0</v>
      </c>
      <c r="AR1410" s="1" t="s">
        <v>31</v>
      </c>
      <c r="AS1410" s="1" t="s">
        <v>6270</v>
      </c>
      <c r="AT1410" s="1" t="s">
        <v>31</v>
      </c>
      <c r="AX1410" s="1">
        <v>0.0</v>
      </c>
      <c r="AY1410" s="1">
        <v>0.0</v>
      </c>
    </row>
    <row r="1411" spans="20:51" ht="15.75" hidden="1">
      <c r="T1411" s="1">
        <v>1.19029471E8</v>
      </c>
      <c r="U1411" s="1"/>
      <c r="V1411" s="1"/>
      <c r="W1411" s="1"/>
      <c r="X1411" s="1"/>
      <c r="Y1411" s="1" t="s">
        <v>3201</v>
      </c>
      <c r="Z1411" s="1" t="s">
        <v>3202</v>
      </c>
      <c r="AA1411" s="1" t="s">
        <v>3203</v>
      </c>
      <c r="AB1411" s="1"/>
      <c r="AC1411" s="1"/>
      <c r="AD1411" s="1"/>
      <c r="AE1411" s="1"/>
      <c r="AF1411" s="1" t="s">
        <v>3204</v>
      </c>
      <c r="AG1411" s="2" t="str">
        <f>"1681376954"</f>
        <v>1681376954</v>
      </c>
      <c r="AH1411" s="2" t="str">
        <f>"9781681376950"</f>
        <v>9781681376950</v>
      </c>
      <c r="AI1411" s="1">
        <v>0.0</v>
      </c>
      <c r="AJ1411" s="1">
        <v>3.95</v>
      </c>
      <c r="AK1411" s="1" t="s">
        <v>77</v>
      </c>
      <c r="AL1411" s="1" t="s">
        <v>59</v>
      </c>
      <c r="AM1411" s="1">
        <v>241.0</v>
      </c>
      <c r="AN1411" s="1">
        <v>2023.0</v>
      </c>
      <c r="AQ1411" s="3">
        <v>45113.0</v>
      </c>
      <c r="AR1411" s="1" t="s">
        <v>31</v>
      </c>
      <c r="AS1411" s="1" t="s">
        <v>6271</v>
      </c>
      <c r="AT1411" s="1" t="s">
        <v>31</v>
      </c>
      <c r="AX1411" s="1">
        <v>0.0</v>
      </c>
      <c r="AY1411" s="1">
        <v>0.0</v>
      </c>
    </row>
    <row r="1412" spans="20:51" ht="15.75" hidden="1">
      <c r="T1412" s="1">
        <v>2808188.0</v>
      </c>
      <c r="U1412" s="1"/>
      <c r="V1412" s="1"/>
      <c r="W1412" s="1"/>
      <c r="X1412" s="1"/>
      <c r="Y1412" s="1" t="s">
        <v>6272</v>
      </c>
      <c r="Z1412" s="1" t="s">
        <v>6273</v>
      </c>
      <c r="AA1412" s="1" t="s">
        <v>6274</v>
      </c>
      <c r="AB1412" s="1"/>
      <c r="AC1412" s="1"/>
      <c r="AD1412" s="1"/>
      <c r="AE1412" s="1"/>
      <c r="AG1412" s="2" t="str">
        <f>"0385084803"</f>
        <v>0385084803</v>
      </c>
      <c r="AH1412" s="2" t="str">
        <f>"9780385084802"</f>
        <v>9780385084802</v>
      </c>
      <c r="AI1412" s="1">
        <v>0.0</v>
      </c>
      <c r="AJ1412" s="1">
        <v>3.69</v>
      </c>
      <c r="AK1412" s="1" t="s">
        <v>4553</v>
      </c>
      <c r="AL1412" s="1" t="s">
        <v>315</v>
      </c>
      <c r="AM1412" s="1">
        <v>555.0</v>
      </c>
      <c r="AN1412" s="1">
        <v>1967.0</v>
      </c>
      <c r="AO1412" s="1">
        <v>1967.0</v>
      </c>
      <c r="AQ1412" s="3">
        <v>45113.0</v>
      </c>
      <c r="AR1412" s="1" t="s">
        <v>31</v>
      </c>
      <c r="AS1412" s="1" t="s">
        <v>6275</v>
      </c>
      <c r="AT1412" s="1" t="s">
        <v>31</v>
      </c>
      <c r="AX1412" s="1">
        <v>0.0</v>
      </c>
      <c r="AY1412" s="1">
        <v>0.0</v>
      </c>
    </row>
    <row r="1413" spans="20:51" ht="15.75" hidden="1">
      <c r="T1413" s="1">
        <v>922024.0</v>
      </c>
      <c r="U1413" s="1"/>
      <c r="V1413" s="1"/>
      <c r="W1413" s="1"/>
      <c r="X1413" s="1"/>
      <c r="Y1413" s="1" t="s">
        <v>6276</v>
      </c>
      <c r="Z1413" s="1" t="s">
        <v>6277</v>
      </c>
      <c r="AA1413" s="1" t="s">
        <v>6278</v>
      </c>
      <c r="AB1413" s="1"/>
      <c r="AC1413" s="1"/>
      <c r="AD1413" s="1"/>
      <c r="AE1413" s="1"/>
      <c r="AF1413" s="1" t="s">
        <v>6279</v>
      </c>
      <c r="AG1413" s="2" t="str">
        <f>"0764572032"</f>
        <v>0764572032</v>
      </c>
      <c r="AH1413" s="2" t="str">
        <f>"9780764572036"</f>
        <v>9780764572036</v>
      </c>
      <c r="AI1413" s="1">
        <v>0.0</v>
      </c>
      <c r="AJ1413" s="1">
        <v>3.66</v>
      </c>
      <c r="AK1413" s="1" t="s">
        <v>6280</v>
      </c>
      <c r="AL1413" s="1" t="s">
        <v>28</v>
      </c>
      <c r="AM1413" s="1">
        <v>224.0</v>
      </c>
      <c r="AN1413" s="1">
        <v>2004.0</v>
      </c>
      <c r="AO1413" s="1">
        <v>2004.0</v>
      </c>
      <c r="AQ1413" s="3">
        <v>45113.0</v>
      </c>
      <c r="AR1413" s="1" t="s">
        <v>31</v>
      </c>
      <c r="AS1413" s="1" t="s">
        <v>6281</v>
      </c>
      <c r="AT1413" s="1" t="s">
        <v>31</v>
      </c>
      <c r="AX1413" s="1">
        <v>0.0</v>
      </c>
      <c r="AY1413" s="1">
        <v>0.0</v>
      </c>
    </row>
    <row r="1414" spans="20:51" ht="15.75" hidden="1">
      <c r="T1414" s="1">
        <v>320993.0</v>
      </c>
      <c r="U1414" s="1"/>
      <c r="V1414" s="1"/>
      <c r="W1414" s="1"/>
      <c r="X1414" s="1"/>
      <c r="Y1414" s="1" t="s">
        <v>6282</v>
      </c>
      <c r="Z1414" s="1" t="s">
        <v>3407</v>
      </c>
      <c r="AA1414" s="1" t="s">
        <v>3408</v>
      </c>
      <c r="AB1414" s="1"/>
      <c r="AC1414" s="1"/>
      <c r="AD1414" s="1"/>
      <c r="AE1414" s="1"/>
      <c r="AG1414" s="2" t="str">
        <f>"067401927X"</f>
        <v>067401927X</v>
      </c>
      <c r="AH1414" s="2" t="str">
        <f>"9780674019270"</f>
        <v>9780674019270</v>
      </c>
      <c r="AI1414" s="1">
        <v>0.0</v>
      </c>
      <c r="AJ1414" s="1">
        <v>3.83</v>
      </c>
      <c r="AK1414" s="1" t="s">
        <v>6283</v>
      </c>
      <c r="AL1414" s="1" t="s">
        <v>41</v>
      </c>
      <c r="AM1414" s="1">
        <v>176.0</v>
      </c>
      <c r="AN1414" s="1">
        <v>2007.0</v>
      </c>
      <c r="AO1414" s="1">
        <v>2007.0</v>
      </c>
      <c r="AQ1414" s="3">
        <v>45113.0</v>
      </c>
      <c r="AR1414" s="1" t="s">
        <v>31</v>
      </c>
      <c r="AS1414" s="1" t="s">
        <v>6284</v>
      </c>
      <c r="AT1414" s="1" t="s">
        <v>31</v>
      </c>
      <c r="AX1414" s="1">
        <v>0.0</v>
      </c>
      <c r="AY1414" s="1">
        <v>0.0</v>
      </c>
    </row>
    <row r="1415" spans="20:51" ht="15.75" hidden="1">
      <c r="T1415" s="1">
        <v>8727129.0</v>
      </c>
      <c r="U1415" s="1"/>
      <c r="V1415" s="1"/>
      <c r="W1415" s="1"/>
      <c r="X1415" s="1"/>
      <c r="Y1415" s="1" t="s">
        <v>6285</v>
      </c>
      <c r="Z1415" s="1" t="s">
        <v>6286</v>
      </c>
      <c r="AA1415" s="1" t="s">
        <v>6287</v>
      </c>
      <c r="AB1415" s="1"/>
      <c r="AC1415" s="1"/>
      <c r="AD1415" s="1"/>
      <c r="AE1415" s="1"/>
      <c r="AF1415" s="1" t="s">
        <v>6288</v>
      </c>
      <c r="AG1415" s="2" t="str">
        <f>"0982597711"</f>
        <v>0982597711</v>
      </c>
      <c r="AH1415" s="2" t="str">
        <f>"9780982597712"</f>
        <v>9780982597712</v>
      </c>
      <c r="AI1415" s="1">
        <v>0.0</v>
      </c>
      <c r="AJ1415" s="1">
        <v>3.29</v>
      </c>
      <c r="AK1415" s="1" t="s">
        <v>6289</v>
      </c>
      <c r="AL1415" s="1" t="s">
        <v>28</v>
      </c>
      <c r="AM1415" s="1">
        <v>200.0</v>
      </c>
      <c r="AN1415" s="1">
        <v>2010.0</v>
      </c>
      <c r="AO1415" s="1">
        <v>2010.0</v>
      </c>
      <c r="AQ1415" s="3">
        <v>45113.0</v>
      </c>
      <c r="AR1415" s="1" t="s">
        <v>31</v>
      </c>
      <c r="AS1415" s="1" t="s">
        <v>6290</v>
      </c>
      <c r="AT1415" s="1" t="s">
        <v>31</v>
      </c>
      <c r="AX1415" s="1">
        <v>0.0</v>
      </c>
      <c r="AY1415" s="1">
        <v>0.0</v>
      </c>
    </row>
    <row r="1416" spans="20:51" ht="15.75" hidden="1">
      <c r="T1416" s="1">
        <v>6.1149811E7</v>
      </c>
      <c r="U1416" s="1"/>
      <c r="V1416" s="1"/>
      <c r="W1416" s="1"/>
      <c r="X1416" s="1"/>
      <c r="Y1416" s="1" t="s">
        <v>6291</v>
      </c>
      <c r="Z1416" s="1" t="s">
        <v>6292</v>
      </c>
      <c r="AA1416" s="1" t="s">
        <v>6293</v>
      </c>
      <c r="AB1416" s="1"/>
      <c r="AC1416" s="1"/>
      <c r="AD1416" s="1"/>
      <c r="AE1416" s="1"/>
      <c r="AF1416" s="1" t="s">
        <v>6294</v>
      </c>
      <c r="AG1416" s="2" t="str">
        <f>"1681376253"</f>
        <v>1681376253</v>
      </c>
      <c r="AH1416" s="2" t="str">
        <f>"9781681376257"</f>
        <v>9781681376257</v>
      </c>
      <c r="AI1416" s="1">
        <v>0.0</v>
      </c>
      <c r="AJ1416" s="1">
        <v>3.8</v>
      </c>
      <c r="AK1416" s="1" t="s">
        <v>77</v>
      </c>
      <c r="AL1416" s="1" t="s">
        <v>28</v>
      </c>
      <c r="AM1416" s="1">
        <v>136.0</v>
      </c>
      <c r="AN1416" s="1">
        <v>2023.0</v>
      </c>
      <c r="AO1416" s="1">
        <v>1939.0</v>
      </c>
      <c r="AQ1416" s="3">
        <v>45102.0</v>
      </c>
      <c r="AR1416" s="1" t="s">
        <v>31</v>
      </c>
      <c r="AS1416" s="1" t="s">
        <v>6295</v>
      </c>
      <c r="AT1416" s="1" t="s">
        <v>31</v>
      </c>
      <c r="AX1416" s="1">
        <v>0.0</v>
      </c>
      <c r="AY1416" s="1">
        <v>0.0</v>
      </c>
    </row>
    <row r="1417" spans="20:51" ht="15.75" hidden="1">
      <c r="T1417" s="1">
        <v>787565.0</v>
      </c>
      <c r="U1417" s="1"/>
      <c r="V1417" s="1"/>
      <c r="W1417" s="1"/>
      <c r="X1417" s="1"/>
      <c r="Y1417" s="1" t="s">
        <v>6296</v>
      </c>
      <c r="Z1417" s="1" t="s">
        <v>559</v>
      </c>
      <c r="AA1417" s="1" t="s">
        <v>560</v>
      </c>
      <c r="AB1417" s="1"/>
      <c r="AC1417" s="1"/>
      <c r="AD1417" s="1"/>
      <c r="AE1417" s="1"/>
      <c r="AG1417" s="2" t="str">
        <f>"0691018391"</f>
        <v>0691018391</v>
      </c>
      <c r="AH1417" s="2" t="str">
        <f>"9780691018393"</f>
        <v>9780691018393</v>
      </c>
      <c r="AI1417" s="1">
        <v>0.0</v>
      </c>
      <c r="AJ1417" s="1">
        <v>4.39</v>
      </c>
      <c r="AK1417" s="1" t="s">
        <v>141</v>
      </c>
      <c r="AL1417" s="1" t="s">
        <v>28</v>
      </c>
      <c r="AM1417" s="1">
        <v>564.0</v>
      </c>
      <c r="AN1417" s="1">
        <v>1981.0</v>
      </c>
      <c r="AO1417" s="1">
        <v>1974.0</v>
      </c>
      <c r="AQ1417" s="3">
        <v>45112.0</v>
      </c>
      <c r="AR1417" s="1" t="s">
        <v>31</v>
      </c>
      <c r="AS1417" s="1" t="s">
        <v>6297</v>
      </c>
      <c r="AT1417" s="1" t="s">
        <v>31</v>
      </c>
      <c r="AX1417" s="1">
        <v>0.0</v>
      </c>
      <c r="AY1417" s="1">
        <v>0.0</v>
      </c>
    </row>
    <row r="1418" spans="20:51" ht="15.75" hidden="1">
      <c r="T1418" s="1">
        <v>130405.0</v>
      </c>
      <c r="U1418" s="1"/>
      <c r="V1418" s="1"/>
      <c r="W1418" s="1"/>
      <c r="X1418" s="1"/>
      <c r="Y1418" s="1" t="s">
        <v>6298</v>
      </c>
      <c r="Z1418" s="1" t="s">
        <v>6299</v>
      </c>
      <c r="AA1418" s="1" t="s">
        <v>6300</v>
      </c>
      <c r="AB1418" s="1"/>
      <c r="AC1418" s="1"/>
      <c r="AD1418" s="1"/>
      <c r="AE1418" s="1"/>
      <c r="AF1418" s="1" t="s">
        <v>602</v>
      </c>
      <c r="AG1418" s="2" t="str">
        <f>"0374530076"</f>
        <v>0374530076</v>
      </c>
      <c r="AH1418" s="2" t="str">
        <f>"9780374530075"</f>
        <v>9780374530075</v>
      </c>
      <c r="AI1418" s="1">
        <v>0.0</v>
      </c>
      <c r="AJ1418" s="1">
        <v>3.95</v>
      </c>
      <c r="AK1418" s="1" t="s">
        <v>89</v>
      </c>
      <c r="AL1418" s="1" t="s">
        <v>28</v>
      </c>
      <c r="AM1418" s="1">
        <v>96.0</v>
      </c>
      <c r="AN1418" s="1">
        <v>2005.0</v>
      </c>
      <c r="AO1418" s="1">
        <v>2004.0</v>
      </c>
      <c r="AQ1418" s="3">
        <v>45112.0</v>
      </c>
      <c r="AR1418" s="1" t="s">
        <v>31</v>
      </c>
      <c r="AS1418" s="1" t="s">
        <v>6301</v>
      </c>
      <c r="AT1418" s="1" t="s">
        <v>31</v>
      </c>
      <c r="AX1418" s="1">
        <v>0.0</v>
      </c>
      <c r="AY1418" s="1">
        <v>0.0</v>
      </c>
    </row>
    <row r="1419" spans="20:51" ht="15.75" hidden="1">
      <c r="T1419" s="1">
        <v>834694.0</v>
      </c>
      <c r="U1419" s="1"/>
      <c r="V1419" s="1"/>
      <c r="W1419" s="1"/>
      <c r="X1419" s="1"/>
      <c r="Y1419" s="1" t="s">
        <v>6302</v>
      </c>
      <c r="Z1419" s="1" t="s">
        <v>6299</v>
      </c>
      <c r="AA1419" s="1" t="s">
        <v>6300</v>
      </c>
      <c r="AB1419" s="1"/>
      <c r="AC1419" s="1"/>
      <c r="AD1419" s="1"/>
      <c r="AE1419" s="1"/>
      <c r="AF1419" s="1" t="s">
        <v>602</v>
      </c>
      <c r="AG1419" s="2" t="str">
        <f>"0374522898"</f>
        <v>0374522898</v>
      </c>
      <c r="AH1419" s="2" t="str">
        <f>"9780374522896"</f>
        <v>9780374522896</v>
      </c>
      <c r="AI1419" s="1">
        <v>0.0</v>
      </c>
      <c r="AJ1419" s="1">
        <v>4.16</v>
      </c>
      <c r="AK1419" s="1" t="s">
        <v>89</v>
      </c>
      <c r="AL1419" s="1" t="s">
        <v>28</v>
      </c>
      <c r="AM1419" s="1">
        <v>96.0</v>
      </c>
      <c r="AN1419" s="1">
        <v>1991.0</v>
      </c>
      <c r="AO1419" s="1">
        <v>1990.0</v>
      </c>
      <c r="AQ1419" s="3">
        <v>45112.0</v>
      </c>
      <c r="AR1419" s="1" t="s">
        <v>31</v>
      </c>
      <c r="AS1419" s="1" t="s">
        <v>6303</v>
      </c>
      <c r="AT1419" s="1" t="s">
        <v>31</v>
      </c>
      <c r="AX1419" s="1">
        <v>0.0</v>
      </c>
      <c r="AY1419" s="1">
        <v>0.0</v>
      </c>
    </row>
    <row r="1420" spans="20:51" ht="15.75" hidden="1">
      <c r="T1420" s="1">
        <v>2199365.0</v>
      </c>
      <c r="U1420" s="1"/>
      <c r="V1420" s="1"/>
      <c r="W1420" s="1"/>
      <c r="X1420" s="1"/>
      <c r="Y1420" s="1" t="s">
        <v>6304</v>
      </c>
      <c r="Z1420" s="1" t="s">
        <v>6305</v>
      </c>
      <c r="AA1420" s="1" t="s">
        <v>6306</v>
      </c>
      <c r="AB1420" s="1"/>
      <c r="AC1420" s="1"/>
      <c r="AD1420" s="1"/>
      <c r="AE1420" s="1"/>
      <c r="AG1420" s="2" t="str">
        <f>"097888115X"</f>
        <v>097888115X</v>
      </c>
      <c r="AH1420" s="2" t="str">
        <f>"9780978881153"</f>
        <v>9780978881153</v>
      </c>
      <c r="AI1420" s="1">
        <v>0.0</v>
      </c>
      <c r="AJ1420" s="1">
        <v>3.93</v>
      </c>
      <c r="AK1420" s="1" t="s">
        <v>6307</v>
      </c>
      <c r="AL1420" s="1" t="s">
        <v>28</v>
      </c>
      <c r="AM1420" s="1">
        <v>256.0</v>
      </c>
      <c r="AN1420" s="1">
        <v>2008.0</v>
      </c>
      <c r="AO1420" s="1">
        <v>2007.0</v>
      </c>
      <c r="AQ1420" s="3">
        <v>45112.0</v>
      </c>
      <c r="AR1420" s="1" t="s">
        <v>31</v>
      </c>
      <c r="AS1420" s="1" t="s">
        <v>6308</v>
      </c>
      <c r="AT1420" s="1" t="s">
        <v>31</v>
      </c>
      <c r="AX1420" s="1">
        <v>0.0</v>
      </c>
      <c r="AY1420" s="1">
        <v>0.0</v>
      </c>
    </row>
    <row r="1421" spans="20:51" ht="15.75" hidden="1">
      <c r="T1421" s="1">
        <v>212896.0</v>
      </c>
      <c r="U1421" s="1"/>
      <c r="V1421" s="1"/>
      <c r="W1421" s="1"/>
      <c r="X1421" s="1"/>
      <c r="Y1421" s="1" t="s">
        <v>6309</v>
      </c>
      <c r="Z1421" s="1" t="s">
        <v>3125</v>
      </c>
      <c r="AA1421" s="1" t="s">
        <v>3126</v>
      </c>
      <c r="AB1421" s="1"/>
      <c r="AC1421" s="1"/>
      <c r="AD1421" s="1"/>
      <c r="AE1421" s="1"/>
      <c r="AG1421" s="2" t="str">
        <f>"185459138X"</f>
        <v>185459138X</v>
      </c>
      <c r="AH1421" s="2" t="str">
        <f>"9781854591388"</f>
        <v>9781854591388</v>
      </c>
      <c r="AI1421" s="1">
        <v>0.0</v>
      </c>
      <c r="AJ1421" s="1">
        <v>3.98</v>
      </c>
      <c r="AK1421" s="1" t="s">
        <v>581</v>
      </c>
      <c r="AL1421" s="1" t="s">
        <v>28</v>
      </c>
      <c r="AM1421" s="1">
        <v>162.0</v>
      </c>
      <c r="AN1421" s="1">
        <v>1992.0</v>
      </c>
      <c r="AO1421" s="1">
        <v>1931.0</v>
      </c>
      <c r="AQ1421" s="3">
        <v>45112.0</v>
      </c>
      <c r="AR1421" s="1" t="s">
        <v>31</v>
      </c>
      <c r="AS1421" s="1" t="s">
        <v>6310</v>
      </c>
      <c r="AT1421" s="1" t="s">
        <v>31</v>
      </c>
      <c r="AX1421" s="1">
        <v>0.0</v>
      </c>
      <c r="AY1421" s="1">
        <v>0.0</v>
      </c>
    </row>
    <row r="1422" spans="20:51" ht="15.75" hidden="1">
      <c r="T1422" s="1">
        <v>7604.0</v>
      </c>
      <c r="U1422" s="1"/>
      <c r="V1422" s="1"/>
      <c r="W1422" s="1"/>
      <c r="X1422" s="1"/>
      <c r="Y1422" s="1" t="s">
        <v>3987</v>
      </c>
      <c r="Z1422" s="1" t="s">
        <v>3857</v>
      </c>
      <c r="AA1422" s="1" t="s">
        <v>3858</v>
      </c>
      <c r="AB1422" s="1"/>
      <c r="AC1422" s="1"/>
      <c r="AD1422" s="1"/>
      <c r="AE1422" s="1"/>
      <c r="AF1422" s="1" t="s">
        <v>6311</v>
      </c>
      <c r="AG1422" s="2" t="str">
        <f t="shared" si="114" ref="AG1422:AH1422">""</f>
        <v/>
      </c>
      <c r="AH1422" s="2" t="str">
        <f t="shared" si="114"/>
        <v/>
      </c>
      <c r="AI1422" s="1">
        <v>0.0</v>
      </c>
      <c r="AJ1422" s="1">
        <v>3.88</v>
      </c>
      <c r="AK1422" s="1" t="s">
        <v>151</v>
      </c>
      <c r="AL1422" s="1" t="s">
        <v>28</v>
      </c>
      <c r="AM1422" s="1">
        <v>368.0</v>
      </c>
      <c r="AN1422" s="1">
        <v>1995.0</v>
      </c>
      <c r="AO1422" s="1">
        <v>1955.0</v>
      </c>
      <c r="AQ1422" s="3">
        <v>45112.0</v>
      </c>
      <c r="AT1422" s="1" t="s">
        <v>127</v>
      </c>
      <c r="AX1422" s="1">
        <v>0.0</v>
      </c>
      <c r="AY1422" s="1">
        <v>0.0</v>
      </c>
    </row>
    <row r="1423" spans="20:51" ht="15.75" hidden="1">
      <c r="T1423" s="1">
        <v>63137.0</v>
      </c>
      <c r="U1423" s="1"/>
      <c r="V1423" s="1"/>
      <c r="W1423" s="1"/>
      <c r="X1423" s="1"/>
      <c r="Y1423" s="1" t="s">
        <v>6312</v>
      </c>
      <c r="Z1423" s="1" t="s">
        <v>3681</v>
      </c>
      <c r="AA1423" s="1" t="s">
        <v>3682</v>
      </c>
      <c r="AB1423" s="1"/>
      <c r="AC1423" s="1"/>
      <c r="AD1423" s="1"/>
      <c r="AE1423" s="1"/>
      <c r="AG1423" s="2" t="str">
        <f>"8423919153"</f>
        <v>8423919153</v>
      </c>
      <c r="AH1423" s="2" t="str">
        <f>"9788423919154"</f>
        <v>9788423919154</v>
      </c>
      <c r="AI1423" s="1">
        <v>0.0</v>
      </c>
      <c r="AJ1423" s="1">
        <v>4.05</v>
      </c>
      <c r="AK1423" s="1" t="s">
        <v>6313</v>
      </c>
      <c r="AL1423" s="1" t="s">
        <v>28</v>
      </c>
      <c r="AM1423" s="1">
        <v>259.0</v>
      </c>
      <c r="AN1423" s="1">
        <v>1707.0</v>
      </c>
      <c r="AO1423" s="1">
        <v>1914.0</v>
      </c>
      <c r="AQ1423" s="3">
        <v>43970.0</v>
      </c>
      <c r="AR1423" s="1" t="s">
        <v>31</v>
      </c>
      <c r="AS1423" s="1" t="s">
        <v>6314</v>
      </c>
      <c r="AT1423" s="1" t="s">
        <v>31</v>
      </c>
      <c r="AX1423" s="1">
        <v>0.0</v>
      </c>
      <c r="AY1423" s="1">
        <v>0.0</v>
      </c>
    </row>
    <row r="1424" spans="20:51" ht="15.75" hidden="1">
      <c r="T1424" s="1">
        <v>5.7224204E7</v>
      </c>
      <c r="U1424" s="1"/>
      <c r="V1424" s="1"/>
      <c r="W1424" s="1"/>
      <c r="X1424" s="1"/>
      <c r="Y1424" s="1" t="s">
        <v>6315</v>
      </c>
      <c r="Z1424" s="1" t="s">
        <v>6316</v>
      </c>
      <c r="AA1424" s="1" t="s">
        <v>6317</v>
      </c>
      <c r="AB1424" s="1"/>
      <c r="AC1424" s="1"/>
      <c r="AD1424" s="1"/>
      <c r="AE1424" s="1"/>
      <c r="AG1424" s="2" t="str">
        <f>"1908745908"</f>
        <v>1908745908</v>
      </c>
      <c r="AH1424" s="2" t="str">
        <f>"9781908745903"</f>
        <v>9781908745903</v>
      </c>
      <c r="AI1424" s="1">
        <v>0.0</v>
      </c>
      <c r="AJ1424" s="1">
        <v>3.96</v>
      </c>
      <c r="AK1424" s="1" t="s">
        <v>6318</v>
      </c>
      <c r="AL1424" s="1" t="s">
        <v>41</v>
      </c>
      <c r="AM1424" s="1">
        <v>386.0</v>
      </c>
      <c r="AN1424" s="1">
        <v>2022.0</v>
      </c>
      <c r="AO1424" s="1">
        <v>2022.0</v>
      </c>
      <c r="AQ1424" s="3">
        <v>45111.0</v>
      </c>
      <c r="AR1424" s="1" t="s">
        <v>5364</v>
      </c>
      <c r="AS1424" s="1" t="s">
        <v>6319</v>
      </c>
      <c r="AT1424" s="1" t="s">
        <v>31</v>
      </c>
      <c r="AX1424" s="1">
        <v>0.0</v>
      </c>
      <c r="AY1424" s="1">
        <v>0.0</v>
      </c>
    </row>
    <row r="1425" spans="20:51" ht="15.75" hidden="1">
      <c r="T1425" s="1">
        <v>5.4633172E7</v>
      </c>
      <c r="U1425" s="1"/>
      <c r="V1425" s="1"/>
      <c r="W1425" s="1"/>
      <c r="X1425" s="1"/>
      <c r="Y1425" s="1" t="s">
        <v>6320</v>
      </c>
      <c r="Z1425" s="1" t="s">
        <v>6321</v>
      </c>
      <c r="AA1425" s="1" t="s">
        <v>6322</v>
      </c>
      <c r="AB1425" s="1"/>
      <c r="AC1425" s="1"/>
      <c r="AD1425" s="1"/>
      <c r="AE1425" s="1"/>
      <c r="AG1425" s="2" t="str">
        <f>"1784744069"</f>
        <v>1784744069</v>
      </c>
      <c r="AH1425" s="2" t="str">
        <f>"9781784744069"</f>
        <v>9781784744069</v>
      </c>
      <c r="AI1425" s="1">
        <v>0.0</v>
      </c>
      <c r="AJ1425" s="1">
        <v>3.89</v>
      </c>
      <c r="AK1425" s="1" t="s">
        <v>6323</v>
      </c>
      <c r="AL1425" s="1" t="s">
        <v>41</v>
      </c>
      <c r="AM1425" s="1">
        <v>293.0</v>
      </c>
      <c r="AN1425" s="1">
        <v>2021.0</v>
      </c>
      <c r="AO1425" s="1">
        <v>2021.0</v>
      </c>
      <c r="AQ1425" s="3">
        <v>45111.0</v>
      </c>
      <c r="AR1425" s="1" t="s">
        <v>5364</v>
      </c>
      <c r="AS1425" s="1" t="s">
        <v>6324</v>
      </c>
      <c r="AT1425" s="1" t="s">
        <v>31</v>
      </c>
      <c r="AX1425" s="1">
        <v>0.0</v>
      </c>
      <c r="AY1425" s="1">
        <v>0.0</v>
      </c>
    </row>
    <row r="1426" spans="20:51" ht="15.75" hidden="1">
      <c r="T1426" s="1">
        <v>4.1081373E7</v>
      </c>
      <c r="U1426" s="1"/>
      <c r="V1426" s="1"/>
      <c r="W1426" s="1"/>
      <c r="X1426" s="1"/>
      <c r="Y1426" s="1" t="s">
        <v>6325</v>
      </c>
      <c r="Z1426" s="1" t="s">
        <v>6326</v>
      </c>
      <c r="AA1426" s="1" t="s">
        <v>6327</v>
      </c>
      <c r="AB1426" s="1"/>
      <c r="AC1426" s="1"/>
      <c r="AD1426" s="1"/>
      <c r="AE1426" s="1"/>
      <c r="AG1426" s="2" t="str">
        <f>"0241364906"</f>
        <v>0241364906</v>
      </c>
      <c r="AH1426" s="2" t="str">
        <f>"9780241364901"</f>
        <v>9780241364901</v>
      </c>
      <c r="AI1426" s="1">
        <v>0.0</v>
      </c>
      <c r="AJ1426" s="1">
        <v>4.3</v>
      </c>
      <c r="AK1426" s="1" t="s">
        <v>146</v>
      </c>
      <c r="AL1426" s="1" t="s">
        <v>41</v>
      </c>
      <c r="AM1426" s="1">
        <v>453.0</v>
      </c>
      <c r="AN1426" s="1">
        <v>2019.0</v>
      </c>
      <c r="AO1426" s="1">
        <v>2019.0</v>
      </c>
      <c r="AQ1426" s="3">
        <v>45111.0</v>
      </c>
      <c r="AR1426" s="1" t="s">
        <v>5364</v>
      </c>
      <c r="AS1426" s="1" t="s">
        <v>6328</v>
      </c>
      <c r="AT1426" s="1" t="s">
        <v>31</v>
      </c>
      <c r="AX1426" s="1">
        <v>0.0</v>
      </c>
      <c r="AY1426" s="1">
        <v>0.0</v>
      </c>
    </row>
    <row r="1427" spans="20:51" ht="15.75" hidden="1">
      <c r="T1427" s="1">
        <v>4.2975172E7</v>
      </c>
      <c r="U1427" s="1"/>
      <c r="V1427" s="1"/>
      <c r="W1427" s="1"/>
      <c r="X1427" s="1"/>
      <c r="Y1427" s="1" t="s">
        <v>6329</v>
      </c>
      <c r="Z1427" s="1" t="s">
        <v>1372</v>
      </c>
      <c r="AA1427" s="1" t="s">
        <v>1373</v>
      </c>
      <c r="AB1427" s="1"/>
      <c r="AC1427" s="1"/>
      <c r="AD1427" s="1"/>
      <c r="AE1427" s="1"/>
      <c r="AG1427" s="2" t="str">
        <f t="shared" si="115" ref="AG1427:AH1427">""</f>
        <v/>
      </c>
      <c r="AH1427" s="2" t="str">
        <f t="shared" si="115"/>
        <v/>
      </c>
      <c r="AI1427" s="1">
        <v>0.0</v>
      </c>
      <c r="AJ1427" s="1">
        <v>4.19</v>
      </c>
      <c r="AK1427" s="1" t="s">
        <v>1271</v>
      </c>
      <c r="AL1427" s="1" t="s">
        <v>41</v>
      </c>
      <c r="AM1427" s="1">
        <v>422.0</v>
      </c>
      <c r="AN1427" s="1">
        <v>2019.0</v>
      </c>
      <c r="AO1427" s="1">
        <v>2019.0</v>
      </c>
      <c r="AQ1427" s="3">
        <v>45111.0</v>
      </c>
      <c r="AR1427" s="1" t="s">
        <v>5364</v>
      </c>
      <c r="AS1427" s="1" t="s">
        <v>6330</v>
      </c>
      <c r="AT1427" s="1" t="s">
        <v>31</v>
      </c>
      <c r="AX1427" s="1">
        <v>0.0</v>
      </c>
      <c r="AY1427" s="1">
        <v>0.0</v>
      </c>
    </row>
    <row r="1428" spans="20:51" ht="15.75" hidden="1">
      <c r="T1428" s="1">
        <v>3.604786E7</v>
      </c>
      <c r="U1428" s="1"/>
      <c r="V1428" s="1"/>
      <c r="W1428" s="1"/>
      <c r="X1428" s="1"/>
      <c r="Y1428" s="1" t="s">
        <v>6331</v>
      </c>
      <c r="Z1428" s="1" t="s">
        <v>6332</v>
      </c>
      <c r="AA1428" s="1" t="s">
        <v>6333</v>
      </c>
      <c r="AB1428" s="1"/>
      <c r="AC1428" s="1"/>
      <c r="AD1428" s="1"/>
      <c r="AE1428" s="1"/>
      <c r="AG1428" s="2" t="str">
        <f>"0571338763"</f>
        <v>0571338763</v>
      </c>
      <c r="AH1428" s="2" t="str">
        <f>"9780571338764"</f>
        <v>9780571338764</v>
      </c>
      <c r="AI1428" s="1">
        <v>0.0</v>
      </c>
      <c r="AJ1428" s="1">
        <v>3.54</v>
      </c>
      <c r="AK1428" s="1" t="s">
        <v>285</v>
      </c>
      <c r="AL1428" s="1" t="s">
        <v>65</v>
      </c>
      <c r="AM1428" s="1">
        <v>352.0</v>
      </c>
      <c r="AN1428" s="1">
        <v>2018.0</v>
      </c>
      <c r="AO1428" s="1">
        <v>2018.0</v>
      </c>
      <c r="AQ1428" s="3">
        <v>45111.0</v>
      </c>
      <c r="AR1428" s="1" t="s">
        <v>5364</v>
      </c>
      <c r="AS1428" s="1" t="s">
        <v>6334</v>
      </c>
      <c r="AT1428" s="1" t="s">
        <v>31</v>
      </c>
      <c r="AX1428" s="1">
        <v>0.0</v>
      </c>
      <c r="AY1428" s="1">
        <v>0.0</v>
      </c>
    </row>
    <row r="1429" spans="20:51" ht="15.75" hidden="1">
      <c r="T1429" s="1">
        <v>2.990698E7</v>
      </c>
      <c r="U1429" s="1"/>
      <c r="V1429" s="1"/>
      <c r="W1429" s="1"/>
      <c r="X1429" s="1"/>
      <c r="Y1429" s="1" t="s">
        <v>6335</v>
      </c>
      <c r="Z1429" s="1" t="s">
        <v>1102</v>
      </c>
      <c r="AA1429" s="1" t="s">
        <v>1103</v>
      </c>
      <c r="AB1429" s="1"/>
      <c r="AC1429" s="1"/>
      <c r="AD1429" s="1"/>
      <c r="AE1429" s="1"/>
      <c r="AG1429" s="2" t="str">
        <f>"0812995341"</f>
        <v>0812995341</v>
      </c>
      <c r="AH1429" s="2" t="str">
        <f>"9780812995343"</f>
        <v>9780812995343</v>
      </c>
      <c r="AI1429" s="1">
        <v>0.0</v>
      </c>
      <c r="AJ1429" s="1">
        <v>3.75</v>
      </c>
      <c r="AK1429" s="1" t="s">
        <v>988</v>
      </c>
      <c r="AL1429" s="1" t="s">
        <v>41</v>
      </c>
      <c r="AM1429" s="1">
        <v>368.0</v>
      </c>
      <c r="AN1429" s="1">
        <v>2017.0</v>
      </c>
      <c r="AO1429" s="1">
        <v>2017.0</v>
      </c>
      <c r="AQ1429" s="3">
        <v>45111.0</v>
      </c>
      <c r="AR1429" s="1" t="s">
        <v>5364</v>
      </c>
      <c r="AS1429" s="1" t="s">
        <v>6336</v>
      </c>
      <c r="AT1429" s="1" t="s">
        <v>31</v>
      </c>
      <c r="AX1429" s="1">
        <v>0.0</v>
      </c>
      <c r="AY1429" s="1">
        <v>0.0</v>
      </c>
    </row>
    <row r="1430" spans="20:51" ht="15.75" hidden="1">
      <c r="T1430" s="1">
        <v>2.2237161E7</v>
      </c>
      <c r="U1430" s="1"/>
      <c r="V1430" s="1"/>
      <c r="W1430" s="1"/>
      <c r="X1430" s="1"/>
      <c r="Y1430" s="1" t="s">
        <v>6337</v>
      </c>
      <c r="Z1430" s="1" t="s">
        <v>6338</v>
      </c>
      <c r="AA1430" s="1" t="s">
        <v>6339</v>
      </c>
      <c r="AB1430" s="1"/>
      <c r="AC1430" s="1"/>
      <c r="AD1430" s="1"/>
      <c r="AE1430" s="1"/>
      <c r="AG1430" s="2" t="str">
        <f>"0374260508"</f>
        <v>0374260508</v>
      </c>
      <c r="AH1430" s="2" t="str">
        <f>"9780374260507"</f>
        <v>9780374260507</v>
      </c>
      <c r="AI1430" s="1">
        <v>0.0</v>
      </c>
      <c r="AJ1430" s="1">
        <v>3.75</v>
      </c>
      <c r="AK1430" s="1" t="s">
        <v>89</v>
      </c>
      <c r="AL1430" s="1" t="s">
        <v>41</v>
      </c>
      <c r="AM1430" s="1">
        <v>289.0</v>
      </c>
      <c r="AN1430" s="1">
        <v>2015.0</v>
      </c>
      <c r="AO1430" s="1">
        <v>2015.0</v>
      </c>
      <c r="AQ1430" s="3">
        <v>45111.0</v>
      </c>
      <c r="AR1430" s="1" t="s">
        <v>5364</v>
      </c>
      <c r="AS1430" s="1" t="s">
        <v>6340</v>
      </c>
      <c r="AT1430" s="1" t="s">
        <v>31</v>
      </c>
      <c r="AX1430" s="1">
        <v>0.0</v>
      </c>
      <c r="AY1430" s="1">
        <v>0.0</v>
      </c>
    </row>
    <row r="1431" spans="20:51" ht="15.75" hidden="1">
      <c r="T1431" s="1">
        <v>1.7905709E7</v>
      </c>
      <c r="U1431" s="1"/>
      <c r="V1431" s="1"/>
      <c r="W1431" s="1"/>
      <c r="X1431" s="1"/>
      <c r="Y1431" s="1" t="s">
        <v>6341</v>
      </c>
      <c r="Z1431" s="1" t="s">
        <v>6342</v>
      </c>
      <c r="AA1431" s="1" t="s">
        <v>6343</v>
      </c>
      <c r="AB1431" s="1"/>
      <c r="AC1431" s="1"/>
      <c r="AD1431" s="1"/>
      <c r="AE1431" s="1"/>
      <c r="AG1431" s="2" t="str">
        <f t="shared" si="116" ref="AG1431:AH1431">""</f>
        <v/>
      </c>
      <c r="AH1431" s="2" t="str">
        <f t="shared" si="116"/>
        <v/>
      </c>
      <c r="AI1431" s="1">
        <v>0.0</v>
      </c>
      <c r="AJ1431" s="1">
        <v>4.02</v>
      </c>
      <c r="AK1431" s="1" t="s">
        <v>6344</v>
      </c>
      <c r="AL1431" s="1" t="s">
        <v>28</v>
      </c>
      <c r="AM1431" s="1">
        <v>467.0</v>
      </c>
      <c r="AN1431" s="1">
        <v>2013.0</v>
      </c>
      <c r="AO1431" s="1">
        <v>2013.0</v>
      </c>
      <c r="AQ1431" s="3">
        <v>45111.0</v>
      </c>
      <c r="AR1431" s="1" t="s">
        <v>5364</v>
      </c>
      <c r="AS1431" s="1" t="s">
        <v>6345</v>
      </c>
      <c r="AT1431" s="1" t="s">
        <v>31</v>
      </c>
      <c r="AX1431" s="1">
        <v>0.0</v>
      </c>
      <c r="AY1431" s="1">
        <v>0.0</v>
      </c>
    </row>
    <row r="1432" spans="20:51" ht="15.75" hidden="1">
      <c r="T1432" s="1">
        <v>1.0746542E7</v>
      </c>
      <c r="U1432" s="1"/>
      <c r="V1432" s="1"/>
      <c r="W1432" s="1"/>
      <c r="X1432" s="1"/>
      <c r="Y1432" s="1" t="s">
        <v>6346</v>
      </c>
      <c r="Z1432" s="1" t="s">
        <v>6347</v>
      </c>
      <c r="AA1432" s="1" t="s">
        <v>6348</v>
      </c>
      <c r="AB1432" s="1"/>
      <c r="AC1432" s="1"/>
      <c r="AD1432" s="1"/>
      <c r="AE1432" s="1"/>
      <c r="AG1432" s="2" t="str">
        <f>"0224094157"</f>
        <v>0224094157</v>
      </c>
      <c r="AH1432" s="2" t="str">
        <f>"9780224094153"</f>
        <v>9780224094153</v>
      </c>
      <c r="AI1432" s="1">
        <v>0.0</v>
      </c>
      <c r="AJ1432" s="1">
        <v>3.73</v>
      </c>
      <c r="AK1432" s="1" t="s">
        <v>1277</v>
      </c>
      <c r="AL1432" s="1" t="s">
        <v>41</v>
      </c>
      <c r="AM1432" s="1">
        <v>150.0</v>
      </c>
      <c r="AN1432" s="1">
        <v>2011.0</v>
      </c>
      <c r="AO1432" s="1">
        <v>2011.0</v>
      </c>
      <c r="AQ1432" s="3">
        <v>45111.0</v>
      </c>
      <c r="AR1432" s="1" t="s">
        <v>5364</v>
      </c>
      <c r="AS1432" s="1" t="s">
        <v>6349</v>
      </c>
      <c r="AT1432" s="1" t="s">
        <v>31</v>
      </c>
      <c r="AX1432" s="1">
        <v>0.0</v>
      </c>
      <c r="AY1432" s="1">
        <v>0.0</v>
      </c>
    </row>
    <row r="1433" spans="20:51" ht="15.75" hidden="1">
      <c r="T1433" s="1">
        <v>8664368.0</v>
      </c>
      <c r="U1433" s="1"/>
      <c r="V1433" s="1"/>
      <c r="W1433" s="1"/>
      <c r="X1433" s="1"/>
      <c r="Y1433" s="1" t="s">
        <v>6350</v>
      </c>
      <c r="Z1433" s="1" t="s">
        <v>6351</v>
      </c>
      <c r="AA1433" s="1" t="s">
        <v>6352</v>
      </c>
      <c r="AB1433" s="1"/>
      <c r="AC1433" s="1"/>
      <c r="AD1433" s="1"/>
      <c r="AE1433" s="1"/>
      <c r="AG1433" s="2" t="str">
        <f>"1408808870"</f>
        <v>1408808870</v>
      </c>
      <c r="AH1433" s="2" t="str">
        <f>"9781408808870"</f>
        <v>9781408808870</v>
      </c>
      <c r="AI1433" s="1">
        <v>0.0</v>
      </c>
      <c r="AJ1433" s="1">
        <v>2.82</v>
      </c>
      <c r="AK1433" s="1" t="s">
        <v>5184</v>
      </c>
      <c r="AL1433" s="1" t="s">
        <v>41</v>
      </c>
      <c r="AM1433" s="1">
        <v>307.0</v>
      </c>
      <c r="AN1433" s="1">
        <v>2010.0</v>
      </c>
      <c r="AO1433" s="1">
        <v>2010.0</v>
      </c>
      <c r="AQ1433" s="3">
        <v>45111.0</v>
      </c>
      <c r="AR1433" s="1" t="s">
        <v>5364</v>
      </c>
      <c r="AS1433" s="1" t="s">
        <v>6353</v>
      </c>
      <c r="AT1433" s="1" t="s">
        <v>31</v>
      </c>
      <c r="AX1433" s="1">
        <v>0.0</v>
      </c>
      <c r="AY1433" s="1">
        <v>0.0</v>
      </c>
    </row>
    <row r="1434" spans="20:51" ht="15.75" hidden="1">
      <c r="T1434" s="1">
        <v>1768603.0</v>
      </c>
      <c r="U1434" s="1"/>
      <c r="V1434" s="1"/>
      <c r="W1434" s="1"/>
      <c r="X1434" s="1"/>
      <c r="Y1434" s="1" t="s">
        <v>6354</v>
      </c>
      <c r="Z1434" s="1" t="s">
        <v>6355</v>
      </c>
      <c r="AA1434" s="1" t="s">
        <v>6356</v>
      </c>
      <c r="AB1434" s="1"/>
      <c r="AC1434" s="1"/>
      <c r="AD1434" s="1"/>
      <c r="AE1434" s="1"/>
      <c r="AG1434" s="2" t="str">
        <f>"1416562591"</f>
        <v>1416562591</v>
      </c>
      <c r="AH1434" s="2" t="str">
        <f>"9781416562597"</f>
        <v>9781416562597</v>
      </c>
      <c r="AI1434" s="1">
        <v>0.0</v>
      </c>
      <c r="AJ1434" s="1">
        <v>3.76</v>
      </c>
      <c r="AK1434" s="1" t="s">
        <v>280</v>
      </c>
      <c r="AL1434" s="1" t="s">
        <v>41</v>
      </c>
      <c r="AM1434" s="1">
        <v>276.0</v>
      </c>
      <c r="AN1434" s="1">
        <v>2008.0</v>
      </c>
      <c r="AO1434" s="1">
        <v>2008.0</v>
      </c>
      <c r="AQ1434" s="3">
        <v>45111.0</v>
      </c>
      <c r="AR1434" s="1" t="s">
        <v>5364</v>
      </c>
      <c r="AS1434" s="1" t="s">
        <v>6357</v>
      </c>
      <c r="AT1434" s="1" t="s">
        <v>31</v>
      </c>
      <c r="AX1434" s="1">
        <v>0.0</v>
      </c>
      <c r="AY1434" s="1">
        <v>0.0</v>
      </c>
    </row>
    <row r="1435" spans="20:51" ht="15.75" hidden="1">
      <c r="T1435" s="1">
        <v>998133.0</v>
      </c>
      <c r="U1435" s="1"/>
      <c r="V1435" s="1"/>
      <c r="W1435" s="1"/>
      <c r="X1435" s="1"/>
      <c r="Y1435" s="1" t="s">
        <v>6358</v>
      </c>
      <c r="Z1435" s="1" t="s">
        <v>6359</v>
      </c>
      <c r="AA1435" s="1" t="s">
        <v>6360</v>
      </c>
      <c r="AB1435" s="1"/>
      <c r="AC1435" s="1"/>
      <c r="AD1435" s="1"/>
      <c r="AE1435" s="1"/>
      <c r="AG1435" s="2" t="str">
        <f>"0802170390"</f>
        <v>0802170390</v>
      </c>
      <c r="AH1435" s="2" t="str">
        <f>"9780802170392"</f>
        <v>9780802170392</v>
      </c>
      <c r="AI1435" s="1">
        <v>0.0</v>
      </c>
      <c r="AJ1435" s="1">
        <v>3.11</v>
      </c>
      <c r="AK1435" s="1" t="s">
        <v>6361</v>
      </c>
      <c r="AL1435" s="1" t="s">
        <v>28</v>
      </c>
      <c r="AM1435" s="1">
        <v>261.0</v>
      </c>
      <c r="AN1435" s="1">
        <v>2007.0</v>
      </c>
      <c r="AO1435" s="1">
        <v>2007.0</v>
      </c>
      <c r="AQ1435" s="3">
        <v>45111.0</v>
      </c>
      <c r="AR1435" s="1" t="s">
        <v>5364</v>
      </c>
      <c r="AS1435" s="1" t="s">
        <v>6362</v>
      </c>
      <c r="AT1435" s="1" t="s">
        <v>31</v>
      </c>
      <c r="AX1435" s="1">
        <v>0.0</v>
      </c>
      <c r="AY1435" s="1">
        <v>0.0</v>
      </c>
    </row>
    <row r="1436" spans="20:51" ht="15.75" hidden="1">
      <c r="T1436" s="1">
        <v>95186.0</v>
      </c>
      <c r="U1436" s="1"/>
      <c r="V1436" s="1"/>
      <c r="W1436" s="1"/>
      <c r="X1436" s="1"/>
      <c r="Y1436" s="1" t="s">
        <v>6363</v>
      </c>
      <c r="Z1436" s="1" t="s">
        <v>6364</v>
      </c>
      <c r="AA1436" s="1" t="s">
        <v>6365</v>
      </c>
      <c r="AB1436" s="1"/>
      <c r="AC1436" s="1"/>
      <c r="AD1436" s="1"/>
      <c r="AE1436" s="1"/>
      <c r="AG1436" s="2" t="str">
        <f>"0802142818"</f>
        <v>0802142818</v>
      </c>
      <c r="AH1436" s="2" t="str">
        <f>"9780802142818"</f>
        <v>9780802142818</v>
      </c>
      <c r="AI1436" s="1">
        <v>0.0</v>
      </c>
      <c r="AJ1436" s="1">
        <v>3.45</v>
      </c>
      <c r="AK1436" s="1" t="s">
        <v>35</v>
      </c>
      <c r="AL1436" s="1" t="s">
        <v>28</v>
      </c>
      <c r="AM1436" s="1">
        <v>357.0</v>
      </c>
      <c r="AN1436" s="1">
        <v>2005.0</v>
      </c>
      <c r="AO1436" s="1">
        <v>2005.0</v>
      </c>
      <c r="AQ1436" s="3">
        <v>45111.0</v>
      </c>
      <c r="AR1436" s="1" t="s">
        <v>5364</v>
      </c>
      <c r="AS1436" s="1" t="s">
        <v>6366</v>
      </c>
      <c r="AT1436" s="1" t="s">
        <v>31</v>
      </c>
      <c r="AX1436" s="1">
        <v>0.0</v>
      </c>
      <c r="AY1436" s="1">
        <v>0.0</v>
      </c>
    </row>
    <row r="1437" spans="20:51" ht="15.75" hidden="1">
      <c r="T1437" s="1">
        <v>3656.0</v>
      </c>
      <c r="U1437" s="1"/>
      <c r="V1437" s="1"/>
      <c r="W1437" s="1"/>
      <c r="X1437" s="1"/>
      <c r="Y1437" s="1" t="s">
        <v>6367</v>
      </c>
      <c r="Z1437" s="1" t="s">
        <v>1108</v>
      </c>
      <c r="AA1437" s="1" t="s">
        <v>6368</v>
      </c>
      <c r="AB1437" s="1"/>
      <c r="AC1437" s="1"/>
      <c r="AD1437" s="1"/>
      <c r="AE1437" s="1"/>
      <c r="AG1437" s="2" t="str">
        <f>"1400097029"</f>
        <v>1400097029</v>
      </c>
      <c r="AH1437" s="2" t="str">
        <f>"9781400097029"</f>
        <v>9781400097029</v>
      </c>
      <c r="AI1437" s="1">
        <v>0.0</v>
      </c>
      <c r="AJ1437" s="1">
        <v>3.54</v>
      </c>
      <c r="AK1437" s="1" t="s">
        <v>253</v>
      </c>
      <c r="AL1437" s="1" t="s">
        <v>28</v>
      </c>
      <c r="AM1437" s="1">
        <v>195.0</v>
      </c>
      <c r="AN1437" s="1">
        <v>2006.0</v>
      </c>
      <c r="AO1437" s="1">
        <v>2005.0</v>
      </c>
      <c r="AQ1437" s="3">
        <v>41616.0</v>
      </c>
      <c r="AR1437" s="1" t="s">
        <v>5364</v>
      </c>
      <c r="AS1437" s="1" t="s">
        <v>6369</v>
      </c>
      <c r="AT1437" s="1" t="s">
        <v>31</v>
      </c>
      <c r="AX1437" s="1">
        <v>0.0</v>
      </c>
      <c r="AY1437" s="1">
        <v>0.0</v>
      </c>
    </row>
    <row r="1438" spans="20:51" ht="15.75" hidden="1">
      <c r="T1438" s="1">
        <v>139087.0</v>
      </c>
      <c r="U1438" s="1"/>
      <c r="V1438" s="1"/>
      <c r="W1438" s="1"/>
      <c r="X1438" s="1"/>
      <c r="Y1438" s="1" t="s">
        <v>6370</v>
      </c>
      <c r="Z1438" s="1" t="s">
        <v>6371</v>
      </c>
      <c r="AA1438" s="1" t="s">
        <v>6372</v>
      </c>
      <c r="AB1438" s="1"/>
      <c r="AC1438" s="1"/>
      <c r="AD1438" s="1"/>
      <c r="AE1438" s="1"/>
      <c r="AG1438" s="2" t="str">
        <f>"0739464469"</f>
        <v>0739464469</v>
      </c>
      <c r="AH1438" s="2" t="str">
        <f>"9780739464465"</f>
        <v>9780739464465</v>
      </c>
      <c r="AI1438" s="1">
        <v>0.0</v>
      </c>
      <c r="AJ1438" s="1">
        <v>3.74</v>
      </c>
      <c r="AK1438" s="1" t="s">
        <v>5184</v>
      </c>
      <c r="AL1438" s="1" t="s">
        <v>28</v>
      </c>
      <c r="AM1438" s="1">
        <v>438.0</v>
      </c>
      <c r="AN1438" s="1">
        <v>2004.0</v>
      </c>
      <c r="AO1438" s="1">
        <v>2004.0</v>
      </c>
      <c r="AQ1438" s="3">
        <v>45111.0</v>
      </c>
      <c r="AR1438" s="1" t="s">
        <v>5364</v>
      </c>
      <c r="AS1438" s="1" t="s">
        <v>6373</v>
      </c>
      <c r="AT1438" s="1" t="s">
        <v>31</v>
      </c>
      <c r="AX1438" s="1">
        <v>0.0</v>
      </c>
      <c r="AY1438" s="1">
        <v>0.0</v>
      </c>
    </row>
    <row r="1439" spans="20:51" ht="15.75" hidden="1">
      <c r="T1439" s="1">
        <v>11711.0</v>
      </c>
      <c r="U1439" s="1"/>
      <c r="V1439" s="1"/>
      <c r="W1439" s="1"/>
      <c r="X1439" s="1"/>
      <c r="Y1439" s="1" t="s">
        <v>6374</v>
      </c>
      <c r="Z1439" s="1" t="s">
        <v>6375</v>
      </c>
      <c r="AA1439" s="1" t="s">
        <v>6376</v>
      </c>
      <c r="AB1439" s="1"/>
      <c r="AC1439" s="1"/>
      <c r="AD1439" s="1"/>
      <c r="AE1439" s="1"/>
      <c r="AG1439" s="2" t="str">
        <f t="shared" si="117" ref="AG1439:AH1439">""</f>
        <v/>
      </c>
      <c r="AH1439" s="2" t="str">
        <f t="shared" si="117"/>
        <v/>
      </c>
      <c r="AI1439" s="1">
        <v>0.0</v>
      </c>
      <c r="AJ1439" s="1">
        <v>3.6</v>
      </c>
      <c r="AK1439" s="1" t="s">
        <v>1589</v>
      </c>
      <c r="AL1439" s="1" t="s">
        <v>28</v>
      </c>
      <c r="AM1439" s="1">
        <v>279.0</v>
      </c>
      <c r="AN1439" s="1">
        <v>2004.0</v>
      </c>
      <c r="AO1439" s="1">
        <v>2003.0</v>
      </c>
      <c r="AQ1439" s="3">
        <v>45111.0</v>
      </c>
      <c r="AR1439" s="1" t="s">
        <v>5364</v>
      </c>
      <c r="AS1439" s="1" t="s">
        <v>6377</v>
      </c>
      <c r="AT1439" s="1" t="s">
        <v>31</v>
      </c>
      <c r="AX1439" s="1">
        <v>0.0</v>
      </c>
      <c r="AY1439" s="1">
        <v>0.0</v>
      </c>
    </row>
    <row r="1440" spans="20:51" ht="15.75" hidden="1">
      <c r="T1440" s="1">
        <v>4214.0</v>
      </c>
      <c r="U1440" s="1"/>
      <c r="V1440" s="1"/>
      <c r="W1440" s="1"/>
      <c r="X1440" s="1"/>
      <c r="Y1440" s="1" t="s">
        <v>6378</v>
      </c>
      <c r="Z1440" s="1" t="s">
        <v>6379</v>
      </c>
      <c r="AA1440" s="1" t="s">
        <v>6380</v>
      </c>
      <c r="AB1440" s="1"/>
      <c r="AC1440" s="1"/>
      <c r="AD1440" s="1"/>
      <c r="AE1440" s="1"/>
      <c r="AG1440" s="2" t="str">
        <f>"0770430074"</f>
        <v>0770430074</v>
      </c>
      <c r="AH1440" s="2" t="str">
        <f>"9780770430078"</f>
        <v>9780770430078</v>
      </c>
      <c r="AI1440" s="1">
        <v>0.0</v>
      </c>
      <c r="AJ1440" s="1">
        <v>3.93</v>
      </c>
      <c r="AK1440" s="1" t="s">
        <v>6381</v>
      </c>
      <c r="AL1440" s="1" t="s">
        <v>28</v>
      </c>
      <c r="AM1440" s="1">
        <v>460.0</v>
      </c>
      <c r="AN1440" s="1">
        <v>2006.0</v>
      </c>
      <c r="AO1440" s="1">
        <v>2001.0</v>
      </c>
      <c r="AQ1440" s="3">
        <v>45111.0</v>
      </c>
      <c r="AR1440" s="1" t="s">
        <v>5364</v>
      </c>
      <c r="AS1440" s="1" t="s">
        <v>6382</v>
      </c>
      <c r="AT1440" s="1" t="s">
        <v>31</v>
      </c>
      <c r="AX1440" s="1">
        <v>0.0</v>
      </c>
      <c r="AY1440" s="1">
        <v>0.0</v>
      </c>
    </row>
    <row r="1441" spans="20:51" ht="15.75" hidden="1">
      <c r="T1441" s="1">
        <v>78433.0</v>
      </c>
      <c r="U1441" s="1"/>
      <c r="V1441" s="1"/>
      <c r="W1441" s="1"/>
      <c r="X1441" s="1"/>
      <c r="Y1441" s="1" t="s">
        <v>6383</v>
      </c>
      <c r="Z1441" s="1" t="s">
        <v>1372</v>
      </c>
      <c r="AA1441" s="1" t="s">
        <v>1373</v>
      </c>
      <c r="AB1441" s="1"/>
      <c r="AC1441" s="1"/>
      <c r="AD1441" s="1"/>
      <c r="AE1441" s="1"/>
      <c r="AG1441" s="2" t="str">
        <f t="shared" si="118" ref="AG1441:AH1441">""</f>
        <v/>
      </c>
      <c r="AH1441" s="2" t="str">
        <f t="shared" si="118"/>
        <v/>
      </c>
      <c r="AI1441" s="1">
        <v>0.0</v>
      </c>
      <c r="AJ1441" s="1">
        <v>3.96</v>
      </c>
      <c r="AK1441" s="1" t="s">
        <v>6384</v>
      </c>
      <c r="AL1441" s="1" t="s">
        <v>28</v>
      </c>
      <c r="AM1441" s="1">
        <v>637.0</v>
      </c>
      <c r="AN1441" s="1">
        <v>2001.0</v>
      </c>
      <c r="AO1441" s="1">
        <v>2000.0</v>
      </c>
      <c r="AQ1441" s="3">
        <v>45111.0</v>
      </c>
      <c r="AR1441" s="1" t="s">
        <v>5364</v>
      </c>
      <c r="AS1441" s="1" t="s">
        <v>6385</v>
      </c>
      <c r="AT1441" s="1" t="s">
        <v>31</v>
      </c>
      <c r="AX1441" s="1">
        <v>0.0</v>
      </c>
      <c r="AY1441" s="1">
        <v>0.0</v>
      </c>
    </row>
    <row r="1442" spans="20:51" ht="15.75" hidden="1">
      <c r="T1442" s="1">
        <v>3.2867213E7</v>
      </c>
      <c r="U1442" s="1"/>
      <c r="V1442" s="1"/>
      <c r="W1442" s="1"/>
      <c r="X1442" s="1"/>
      <c r="Y1442" s="1" t="s">
        <v>6386</v>
      </c>
      <c r="Z1442" s="1" t="s">
        <v>627</v>
      </c>
      <c r="AA1442" s="1" t="s">
        <v>628</v>
      </c>
      <c r="AB1442" s="1"/>
      <c r="AC1442" s="1"/>
      <c r="AD1442" s="1"/>
      <c r="AE1442" s="1"/>
      <c r="AG1442" s="2" t="str">
        <f t="shared" si="119" ref="AG1442:AH1442">""</f>
        <v/>
      </c>
      <c r="AH1442" s="2" t="str">
        <f t="shared" si="119"/>
        <v/>
      </c>
      <c r="AI1442" s="1">
        <v>0.0</v>
      </c>
      <c r="AJ1442" s="1">
        <v>3.85</v>
      </c>
      <c r="AK1442" s="1" t="s">
        <v>460</v>
      </c>
      <c r="AL1442" s="1" t="s">
        <v>59</v>
      </c>
      <c r="AM1442" s="1">
        <v>221.0</v>
      </c>
      <c r="AN1442" s="1">
        <v>2017.0</v>
      </c>
      <c r="AO1442" s="1">
        <v>1999.0</v>
      </c>
      <c r="AQ1442" s="3">
        <v>44254.0</v>
      </c>
      <c r="AR1442" s="1" t="s">
        <v>5364</v>
      </c>
      <c r="AS1442" s="1" t="s">
        <v>6387</v>
      </c>
      <c r="AT1442" s="1" t="s">
        <v>31</v>
      </c>
      <c r="AX1442" s="1">
        <v>0.0</v>
      </c>
      <c r="AY1442" s="1">
        <v>0.0</v>
      </c>
    </row>
    <row r="1443" spans="20:51" ht="15.75" hidden="1">
      <c r="T1443" s="1">
        <v>6862.0</v>
      </c>
      <c r="U1443" s="1"/>
      <c r="V1443" s="1"/>
      <c r="W1443" s="1"/>
      <c r="X1443" s="1"/>
      <c r="Y1443" s="1" t="s">
        <v>6388</v>
      </c>
      <c r="Z1443" s="1" t="s">
        <v>6389</v>
      </c>
      <c r="AA1443" s="1" t="s">
        <v>6390</v>
      </c>
      <c r="AB1443" s="1"/>
      <c r="AC1443" s="1"/>
      <c r="AD1443" s="1"/>
      <c r="AE1443" s="1"/>
      <c r="AG1443" s="2" t="str">
        <f>"0385494246"</f>
        <v>0385494246</v>
      </c>
      <c r="AH1443" s="2" t="str">
        <f>"9780385494243"</f>
        <v>9780385494243</v>
      </c>
      <c r="AI1443" s="1">
        <v>0.0</v>
      </c>
      <c r="AJ1443" s="1">
        <v>3.45</v>
      </c>
      <c r="AK1443" s="1" t="s">
        <v>6391</v>
      </c>
      <c r="AL1443" s="1" t="s">
        <v>28</v>
      </c>
      <c r="AM1443" s="1">
        <v>208.0</v>
      </c>
      <c r="AN1443" s="1">
        <v>1999.0</v>
      </c>
      <c r="AO1443" s="1">
        <v>1998.0</v>
      </c>
      <c r="AQ1443" s="3">
        <v>45111.0</v>
      </c>
      <c r="AR1443" s="1" t="s">
        <v>5364</v>
      </c>
      <c r="AS1443" s="1" t="s">
        <v>6392</v>
      </c>
      <c r="AT1443" s="1" t="s">
        <v>31</v>
      </c>
      <c r="AX1443" s="1">
        <v>0.0</v>
      </c>
      <c r="AY1443" s="1">
        <v>0.0</v>
      </c>
    </row>
    <row r="1444" spans="20:51" ht="15.75" hidden="1">
      <c r="T1444" s="1">
        <v>5068.0</v>
      </c>
      <c r="U1444" s="1"/>
      <c r="V1444" s="1"/>
      <c r="W1444" s="1"/>
      <c r="X1444" s="1"/>
      <c r="Y1444" s="1" t="s">
        <v>6393</v>
      </c>
      <c r="Z1444" s="1" t="s">
        <v>6394</v>
      </c>
      <c r="AA1444" s="1" t="s">
        <v>6395</v>
      </c>
      <c r="AB1444" s="1"/>
      <c r="AC1444" s="1"/>
      <c r="AD1444" s="1"/>
      <c r="AE1444" s="1"/>
      <c r="AG1444" s="2" t="str">
        <f>"0330489674"</f>
        <v>0330489674</v>
      </c>
      <c r="AH1444" s="2" t="str">
        <f>"9780330489676"</f>
        <v>9780330489676</v>
      </c>
      <c r="AI1444" s="1">
        <v>0.0</v>
      </c>
      <c r="AJ1444" s="1">
        <v>3.67</v>
      </c>
      <c r="AK1444" s="1" t="s">
        <v>945</v>
      </c>
      <c r="AL1444" s="1" t="s">
        <v>28</v>
      </c>
      <c r="AM1444" s="1">
        <v>296.0</v>
      </c>
      <c r="AN1444" s="1">
        <v>2001.0</v>
      </c>
      <c r="AO1444" s="1">
        <v>1996.0</v>
      </c>
      <c r="AQ1444" s="3">
        <v>45111.0</v>
      </c>
      <c r="AR1444" s="1" t="s">
        <v>5364</v>
      </c>
      <c r="AS1444" s="1" t="s">
        <v>6396</v>
      </c>
      <c r="AT1444" s="1" t="s">
        <v>31</v>
      </c>
      <c r="AX1444" s="1">
        <v>0.0</v>
      </c>
      <c r="AY1444" s="1">
        <v>0.0</v>
      </c>
    </row>
    <row r="1445" spans="20:51" ht="15.75" hidden="1">
      <c r="T1445" s="1">
        <v>151926.0</v>
      </c>
      <c r="U1445" s="1"/>
      <c r="V1445" s="1"/>
      <c r="W1445" s="1"/>
      <c r="X1445" s="1"/>
      <c r="Y1445" s="1" t="s">
        <v>6397</v>
      </c>
      <c r="Z1445" s="1" t="s">
        <v>6398</v>
      </c>
      <c r="AA1445" s="1" t="s">
        <v>6399</v>
      </c>
      <c r="AB1445" s="1"/>
      <c r="AC1445" s="1"/>
      <c r="AD1445" s="1"/>
      <c r="AE1445" s="1"/>
      <c r="AG1445" s="2" t="str">
        <f>"0452276721"</f>
        <v>0452276721</v>
      </c>
      <c r="AH1445" s="2" t="str">
        <f>"9780452276727"</f>
        <v>9780452276727</v>
      </c>
      <c r="AI1445" s="1">
        <v>0.0</v>
      </c>
      <c r="AJ1445" s="1">
        <v>4.09</v>
      </c>
      <c r="AK1445" s="1" t="s">
        <v>6400</v>
      </c>
      <c r="AL1445" s="1" t="s">
        <v>28</v>
      </c>
      <c r="AM1445" s="1">
        <v>288.0</v>
      </c>
      <c r="AN1445" s="1">
        <v>1996.0</v>
      </c>
      <c r="AO1445" s="1">
        <v>1995.0</v>
      </c>
      <c r="AQ1445" s="3">
        <v>45111.0</v>
      </c>
      <c r="AR1445" s="1" t="s">
        <v>5364</v>
      </c>
      <c r="AS1445" s="1" t="s">
        <v>6401</v>
      </c>
      <c r="AT1445" s="1" t="s">
        <v>31</v>
      </c>
      <c r="AX1445" s="1">
        <v>0.0</v>
      </c>
      <c r="AY1445" s="1">
        <v>0.0</v>
      </c>
    </row>
    <row r="1446" spans="20:51" ht="15.75" hidden="1">
      <c r="T1446" s="1">
        <v>89208.0</v>
      </c>
      <c r="U1446" s="1"/>
      <c r="V1446" s="1"/>
      <c r="W1446" s="1"/>
      <c r="X1446" s="1"/>
      <c r="Y1446" s="1" t="s">
        <v>6402</v>
      </c>
      <c r="Z1446" s="1" t="s">
        <v>6403</v>
      </c>
      <c r="AA1446" s="1" t="s">
        <v>6404</v>
      </c>
      <c r="AB1446" s="1"/>
      <c r="AC1446" s="1"/>
      <c r="AD1446" s="1"/>
      <c r="AE1446" s="1"/>
      <c r="AG1446" s="2" t="str">
        <f>"039332799X"</f>
        <v>039332799X</v>
      </c>
      <c r="AH1446" s="2" t="str">
        <f>"9780393327991"</f>
        <v>9780393327991</v>
      </c>
      <c r="AI1446" s="1">
        <v>0.0</v>
      </c>
      <c r="AJ1446" s="1">
        <v>3.58</v>
      </c>
      <c r="AK1446" s="1" t="s">
        <v>6405</v>
      </c>
      <c r="AL1446" s="1" t="s">
        <v>28</v>
      </c>
      <c r="AM1446" s="1">
        <v>388.0</v>
      </c>
      <c r="AN1446" s="1">
        <v>2005.0</v>
      </c>
      <c r="AO1446" s="1">
        <v>1994.0</v>
      </c>
      <c r="AQ1446" s="3">
        <v>43103.0</v>
      </c>
      <c r="AR1446" s="1" t="s">
        <v>5364</v>
      </c>
      <c r="AS1446" s="1" t="s">
        <v>6406</v>
      </c>
      <c r="AT1446" s="1" t="s">
        <v>31</v>
      </c>
      <c r="AX1446" s="1">
        <v>0.0</v>
      </c>
      <c r="AY1446" s="1">
        <v>0.0</v>
      </c>
    </row>
    <row r="1447" spans="20:51" ht="15.75" hidden="1">
      <c r="T1447" s="1">
        <v>9556215.0</v>
      </c>
      <c r="U1447" s="1"/>
      <c r="V1447" s="1"/>
      <c r="W1447" s="1"/>
      <c r="X1447" s="1"/>
      <c r="Y1447" s="1" t="s">
        <v>6407</v>
      </c>
      <c r="Z1447" s="1" t="s">
        <v>6408</v>
      </c>
      <c r="AA1447" s="1" t="s">
        <v>6409</v>
      </c>
      <c r="AB1447" s="1"/>
      <c r="AC1447" s="1"/>
      <c r="AD1447" s="1"/>
      <c r="AE1447" s="1"/>
      <c r="AG1447" s="2" t="str">
        <f>"0099530392"</f>
        <v>0099530392</v>
      </c>
      <c r="AH1447" s="2" t="str">
        <f>"9780099530398"</f>
        <v>9780099530398</v>
      </c>
      <c r="AI1447" s="1">
        <v>0.0</v>
      </c>
      <c r="AJ1447" s="1">
        <v>3.76</v>
      </c>
      <c r="AK1447" s="1" t="s">
        <v>2133</v>
      </c>
      <c r="AL1447" s="1" t="s">
        <v>28</v>
      </c>
      <c r="AM1447" s="1">
        <v>240.0</v>
      </c>
      <c r="AN1447" s="1">
        <v>2010.0</v>
      </c>
      <c r="AO1447" s="1">
        <v>1993.0</v>
      </c>
      <c r="AQ1447" s="3">
        <v>45111.0</v>
      </c>
      <c r="AR1447" s="1" t="s">
        <v>5364</v>
      </c>
      <c r="AS1447" s="1" t="s">
        <v>6410</v>
      </c>
      <c r="AT1447" s="1" t="s">
        <v>31</v>
      </c>
      <c r="AX1447" s="1">
        <v>0.0</v>
      </c>
      <c r="AY1447" s="1">
        <v>0.0</v>
      </c>
    </row>
    <row r="1448" spans="20:51" ht="15.75" hidden="1">
      <c r="T1448" s="1">
        <v>239592.0</v>
      </c>
      <c r="U1448" s="1"/>
      <c r="V1448" s="1"/>
      <c r="W1448" s="1"/>
      <c r="X1448" s="1"/>
      <c r="Y1448" s="1" t="s">
        <v>6411</v>
      </c>
      <c r="Z1448" s="1" t="s">
        <v>6412</v>
      </c>
      <c r="AA1448" s="1" t="s">
        <v>6413</v>
      </c>
      <c r="AB1448" s="1"/>
      <c r="AC1448" s="1"/>
      <c r="AD1448" s="1"/>
      <c r="AE1448" s="1"/>
      <c r="AG1448" s="2" t="str">
        <f>"0393311147"</f>
        <v>0393311147</v>
      </c>
      <c r="AH1448" s="2" t="str">
        <f>"9780393311143"</f>
        <v>9780393311143</v>
      </c>
      <c r="AI1448" s="1">
        <v>0.0</v>
      </c>
      <c r="AJ1448" s="1">
        <v>4.12</v>
      </c>
      <c r="AK1448" s="1" t="s">
        <v>6414</v>
      </c>
      <c r="AL1448" s="1" t="s">
        <v>28</v>
      </c>
      <c r="AM1448" s="1">
        <v>630.0</v>
      </c>
      <c r="AN1448" s="1">
        <v>1993.0</v>
      </c>
      <c r="AO1448" s="1">
        <v>1992.0</v>
      </c>
      <c r="AQ1448" s="3">
        <v>45111.0</v>
      </c>
      <c r="AR1448" s="1" t="s">
        <v>5364</v>
      </c>
      <c r="AS1448" s="1" t="s">
        <v>6415</v>
      </c>
      <c r="AT1448" s="1" t="s">
        <v>31</v>
      </c>
      <c r="AX1448" s="1">
        <v>0.0</v>
      </c>
      <c r="AY1448" s="1">
        <v>0.0</v>
      </c>
    </row>
    <row r="1449" spans="20:51" ht="15.75" hidden="1">
      <c r="T1449" s="1">
        <v>11713.0</v>
      </c>
      <c r="U1449" s="1"/>
      <c r="V1449" s="1"/>
      <c r="W1449" s="1"/>
      <c r="X1449" s="1"/>
      <c r="Y1449" s="1" t="s">
        <v>6416</v>
      </c>
      <c r="Z1449" s="1" t="s">
        <v>6417</v>
      </c>
      <c r="AA1449" s="1" t="s">
        <v>6418</v>
      </c>
      <c r="AB1449" s="1"/>
      <c r="AC1449" s="1"/>
      <c r="AD1449" s="1"/>
      <c r="AE1449" s="1"/>
      <c r="AG1449" s="2" t="str">
        <f>"0771068719"</f>
        <v>0771068719</v>
      </c>
      <c r="AH1449" s="2" t="str">
        <f>"9780771068713"</f>
        <v>9780771068713</v>
      </c>
      <c r="AI1449" s="1">
        <v>0.0</v>
      </c>
      <c r="AJ1449" s="1">
        <v>3.87</v>
      </c>
      <c r="AK1449" s="1" t="s">
        <v>6419</v>
      </c>
      <c r="AL1449" s="1" t="s">
        <v>41</v>
      </c>
      <c r="AM1449" s="1">
        <v>320.0</v>
      </c>
      <c r="AN1449" s="1">
        <v>2006.0</v>
      </c>
      <c r="AO1449" s="1">
        <v>1992.0</v>
      </c>
      <c r="AQ1449" s="3">
        <v>45111.0</v>
      </c>
      <c r="AR1449" s="1" t="s">
        <v>5364</v>
      </c>
      <c r="AS1449" s="1" t="s">
        <v>6420</v>
      </c>
      <c r="AT1449" s="1" t="s">
        <v>31</v>
      </c>
      <c r="AX1449" s="1">
        <v>0.0</v>
      </c>
      <c r="AY1449" s="1">
        <v>0.0</v>
      </c>
    </row>
    <row r="1450" spans="20:51" ht="15.75" hidden="1">
      <c r="T1450" s="1">
        <v>101094.0</v>
      </c>
      <c r="U1450" s="1"/>
      <c r="V1450" s="1"/>
      <c r="W1450" s="1"/>
      <c r="X1450" s="1"/>
      <c r="Y1450" s="1" t="s">
        <v>6421</v>
      </c>
      <c r="Z1450" s="1" t="s">
        <v>6422</v>
      </c>
      <c r="AA1450" s="1" t="s">
        <v>6423</v>
      </c>
      <c r="AB1450" s="1"/>
      <c r="AC1450" s="1"/>
      <c r="AD1450" s="1"/>
      <c r="AE1450" s="1"/>
      <c r="AG1450" s="2" t="str">
        <f>"0385425139"</f>
        <v>0385425139</v>
      </c>
      <c r="AH1450" s="2" t="str">
        <f>"9780385425131"</f>
        <v>9780385425131</v>
      </c>
      <c r="AI1450" s="1">
        <v>0.0</v>
      </c>
      <c r="AJ1450" s="1">
        <v>3.74</v>
      </c>
      <c r="AK1450" s="1" t="s">
        <v>4553</v>
      </c>
      <c r="AL1450" s="1" t="s">
        <v>28</v>
      </c>
      <c r="AM1450" s="1">
        <v>512.0</v>
      </c>
      <c r="AN1450" s="1">
        <v>1993.0</v>
      </c>
      <c r="AO1450" s="1">
        <v>1991.0</v>
      </c>
      <c r="AQ1450" s="3">
        <v>45111.0</v>
      </c>
      <c r="AR1450" s="1" t="s">
        <v>5364</v>
      </c>
      <c r="AS1450" s="1" t="s">
        <v>6424</v>
      </c>
      <c r="AT1450" s="1" t="s">
        <v>31</v>
      </c>
      <c r="AX1450" s="1">
        <v>0.0</v>
      </c>
      <c r="AY1450" s="1">
        <v>0.0</v>
      </c>
    </row>
    <row r="1451" spans="20:51" ht="15.75" hidden="1">
      <c r="T1451" s="1">
        <v>28921.0</v>
      </c>
      <c r="U1451" s="1"/>
      <c r="V1451" s="1"/>
      <c r="W1451" s="1"/>
      <c r="X1451" s="1"/>
      <c r="Y1451" s="1" t="s">
        <v>6425</v>
      </c>
      <c r="Z1451" s="1" t="s">
        <v>1734</v>
      </c>
      <c r="AA1451" s="1" t="s">
        <v>1735</v>
      </c>
      <c r="AB1451" s="1"/>
      <c r="AC1451" s="1"/>
      <c r="AD1451" s="1"/>
      <c r="AE1451" s="1"/>
      <c r="AG1451" s="2" t="str">
        <f t="shared" si="120" ref="AG1451:AH1451">""</f>
        <v/>
      </c>
      <c r="AH1451" s="2" t="str">
        <f t="shared" si="120"/>
        <v/>
      </c>
      <c r="AI1451" s="1">
        <v>0.0</v>
      </c>
      <c r="AJ1451" s="1">
        <v>4.14</v>
      </c>
      <c r="AK1451" s="1" t="s">
        <v>285</v>
      </c>
      <c r="AL1451" s="1" t="s">
        <v>28</v>
      </c>
      <c r="AM1451" s="1">
        <v>258.0</v>
      </c>
      <c r="AN1451" s="1">
        <v>2005.0</v>
      </c>
      <c r="AO1451" s="1">
        <v>1989.0</v>
      </c>
      <c r="AQ1451" s="3">
        <v>42377.0</v>
      </c>
      <c r="AR1451" s="1" t="s">
        <v>5364</v>
      </c>
      <c r="AS1451" s="1" t="s">
        <v>6426</v>
      </c>
      <c r="AT1451" s="1" t="s">
        <v>31</v>
      </c>
      <c r="AX1451" s="1">
        <v>0.0</v>
      </c>
      <c r="AY1451" s="1">
        <v>0.0</v>
      </c>
    </row>
    <row r="1452" spans="20:51" ht="15.75" hidden="1">
      <c r="T1452" s="1">
        <v>316496.0</v>
      </c>
      <c r="U1452" s="1"/>
      <c r="V1452" s="1"/>
      <c r="W1452" s="1"/>
      <c r="X1452" s="1"/>
      <c r="Y1452" s="1" t="s">
        <v>6427</v>
      </c>
      <c r="Z1452" s="1" t="s">
        <v>6025</v>
      </c>
      <c r="AA1452" s="1" t="s">
        <v>6026</v>
      </c>
      <c r="AB1452" s="1"/>
      <c r="AC1452" s="1"/>
      <c r="AD1452" s="1"/>
      <c r="AE1452" s="1"/>
      <c r="AG1452" s="2" t="str">
        <f>"0702229784"</f>
        <v>0702229784</v>
      </c>
      <c r="AH1452" s="2" t="str">
        <f>"9780702229787"</f>
        <v>9780702229787</v>
      </c>
      <c r="AI1452" s="1">
        <v>0.0</v>
      </c>
      <c r="AJ1452" s="1">
        <v>3.73</v>
      </c>
      <c r="AK1452" s="1" t="s">
        <v>6428</v>
      </c>
      <c r="AL1452" s="1" t="s">
        <v>28</v>
      </c>
      <c r="AM1452" s="1">
        <v>515.0</v>
      </c>
      <c r="AN1452" s="1">
        <v>1998.0</v>
      </c>
      <c r="AO1452" s="1">
        <v>1988.0</v>
      </c>
      <c r="AQ1452" s="3">
        <v>41840.0</v>
      </c>
      <c r="AR1452" s="1" t="s">
        <v>5364</v>
      </c>
      <c r="AS1452" s="1" t="s">
        <v>6429</v>
      </c>
      <c r="AT1452" s="1" t="s">
        <v>31</v>
      </c>
      <c r="AX1452" s="1">
        <v>0.0</v>
      </c>
      <c r="AY1452" s="1">
        <v>0.0</v>
      </c>
    </row>
    <row r="1453" spans="20:51" ht="15.75" hidden="1">
      <c r="T1453" s="1">
        <v>130028.0</v>
      </c>
      <c r="U1453" s="1"/>
      <c r="V1453" s="1"/>
      <c r="W1453" s="1"/>
      <c r="X1453" s="1"/>
      <c r="Y1453" s="1" t="s">
        <v>6430</v>
      </c>
      <c r="Z1453" s="1" t="s">
        <v>6431</v>
      </c>
      <c r="AA1453" s="1" t="s">
        <v>6432</v>
      </c>
      <c r="AB1453" s="1"/>
      <c r="AC1453" s="1"/>
      <c r="AD1453" s="1"/>
      <c r="AE1453" s="1"/>
      <c r="AG1453" s="2" t="str">
        <f>"0802135331"</f>
        <v>0802135331</v>
      </c>
      <c r="AH1453" s="2" t="str">
        <f>"9780802135339"</f>
        <v>9780802135339</v>
      </c>
      <c r="AI1453" s="1">
        <v>0.0</v>
      </c>
      <c r="AJ1453" s="1">
        <v>3.9</v>
      </c>
      <c r="AK1453" s="1" t="s">
        <v>35</v>
      </c>
      <c r="AL1453" s="1" t="s">
        <v>28</v>
      </c>
      <c r="AM1453" s="1">
        <v>208.0</v>
      </c>
      <c r="AN1453" s="1">
        <v>1997.0</v>
      </c>
      <c r="AO1453" s="1">
        <v>1987.0</v>
      </c>
      <c r="AQ1453" s="3">
        <v>45111.0</v>
      </c>
      <c r="AR1453" s="1" t="s">
        <v>5364</v>
      </c>
      <c r="AS1453" s="1" t="s">
        <v>6433</v>
      </c>
      <c r="AT1453" s="1" t="s">
        <v>31</v>
      </c>
      <c r="AX1453" s="1">
        <v>0.0</v>
      </c>
      <c r="AY1453" s="1">
        <v>0.0</v>
      </c>
    </row>
    <row r="1454" spans="20:51" ht="15.75" hidden="1">
      <c r="T1454" s="1">
        <v>366427.0</v>
      </c>
      <c r="U1454" s="1"/>
      <c r="V1454" s="1"/>
      <c r="W1454" s="1"/>
      <c r="X1454" s="1"/>
      <c r="Y1454" s="1" t="s">
        <v>6434</v>
      </c>
      <c r="Z1454" s="1" t="s">
        <v>6435</v>
      </c>
      <c r="AA1454" s="1" t="s">
        <v>6436</v>
      </c>
      <c r="AB1454" s="1"/>
      <c r="AC1454" s="1"/>
      <c r="AD1454" s="1"/>
      <c r="AE1454" s="1"/>
      <c r="AG1454" s="2" t="str">
        <f t="shared" si="121" ref="AG1454:AH1454">""</f>
        <v/>
      </c>
      <c r="AH1454" s="2" t="str">
        <f t="shared" si="121"/>
        <v/>
      </c>
      <c r="AI1454" s="1">
        <v>0.0</v>
      </c>
      <c r="AJ1454" s="1">
        <v>3.33</v>
      </c>
      <c r="AK1454" s="1" t="s">
        <v>988</v>
      </c>
      <c r="AL1454" s="1" t="s">
        <v>28</v>
      </c>
      <c r="AM1454" s="1">
        <v>381.0</v>
      </c>
      <c r="AN1454" s="1">
        <v>2004.0</v>
      </c>
      <c r="AO1454" s="1">
        <v>1986.0</v>
      </c>
      <c r="AQ1454" s="3">
        <v>45111.0</v>
      </c>
      <c r="AR1454" s="1" t="s">
        <v>5364</v>
      </c>
      <c r="AS1454" s="1" t="s">
        <v>6437</v>
      </c>
      <c r="AT1454" s="1" t="s">
        <v>31</v>
      </c>
      <c r="AX1454" s="1">
        <v>0.0</v>
      </c>
      <c r="AY1454" s="1">
        <v>0.0</v>
      </c>
    </row>
    <row r="1455" spans="20:51" ht="15.75" hidden="1">
      <c r="T1455" s="1">
        <v>460635.0</v>
      </c>
      <c r="U1455" s="1"/>
      <c r="V1455" s="1"/>
      <c r="W1455" s="1"/>
      <c r="X1455" s="1"/>
      <c r="Y1455" s="1" t="s">
        <v>6438</v>
      </c>
      <c r="Z1455" s="1" t="s">
        <v>6439</v>
      </c>
      <c r="AA1455" s="1" t="s">
        <v>6440</v>
      </c>
      <c r="AB1455" s="1"/>
      <c r="AC1455" s="1"/>
      <c r="AD1455" s="1"/>
      <c r="AE1455" s="1"/>
      <c r="AG1455" s="2" t="str">
        <f>"0140089225"</f>
        <v>0140089225</v>
      </c>
      <c r="AH1455" s="2" t="str">
        <f>"9780140089226"</f>
        <v>9780140089226</v>
      </c>
      <c r="AI1455" s="1">
        <v>0.0</v>
      </c>
      <c r="AJ1455" s="1">
        <v>4.04</v>
      </c>
      <c r="AK1455" s="1" t="s">
        <v>460</v>
      </c>
      <c r="AL1455" s="1" t="s">
        <v>28</v>
      </c>
      <c r="AM1455" s="1">
        <v>450.0</v>
      </c>
      <c r="AN1455" s="1">
        <v>1986.0</v>
      </c>
      <c r="AO1455" s="1">
        <v>1984.0</v>
      </c>
      <c r="AQ1455" s="3">
        <v>45111.0</v>
      </c>
      <c r="AR1455" s="1" t="s">
        <v>5364</v>
      </c>
      <c r="AS1455" s="1" t="s">
        <v>6441</v>
      </c>
      <c r="AT1455" s="1" t="s">
        <v>31</v>
      </c>
      <c r="AX1455" s="1">
        <v>0.0</v>
      </c>
      <c r="AY1455" s="1">
        <v>0.0</v>
      </c>
    </row>
    <row r="1456" spans="20:51" ht="15.75" hidden="1">
      <c r="T1456" s="1">
        <v>251665.0</v>
      </c>
      <c r="U1456" s="1"/>
      <c r="V1456" s="1"/>
      <c r="W1456" s="1"/>
      <c r="X1456" s="1"/>
      <c r="Y1456" s="1" t="s">
        <v>6442</v>
      </c>
      <c r="Z1456" s="1" t="s">
        <v>6443</v>
      </c>
      <c r="AA1456" s="1" t="s">
        <v>6444</v>
      </c>
      <c r="AB1456" s="1"/>
      <c r="AC1456" s="1"/>
      <c r="AD1456" s="1"/>
      <c r="AE1456" s="1"/>
      <c r="AG1456" s="2" t="str">
        <f>"0679759328"</f>
        <v>0679759328</v>
      </c>
      <c r="AH1456" s="2" t="str">
        <f>"9780679759324"</f>
        <v>9780679759324</v>
      </c>
      <c r="AI1456" s="1">
        <v>0.0</v>
      </c>
      <c r="AJ1456" s="1">
        <v>3.6</v>
      </c>
      <c r="AK1456" s="1" t="s">
        <v>263</v>
      </c>
      <c r="AL1456" s="1" t="s">
        <v>28</v>
      </c>
      <c r="AM1456" s="1">
        <v>184.0</v>
      </c>
      <c r="AN1456" s="1">
        <v>1995.0</v>
      </c>
      <c r="AO1456" s="1">
        <v>1984.0</v>
      </c>
      <c r="AQ1456" s="3">
        <v>45111.0</v>
      </c>
      <c r="AR1456" s="1" t="s">
        <v>5364</v>
      </c>
      <c r="AS1456" s="1" t="s">
        <v>6445</v>
      </c>
      <c r="AT1456" s="1" t="s">
        <v>31</v>
      </c>
      <c r="AX1456" s="1">
        <v>0.0</v>
      </c>
      <c r="AY1456" s="1">
        <v>0.0</v>
      </c>
    </row>
    <row r="1457" spans="20:51" ht="15.75" hidden="1">
      <c r="T1457" s="1">
        <v>6193.0</v>
      </c>
      <c r="U1457" s="1"/>
      <c r="V1457" s="1"/>
      <c r="W1457" s="1"/>
      <c r="X1457" s="1"/>
      <c r="Y1457" s="1" t="s">
        <v>6446</v>
      </c>
      <c r="Z1457" s="1" t="s">
        <v>627</v>
      </c>
      <c r="AA1457" s="1" t="s">
        <v>628</v>
      </c>
      <c r="AB1457" s="1"/>
      <c r="AC1457" s="1"/>
      <c r="AD1457" s="1"/>
      <c r="AE1457" s="1"/>
      <c r="AG1457" s="2" t="str">
        <f t="shared" si="122" ref="AG1457:AH1457">""</f>
        <v/>
      </c>
      <c r="AH1457" s="2" t="str">
        <f t="shared" si="122"/>
        <v/>
      </c>
      <c r="AI1457" s="1">
        <v>0.0</v>
      </c>
      <c r="AJ1457" s="1">
        <v>3.86</v>
      </c>
      <c r="AK1457" s="1" t="s">
        <v>83</v>
      </c>
      <c r="AL1457" s="1" t="s">
        <v>28</v>
      </c>
      <c r="AM1457" s="1">
        <v>192.0</v>
      </c>
      <c r="AN1457" s="1">
        <v>2004.0</v>
      </c>
      <c r="AO1457" s="1">
        <v>1983.0</v>
      </c>
      <c r="AQ1457" s="3">
        <v>45111.0</v>
      </c>
      <c r="AR1457" s="1" t="s">
        <v>5364</v>
      </c>
      <c r="AS1457" s="1" t="s">
        <v>6447</v>
      </c>
      <c r="AT1457" s="1" t="s">
        <v>31</v>
      </c>
      <c r="AX1457" s="1">
        <v>0.0</v>
      </c>
      <c r="AY1457" s="1">
        <v>0.0</v>
      </c>
    </row>
    <row r="1458" spans="20:51" ht="15.75" hidden="1">
      <c r="T1458" s="1">
        <v>268302.0</v>
      </c>
      <c r="U1458" s="1"/>
      <c r="V1458" s="1"/>
      <c r="W1458" s="1"/>
      <c r="X1458" s="1"/>
      <c r="Y1458" s="1" t="s">
        <v>6448</v>
      </c>
      <c r="Z1458" s="1" t="s">
        <v>6449</v>
      </c>
      <c r="AA1458" s="1" t="s">
        <v>6450</v>
      </c>
      <c r="AB1458" s="1"/>
      <c r="AC1458" s="1"/>
      <c r="AD1458" s="1"/>
      <c r="AE1458" s="1"/>
      <c r="AG1458" s="2" t="str">
        <f t="shared" si="123" ref="AG1458:AH1458">""</f>
        <v/>
      </c>
      <c r="AH1458" s="2" t="str">
        <f t="shared" si="123"/>
        <v/>
      </c>
      <c r="AI1458" s="1">
        <v>0.0</v>
      </c>
      <c r="AJ1458" s="1">
        <v>4.34</v>
      </c>
      <c r="AK1458" s="1" t="s">
        <v>6451</v>
      </c>
      <c r="AL1458" s="1" t="s">
        <v>28</v>
      </c>
      <c r="AM1458" s="1">
        <v>429.0</v>
      </c>
      <c r="AN1458" s="1">
        <v>1996.0</v>
      </c>
      <c r="AO1458" s="1">
        <v>1982.0</v>
      </c>
      <c r="AQ1458" s="3">
        <v>45111.0</v>
      </c>
      <c r="AR1458" s="1" t="s">
        <v>5364</v>
      </c>
      <c r="AS1458" s="1" t="s">
        <v>6452</v>
      </c>
      <c r="AT1458" s="1" t="s">
        <v>31</v>
      </c>
      <c r="AX1458" s="1">
        <v>0.0</v>
      </c>
      <c r="AY1458" s="1">
        <v>0.0</v>
      </c>
    </row>
    <row r="1459" spans="20:51" ht="15.75" hidden="1">
      <c r="T1459" s="1">
        <v>605573.0</v>
      </c>
      <c r="U1459" s="1"/>
      <c r="V1459" s="1"/>
      <c r="W1459" s="1"/>
      <c r="X1459" s="1"/>
      <c r="Y1459" s="1" t="s">
        <v>6453</v>
      </c>
      <c r="Z1459" s="1" t="s">
        <v>1881</v>
      </c>
      <c r="AA1459" s="1" t="s">
        <v>1882</v>
      </c>
      <c r="AB1459" s="1"/>
      <c r="AC1459" s="1"/>
      <c r="AD1459" s="1"/>
      <c r="AE1459" s="1"/>
      <c r="AG1459" s="2" t="str">
        <f t="shared" si="124" ref="AG1459:AH1459">""</f>
        <v/>
      </c>
      <c r="AH1459" s="2" t="str">
        <f t="shared" si="124"/>
        <v/>
      </c>
      <c r="AI1459" s="1">
        <v>0.0</v>
      </c>
      <c r="AJ1459" s="1">
        <v>3.98</v>
      </c>
      <c r="AK1459" s="1" t="s">
        <v>2105</v>
      </c>
      <c r="AL1459" s="1" t="s">
        <v>28</v>
      </c>
      <c r="AM1459" s="1">
        <v>536.0</v>
      </c>
      <c r="AN1459" s="1">
        <v>2006.0</v>
      </c>
      <c r="AO1459" s="1">
        <v>1981.0</v>
      </c>
      <c r="AQ1459" s="3">
        <v>45111.0</v>
      </c>
      <c r="AR1459" s="1" t="s">
        <v>5364</v>
      </c>
      <c r="AS1459" s="1" t="s">
        <v>6454</v>
      </c>
      <c r="AT1459" s="1" t="s">
        <v>31</v>
      </c>
      <c r="AX1459" s="1">
        <v>0.0</v>
      </c>
      <c r="AY1459" s="1">
        <v>0.0</v>
      </c>
    </row>
    <row r="1460" spans="20:51" ht="15.75" hidden="1">
      <c r="T1460" s="1">
        <v>14431.0</v>
      </c>
      <c r="U1460" s="1"/>
      <c r="V1460" s="1"/>
      <c r="W1460" s="1"/>
      <c r="X1460" s="1"/>
      <c r="Y1460" s="1" t="s">
        <v>6455</v>
      </c>
      <c r="Z1460" s="1" t="s">
        <v>4531</v>
      </c>
      <c r="AA1460" s="1" t="s">
        <v>4532</v>
      </c>
      <c r="AB1460" s="1"/>
      <c r="AC1460" s="1"/>
      <c r="AD1460" s="1"/>
      <c r="AE1460" s="1"/>
      <c r="AG1460" s="2" t="str">
        <f>"0571209432"</f>
        <v>0571209432</v>
      </c>
      <c r="AH1460" s="2" t="str">
        <f>"9780571209439"</f>
        <v>9780571209439</v>
      </c>
      <c r="AI1460" s="1">
        <v>0.0</v>
      </c>
      <c r="AJ1460" s="1">
        <v>3.58</v>
      </c>
      <c r="AK1460" s="1" t="s">
        <v>1589</v>
      </c>
      <c r="AL1460" s="1" t="s">
        <v>28</v>
      </c>
      <c r="AM1460" s="1">
        <v>278.0</v>
      </c>
      <c r="AN1460" s="1">
        <v>2001.0</v>
      </c>
      <c r="AO1460" s="1">
        <v>1980.0</v>
      </c>
      <c r="AQ1460" s="3">
        <v>45111.0</v>
      </c>
      <c r="AR1460" s="1" t="s">
        <v>5364</v>
      </c>
      <c r="AS1460" s="1" t="s">
        <v>6456</v>
      </c>
      <c r="AT1460" s="1" t="s">
        <v>31</v>
      </c>
      <c r="AX1460" s="1">
        <v>0.0</v>
      </c>
      <c r="AY1460" s="1">
        <v>0.0</v>
      </c>
    </row>
    <row r="1461" spans="20:51" ht="15.75" hidden="1">
      <c r="T1461" s="1">
        <v>108615.0</v>
      </c>
      <c r="U1461" s="1"/>
      <c r="V1461" s="1"/>
      <c r="W1461" s="1"/>
      <c r="X1461" s="1"/>
      <c r="Y1461" s="1" t="s">
        <v>6457</v>
      </c>
      <c r="Z1461" s="1" t="s">
        <v>6458</v>
      </c>
      <c r="AA1461" s="1" t="s">
        <v>6459</v>
      </c>
      <c r="AB1461" s="1"/>
      <c r="AC1461" s="1"/>
      <c r="AD1461" s="1"/>
      <c r="AE1461" s="1"/>
      <c r="AG1461" s="2" t="str">
        <f>"0006542565"</f>
        <v>0006542565</v>
      </c>
      <c r="AH1461" s="2" t="str">
        <f>"9780006542568"</f>
        <v>9780006542568</v>
      </c>
      <c r="AI1461" s="1">
        <v>0.0</v>
      </c>
      <c r="AJ1461" s="1">
        <v>3.59</v>
      </c>
      <c r="AK1461" s="1" t="s">
        <v>474</v>
      </c>
      <c r="AL1461" s="1" t="s">
        <v>28</v>
      </c>
      <c r="AM1461" s="1">
        <v>140.0</v>
      </c>
      <c r="AN1461" s="1">
        <v>2003.0</v>
      </c>
      <c r="AO1461" s="1">
        <v>1979.0</v>
      </c>
      <c r="AQ1461" s="3">
        <v>45111.0</v>
      </c>
      <c r="AR1461" s="1" t="s">
        <v>5364</v>
      </c>
      <c r="AS1461" s="1" t="s">
        <v>6460</v>
      </c>
      <c r="AT1461" s="1" t="s">
        <v>31</v>
      </c>
      <c r="AX1461" s="1">
        <v>0.0</v>
      </c>
      <c r="AY1461" s="1">
        <v>0.0</v>
      </c>
    </row>
    <row r="1462" spans="20:51" ht="15.75" hidden="1">
      <c r="T1462" s="1">
        <v>11229.0</v>
      </c>
      <c r="U1462" s="1"/>
      <c r="V1462" s="1"/>
      <c r="W1462" s="1"/>
      <c r="X1462" s="1"/>
      <c r="Y1462" s="1" t="s">
        <v>6461</v>
      </c>
      <c r="Z1462" s="1" t="s">
        <v>6462</v>
      </c>
      <c r="AA1462" s="1" t="s">
        <v>6463</v>
      </c>
      <c r="AB1462" s="1"/>
      <c r="AC1462" s="1"/>
      <c r="AD1462" s="1"/>
      <c r="AE1462" s="1"/>
      <c r="AF1462" s="1" t="s">
        <v>6464</v>
      </c>
      <c r="AG1462" s="2" t="str">
        <f>"014118616X"</f>
        <v>014118616X</v>
      </c>
      <c r="AH1462" s="2" t="str">
        <f>"9780141186160"</f>
        <v>9780141186160</v>
      </c>
      <c r="AI1462" s="1">
        <v>0.0</v>
      </c>
      <c r="AJ1462" s="1">
        <v>3.94</v>
      </c>
      <c r="AK1462" s="1" t="s">
        <v>119</v>
      </c>
      <c r="AL1462" s="1" t="s">
        <v>28</v>
      </c>
      <c r="AM1462" s="1">
        <v>528.0</v>
      </c>
      <c r="AN1462" s="1">
        <v>2001.0</v>
      </c>
      <c r="AO1462" s="1">
        <v>1978.0</v>
      </c>
      <c r="AQ1462" s="3">
        <v>45111.0</v>
      </c>
      <c r="AR1462" s="1" t="s">
        <v>5364</v>
      </c>
      <c r="AS1462" s="1" t="s">
        <v>6465</v>
      </c>
      <c r="AT1462" s="1" t="s">
        <v>31</v>
      </c>
      <c r="AX1462" s="1">
        <v>0.0</v>
      </c>
      <c r="AY1462" s="1">
        <v>0.0</v>
      </c>
    </row>
    <row r="1463" spans="20:51" ht="15.75" hidden="1">
      <c r="T1463" s="1">
        <v>414824.0</v>
      </c>
      <c r="U1463" s="1"/>
      <c r="V1463" s="1"/>
      <c r="W1463" s="1"/>
      <c r="X1463" s="1"/>
      <c r="Y1463" s="1" t="s">
        <v>6466</v>
      </c>
      <c r="Z1463" s="1" t="s">
        <v>6467</v>
      </c>
      <c r="AA1463" s="1" t="s">
        <v>6468</v>
      </c>
      <c r="AB1463" s="1"/>
      <c r="AC1463" s="1"/>
      <c r="AD1463" s="1"/>
      <c r="AE1463" s="1"/>
      <c r="AG1463" s="2" t="str">
        <f>"0099443198"</f>
        <v>0099443198</v>
      </c>
      <c r="AH1463" s="2" t="str">
        <f>"9780099443193"</f>
        <v>9780099443193</v>
      </c>
      <c r="AI1463" s="1">
        <v>0.0</v>
      </c>
      <c r="AJ1463" s="1">
        <v>3.89</v>
      </c>
      <c r="AK1463" s="1" t="s">
        <v>6469</v>
      </c>
      <c r="AL1463" s="1" t="s">
        <v>28</v>
      </c>
      <c r="AM1463" s="1">
        <v>256.0</v>
      </c>
      <c r="AN1463" s="1">
        <v>2005.0</v>
      </c>
      <c r="AO1463" s="1">
        <v>1977.0</v>
      </c>
      <c r="AQ1463" s="3">
        <v>45111.0</v>
      </c>
      <c r="AR1463" s="1" t="s">
        <v>5364</v>
      </c>
      <c r="AS1463" s="1" t="s">
        <v>6470</v>
      </c>
      <c r="AT1463" s="1" t="s">
        <v>31</v>
      </c>
      <c r="AX1463" s="1">
        <v>0.0</v>
      </c>
      <c r="AY1463" s="1">
        <v>0.0</v>
      </c>
    </row>
    <row r="1464" spans="20:51" ht="15.75" hidden="1">
      <c r="T1464" s="1">
        <v>171833.0</v>
      </c>
      <c r="U1464" s="1"/>
      <c r="V1464" s="1"/>
      <c r="W1464" s="1"/>
      <c r="X1464" s="1"/>
      <c r="Y1464" s="1" t="s">
        <v>6471</v>
      </c>
      <c r="Z1464" s="1" t="s">
        <v>6472</v>
      </c>
      <c r="AA1464" s="1" t="s">
        <v>6473</v>
      </c>
      <c r="AB1464" s="1"/>
      <c r="AC1464" s="1"/>
      <c r="AD1464" s="1"/>
      <c r="AE1464" s="1"/>
      <c r="AG1464" s="2" t="str">
        <f>"0380018896"</f>
        <v>0380018896</v>
      </c>
      <c r="AH1464" s="2" t="str">
        <f>"9780380018895"</f>
        <v>9780380018895</v>
      </c>
      <c r="AI1464" s="1">
        <v>0.0</v>
      </c>
      <c r="AJ1464" s="1">
        <v>3.51</v>
      </c>
      <c r="AK1464" s="1" t="s">
        <v>6474</v>
      </c>
      <c r="AL1464" s="1" t="s">
        <v>28</v>
      </c>
      <c r="AM1464" s="1">
        <v>597.0</v>
      </c>
      <c r="AN1464" s="1">
        <v>1978.0</v>
      </c>
      <c r="AO1464" s="1">
        <v>1976.0</v>
      </c>
      <c r="AQ1464" s="3">
        <v>45111.0</v>
      </c>
      <c r="AR1464" s="1" t="s">
        <v>5364</v>
      </c>
      <c r="AS1464" s="1" t="s">
        <v>6475</v>
      </c>
      <c r="AT1464" s="1" t="s">
        <v>31</v>
      </c>
      <c r="AX1464" s="1">
        <v>0.0</v>
      </c>
      <c r="AY1464" s="1">
        <v>0.0</v>
      </c>
    </row>
    <row r="1465" spans="20:51" ht="15.75" hidden="1">
      <c r="T1465" s="1">
        <v>3853.0</v>
      </c>
      <c r="U1465" s="1"/>
      <c r="V1465" s="1"/>
      <c r="W1465" s="1"/>
      <c r="X1465" s="1"/>
      <c r="Y1465" s="1" t="s">
        <v>6476</v>
      </c>
      <c r="Z1465" s="1" t="s">
        <v>6477</v>
      </c>
      <c r="AA1465" s="1" t="s">
        <v>6478</v>
      </c>
      <c r="AB1465" s="1"/>
      <c r="AC1465" s="1"/>
      <c r="AD1465" s="1"/>
      <c r="AE1465" s="1"/>
      <c r="AG1465" s="2" t="str">
        <f>"1582430152"</f>
        <v>1582430152</v>
      </c>
      <c r="AH1465" s="2" t="str">
        <f>"9781582430157"</f>
        <v>9781582430157</v>
      </c>
      <c r="AI1465" s="1">
        <v>0.0</v>
      </c>
      <c r="AJ1465" s="1">
        <v>3.55</v>
      </c>
      <c r="AK1465" s="1" t="s">
        <v>6479</v>
      </c>
      <c r="AL1465" s="1" t="s">
        <v>28</v>
      </c>
      <c r="AM1465" s="1">
        <v>190.0</v>
      </c>
      <c r="AN1465" s="1">
        <v>1999.0</v>
      </c>
      <c r="AO1465" s="1">
        <v>1975.0</v>
      </c>
      <c r="AQ1465" s="3">
        <v>45111.0</v>
      </c>
      <c r="AR1465" s="1" t="s">
        <v>5364</v>
      </c>
      <c r="AS1465" s="1" t="s">
        <v>6480</v>
      </c>
      <c r="AT1465" s="1" t="s">
        <v>31</v>
      </c>
      <c r="AX1465" s="1">
        <v>0.0</v>
      </c>
      <c r="AY1465" s="1">
        <v>0.0</v>
      </c>
    </row>
    <row r="1466" spans="20:51" ht="15.75" hidden="1">
      <c r="T1466" s="1">
        <v>96337.0</v>
      </c>
      <c r="U1466" s="1"/>
      <c r="V1466" s="1"/>
      <c r="W1466" s="1"/>
      <c r="X1466" s="1"/>
      <c r="Y1466" s="1" t="s">
        <v>6481</v>
      </c>
      <c r="Z1466" s="1" t="s">
        <v>6482</v>
      </c>
      <c r="AA1466" s="1" t="s">
        <v>6483</v>
      </c>
      <c r="AB1466" s="1"/>
      <c r="AC1466" s="1"/>
      <c r="AD1466" s="1"/>
      <c r="AE1466" s="1"/>
      <c r="AG1466" s="2" t="str">
        <f>"0140047166"</f>
        <v>0140047166</v>
      </c>
      <c r="AH1466" s="2" t="str">
        <f>"9780140047165"</f>
        <v>9780140047165</v>
      </c>
      <c r="AI1466" s="1">
        <v>0.0</v>
      </c>
      <c r="AJ1466" s="1">
        <v>3.32</v>
      </c>
      <c r="AK1466" s="1" t="s">
        <v>460</v>
      </c>
      <c r="AL1466" s="1" t="s">
        <v>28</v>
      </c>
      <c r="AM1466" s="1">
        <v>267.0</v>
      </c>
      <c r="AN1466" s="1">
        <v>1983.0</v>
      </c>
      <c r="AO1466" s="1">
        <v>1974.0</v>
      </c>
      <c r="AQ1466" s="3">
        <v>45111.0</v>
      </c>
      <c r="AR1466" s="1" t="s">
        <v>5364</v>
      </c>
      <c r="AS1466" s="1" t="s">
        <v>6484</v>
      </c>
      <c r="AT1466" s="1" t="s">
        <v>31</v>
      </c>
      <c r="AX1466" s="1">
        <v>0.0</v>
      </c>
      <c r="AY1466" s="1">
        <v>0.0</v>
      </c>
    </row>
    <row r="1467" spans="20:51" ht="15.75" hidden="1">
      <c r="T1467" s="1">
        <v>256280.0</v>
      </c>
      <c r="U1467" s="1"/>
      <c r="V1467" s="1"/>
      <c r="W1467" s="1"/>
      <c r="X1467" s="1"/>
      <c r="Y1467" s="1" t="s">
        <v>6485</v>
      </c>
      <c r="Z1467" s="1" t="s">
        <v>6486</v>
      </c>
      <c r="AA1467" s="1" t="s">
        <v>6487</v>
      </c>
      <c r="AB1467" s="1"/>
      <c r="AC1467" s="1"/>
      <c r="AD1467" s="1"/>
      <c r="AE1467" s="1"/>
      <c r="AF1467" s="1" t="s">
        <v>6488</v>
      </c>
      <c r="AG1467" s="2" t="str">
        <f>"159017092X"</f>
        <v>159017092X</v>
      </c>
      <c r="AH1467" s="2" t="str">
        <f>"9781590170922"</f>
        <v>9781590170922</v>
      </c>
      <c r="AI1467" s="1">
        <v>0.0</v>
      </c>
      <c r="AJ1467" s="1">
        <v>3.92</v>
      </c>
      <c r="AK1467" s="1" t="s">
        <v>77</v>
      </c>
      <c r="AL1467" s="1" t="s">
        <v>28</v>
      </c>
      <c r="AM1467" s="1">
        <v>344.0</v>
      </c>
      <c r="AN1467" s="1">
        <v>2004.0</v>
      </c>
      <c r="AO1467" s="1">
        <v>1973.0</v>
      </c>
      <c r="AQ1467" s="3">
        <v>45111.0</v>
      </c>
      <c r="AR1467" s="1" t="s">
        <v>5364</v>
      </c>
      <c r="AS1467" s="1" t="s">
        <v>6489</v>
      </c>
      <c r="AT1467" s="1" t="s">
        <v>31</v>
      </c>
      <c r="AX1467" s="1">
        <v>0.0</v>
      </c>
      <c r="AY1467" s="1">
        <v>0.0</v>
      </c>
    </row>
    <row r="1468" spans="20:51" ht="15.75" hidden="1">
      <c r="T1468" s="1">
        <v>299813.0</v>
      </c>
      <c r="U1468" s="1"/>
      <c r="V1468" s="1"/>
      <c r="W1468" s="1"/>
      <c r="X1468" s="1"/>
      <c r="Y1468" s="1" t="s">
        <v>6490</v>
      </c>
      <c r="Z1468" s="1" t="s">
        <v>4030</v>
      </c>
      <c r="AA1468" s="1" t="s">
        <v>4031</v>
      </c>
      <c r="AB1468" s="1"/>
      <c r="AC1468" s="1"/>
      <c r="AD1468" s="1"/>
      <c r="AE1468" s="1"/>
      <c r="AG1468" s="2" t="str">
        <f>"0679736549"</f>
        <v>0679736549</v>
      </c>
      <c r="AH1468" s="2" t="str">
        <f>"9780679736547"</f>
        <v>9780679736547</v>
      </c>
      <c r="AI1468" s="1">
        <v>0.0</v>
      </c>
      <c r="AJ1468" s="1">
        <v>3.68</v>
      </c>
      <c r="AK1468" s="1" t="s">
        <v>83</v>
      </c>
      <c r="AL1468" s="1" t="s">
        <v>28</v>
      </c>
      <c r="AM1468" s="1">
        <v>336.0</v>
      </c>
      <c r="AN1468" s="1">
        <v>1992.0</v>
      </c>
      <c r="AO1468" s="1">
        <v>1972.0</v>
      </c>
      <c r="AQ1468" s="3">
        <v>43107.0</v>
      </c>
      <c r="AR1468" s="1" t="s">
        <v>5364</v>
      </c>
      <c r="AS1468" s="1" t="s">
        <v>6491</v>
      </c>
      <c r="AT1468" s="1" t="s">
        <v>31</v>
      </c>
      <c r="AX1468" s="1">
        <v>0.0</v>
      </c>
      <c r="AY1468" s="1">
        <v>0.0</v>
      </c>
    </row>
    <row r="1469" spans="20:51" ht="15.75" hidden="1">
      <c r="T1469" s="1">
        <v>49742.0</v>
      </c>
      <c r="U1469" s="1"/>
      <c r="V1469" s="1"/>
      <c r="W1469" s="1"/>
      <c r="X1469" s="1"/>
      <c r="Y1469" s="1" t="s">
        <v>6492</v>
      </c>
      <c r="Z1469" s="1" t="s">
        <v>6493</v>
      </c>
      <c r="AA1469" s="1" t="s">
        <v>6494</v>
      </c>
      <c r="AB1469" s="1"/>
      <c r="AC1469" s="1"/>
      <c r="AD1469" s="1"/>
      <c r="AE1469" s="1"/>
      <c r="AG1469" s="2" t="str">
        <f>"1400030552"</f>
        <v>1400030552</v>
      </c>
      <c r="AH1469" s="2" t="str">
        <f>"9781400030552"</f>
        <v>9781400030552</v>
      </c>
      <c r="AI1469" s="1">
        <v>0.0</v>
      </c>
      <c r="AJ1469" s="1">
        <v>3.49</v>
      </c>
      <c r="AK1469" s="1" t="s">
        <v>83</v>
      </c>
      <c r="AL1469" s="1" t="s">
        <v>28</v>
      </c>
      <c r="AM1469" s="1">
        <v>256.0</v>
      </c>
      <c r="AN1469" s="1">
        <v>2002.0</v>
      </c>
      <c r="AO1469" s="1">
        <v>1971.0</v>
      </c>
      <c r="AQ1469" s="3">
        <v>45111.0</v>
      </c>
      <c r="AR1469" s="1" t="s">
        <v>5364</v>
      </c>
      <c r="AS1469" s="1" t="s">
        <v>6495</v>
      </c>
      <c r="AT1469" s="1" t="s">
        <v>31</v>
      </c>
      <c r="AX1469" s="1">
        <v>0.0</v>
      </c>
      <c r="AY1469" s="1">
        <v>0.0</v>
      </c>
    </row>
    <row r="1470" spans="20:51" ht="15.75" hidden="1">
      <c r="T1470" s="1">
        <v>256279.0</v>
      </c>
      <c r="U1470" s="1"/>
      <c r="V1470" s="1"/>
      <c r="W1470" s="1"/>
      <c r="X1470" s="1"/>
      <c r="Y1470" s="1" t="s">
        <v>6496</v>
      </c>
      <c r="Z1470" s="1" t="s">
        <v>6486</v>
      </c>
      <c r="AA1470" s="1" t="s">
        <v>6487</v>
      </c>
      <c r="AB1470" s="1"/>
      <c r="AC1470" s="1"/>
      <c r="AD1470" s="1"/>
      <c r="AE1470" s="1"/>
      <c r="AF1470" s="1" t="s">
        <v>1108</v>
      </c>
      <c r="AG1470" s="2" t="str">
        <f>"1590170180"</f>
        <v>1590170180</v>
      </c>
      <c r="AH1470" s="2" t="str">
        <f>"9781590170182"</f>
        <v>9781590170182</v>
      </c>
      <c r="AI1470" s="1">
        <v>0.0</v>
      </c>
      <c r="AJ1470" s="1">
        <v>3.82</v>
      </c>
      <c r="AK1470" s="1" t="s">
        <v>77</v>
      </c>
      <c r="AL1470" s="1" t="s">
        <v>28</v>
      </c>
      <c r="AM1470" s="1">
        <v>459.0</v>
      </c>
      <c r="AN1470" s="1">
        <v>2002.0</v>
      </c>
      <c r="AO1470" s="1">
        <v>1970.0</v>
      </c>
      <c r="AQ1470" s="3">
        <v>45111.0</v>
      </c>
      <c r="AR1470" s="1" t="s">
        <v>5364</v>
      </c>
      <c r="AS1470" s="1" t="s">
        <v>6497</v>
      </c>
      <c r="AT1470" s="1" t="s">
        <v>31</v>
      </c>
      <c r="AX1470" s="1">
        <v>0.0</v>
      </c>
      <c r="AY1470" s="1">
        <v>0.0</v>
      </c>
    </row>
    <row r="1471" spans="20:51" ht="15.75" hidden="1">
      <c r="T1471" s="1">
        <v>6737970.0</v>
      </c>
      <c r="U1471" s="1"/>
      <c r="V1471" s="1"/>
      <c r="W1471" s="1"/>
      <c r="X1471" s="1"/>
      <c r="Y1471" s="1" t="s">
        <v>6498</v>
      </c>
      <c r="Z1471" s="1" t="s">
        <v>489</v>
      </c>
      <c r="AA1471" s="1" t="s">
        <v>490</v>
      </c>
      <c r="AB1471" s="1"/>
      <c r="AC1471" s="1"/>
      <c r="AD1471" s="1"/>
      <c r="AE1471" s="1"/>
      <c r="AG1471" s="2" t="str">
        <f>"0224082078"</f>
        <v>0224082078</v>
      </c>
      <c r="AH1471" s="2" t="str">
        <f>"9780224082075"</f>
        <v>9780224082075</v>
      </c>
      <c r="AI1471" s="1">
        <v>0.0</v>
      </c>
      <c r="AJ1471" s="1">
        <v>4.13</v>
      </c>
      <c r="AK1471" s="1" t="s">
        <v>4395</v>
      </c>
      <c r="AL1471" s="1" t="s">
        <v>41</v>
      </c>
      <c r="AM1471" s="1">
        <v>288.0</v>
      </c>
      <c r="AN1471" s="1">
        <v>2010.0</v>
      </c>
      <c r="AO1471" s="1">
        <v>2006.0</v>
      </c>
      <c r="AQ1471" s="3">
        <v>45101.0</v>
      </c>
      <c r="AR1471" s="1" t="s">
        <v>31</v>
      </c>
      <c r="AS1471" s="1" t="s">
        <v>6499</v>
      </c>
      <c r="AT1471" s="1" t="s">
        <v>31</v>
      </c>
      <c r="AX1471" s="1">
        <v>0.0</v>
      </c>
      <c r="AY1471" s="1">
        <v>0.0</v>
      </c>
    </row>
    <row r="1472" spans="20:51" ht="15.75" hidden="1">
      <c r="T1472" s="1">
        <v>438571.0</v>
      </c>
      <c r="U1472" s="1"/>
      <c r="V1472" s="1"/>
      <c r="W1472" s="1"/>
      <c r="X1472" s="1"/>
      <c r="Y1472" s="1" t="s">
        <v>6500</v>
      </c>
      <c r="Z1472" s="1" t="s">
        <v>489</v>
      </c>
      <c r="AA1472" s="1" t="s">
        <v>490</v>
      </c>
      <c r="AB1472" s="1"/>
      <c r="AC1472" s="1"/>
      <c r="AD1472" s="1"/>
      <c r="AE1472" s="1"/>
      <c r="AF1472" s="1" t="s">
        <v>3051</v>
      </c>
      <c r="AG1472" s="2" t="str">
        <f>"1400076129"</f>
        <v>1400076129</v>
      </c>
      <c r="AH1472" s="2" t="str">
        <f>"9781400076123"</f>
        <v>9781400076123</v>
      </c>
      <c r="AI1472" s="1">
        <v>0.0</v>
      </c>
      <c r="AJ1472" s="1">
        <v>4.03</v>
      </c>
      <c r="AK1472" s="1" t="s">
        <v>83</v>
      </c>
      <c r="AL1472" s="1" t="s">
        <v>28</v>
      </c>
      <c r="AM1472" s="1">
        <v>336.0</v>
      </c>
      <c r="AN1472" s="1">
        <v>2006.0</v>
      </c>
      <c r="AO1472" s="1">
        <v>2002.0</v>
      </c>
      <c r="AQ1472" s="3">
        <v>44967.0</v>
      </c>
      <c r="AR1472" s="1" t="s">
        <v>1019</v>
      </c>
      <c r="AS1472" s="1" t="s">
        <v>6501</v>
      </c>
      <c r="AT1472" s="1" t="s">
        <v>31</v>
      </c>
      <c r="AX1472" s="1">
        <v>0.0</v>
      </c>
      <c r="AY1472" s="1">
        <v>0.0</v>
      </c>
    </row>
    <row r="1473" spans="20:51" ht="15.75" hidden="1">
      <c r="T1473" s="1">
        <v>438546.0</v>
      </c>
      <c r="U1473" s="1"/>
      <c r="V1473" s="1"/>
      <c r="W1473" s="1"/>
      <c r="X1473" s="1"/>
      <c r="Y1473" s="1" t="s">
        <v>6502</v>
      </c>
      <c r="Z1473" s="1" t="s">
        <v>489</v>
      </c>
      <c r="AA1473" s="1" t="s">
        <v>490</v>
      </c>
      <c r="AB1473" s="1"/>
      <c r="AC1473" s="1"/>
      <c r="AD1473" s="1"/>
      <c r="AE1473" s="1"/>
      <c r="AF1473" s="1" t="s">
        <v>6503</v>
      </c>
      <c r="AG1473" s="2" t="str">
        <f>"0674780299"</f>
        <v>0674780299</v>
      </c>
      <c r="AH1473" s="2" t="str">
        <f>"9780674780293"</f>
        <v>9780674780293</v>
      </c>
      <c r="AI1473" s="1">
        <v>0.0</v>
      </c>
      <c r="AJ1473" s="1">
        <v>4.06</v>
      </c>
      <c r="AK1473" s="1" t="s">
        <v>6504</v>
      </c>
      <c r="AL1473" s="1" t="s">
        <v>28</v>
      </c>
      <c r="AM1473" s="1">
        <v>400.0</v>
      </c>
      <c r="AN1473" s="1">
        <v>1996.0</v>
      </c>
      <c r="AO1473" s="1">
        <v>1983.0</v>
      </c>
      <c r="AQ1473" s="3">
        <v>45101.0</v>
      </c>
      <c r="AR1473" s="1" t="s">
        <v>31</v>
      </c>
      <c r="AS1473" s="1" t="s">
        <v>6505</v>
      </c>
      <c r="AT1473" s="1" t="s">
        <v>31</v>
      </c>
      <c r="AX1473" s="1">
        <v>0.0</v>
      </c>
      <c r="AY1473" s="1">
        <v>0.0</v>
      </c>
    </row>
    <row r="1474" spans="20:51" ht="15.75" hidden="1">
      <c r="T1474" s="1">
        <v>439968.0</v>
      </c>
      <c r="U1474" s="1"/>
      <c r="V1474" s="1"/>
      <c r="W1474" s="1"/>
      <c r="X1474" s="1"/>
      <c r="Y1474" s="1" t="s">
        <v>6506</v>
      </c>
      <c r="Z1474" s="1" t="s">
        <v>587</v>
      </c>
      <c r="AA1474" s="1" t="s">
        <v>588</v>
      </c>
      <c r="AB1474" s="1"/>
      <c r="AC1474" s="1"/>
      <c r="AD1474" s="1"/>
      <c r="AE1474" s="1"/>
      <c r="AG1474" s="2" t="str">
        <f>"0674033876"</f>
        <v>0674033876</v>
      </c>
      <c r="AH1474" s="2" t="str">
        <f>"9780674033870"</f>
        <v>9780674033870</v>
      </c>
      <c r="AI1474" s="1">
        <v>0.0</v>
      </c>
      <c r="AJ1474" s="1">
        <v>3.79</v>
      </c>
      <c r="AK1474" s="1" t="s">
        <v>107</v>
      </c>
      <c r="AL1474" s="1" t="s">
        <v>28</v>
      </c>
      <c r="AM1474" s="1">
        <v>181.0</v>
      </c>
      <c r="AN1474" s="1">
        <v>1989.0</v>
      </c>
      <c r="AO1474" s="1">
        <v>1987.0</v>
      </c>
      <c r="AQ1474" s="3">
        <v>45036.0</v>
      </c>
      <c r="AR1474" s="1" t="s">
        <v>31</v>
      </c>
      <c r="AS1474" s="1" t="s">
        <v>6507</v>
      </c>
      <c r="AT1474" s="1" t="s">
        <v>31</v>
      </c>
      <c r="AX1474" s="1">
        <v>0.0</v>
      </c>
      <c r="AY1474" s="1">
        <v>0.0</v>
      </c>
    </row>
    <row r="1475" spans="20:51" ht="15.75" hidden="1">
      <c r="T1475" s="1">
        <v>704571.0</v>
      </c>
      <c r="U1475" s="1"/>
      <c r="V1475" s="1"/>
      <c r="W1475" s="1"/>
      <c r="X1475" s="1"/>
      <c r="Y1475" s="1" t="s">
        <v>6508</v>
      </c>
      <c r="Z1475" s="1" t="s">
        <v>668</v>
      </c>
      <c r="AA1475" s="1" t="s">
        <v>669</v>
      </c>
      <c r="AB1475" s="1"/>
      <c r="AC1475" s="1"/>
      <c r="AD1475" s="1"/>
      <c r="AE1475" s="1"/>
      <c r="AG1475" s="2" t="str">
        <f>"0525485406"</f>
        <v>0525485406</v>
      </c>
      <c r="AH1475" s="2" t="str">
        <f>"9780525485407"</f>
        <v>9780525485407</v>
      </c>
      <c r="AI1475" s="1">
        <v>0.0</v>
      </c>
      <c r="AJ1475" s="1">
        <v>4.1</v>
      </c>
      <c r="AK1475" s="1" t="s">
        <v>6509</v>
      </c>
      <c r="AL1475" s="1" t="s">
        <v>28</v>
      </c>
      <c r="AM1475" s="1">
        <v>224.0</v>
      </c>
      <c r="AN1475" s="1">
        <v>1988.0</v>
      </c>
      <c r="AO1475" s="1">
        <v>1938.0</v>
      </c>
      <c r="AQ1475" s="3">
        <v>45059.0</v>
      </c>
      <c r="AR1475" s="1" t="s">
        <v>31</v>
      </c>
      <c r="AS1475" s="1" t="s">
        <v>6510</v>
      </c>
      <c r="AT1475" s="1" t="s">
        <v>31</v>
      </c>
      <c r="AX1475" s="1">
        <v>0.0</v>
      </c>
      <c r="AY1475" s="1">
        <v>0.0</v>
      </c>
    </row>
    <row r="1476" spans="20:51" ht="15.75" hidden="1">
      <c r="T1476" s="1">
        <v>3.1171201E7</v>
      </c>
      <c r="U1476" s="1"/>
      <c r="V1476" s="1"/>
      <c r="W1476" s="1"/>
      <c r="X1476" s="1"/>
      <c r="Y1476" s="1" t="s">
        <v>6511</v>
      </c>
      <c r="Z1476" s="1" t="s">
        <v>668</v>
      </c>
      <c r="AA1476" s="1" t="s">
        <v>669</v>
      </c>
      <c r="AB1476" s="1"/>
      <c r="AC1476" s="1"/>
      <c r="AD1476" s="1"/>
      <c r="AE1476" s="1"/>
      <c r="AG1476" s="2" t="str">
        <f>"1681370948"</f>
        <v>1681370948</v>
      </c>
      <c r="AH1476" s="2" t="str">
        <f>"9781681370941"</f>
        <v>9781681370941</v>
      </c>
      <c r="AI1476" s="1">
        <v>0.0</v>
      </c>
      <c r="AJ1476" s="1">
        <v>4.11</v>
      </c>
      <c r="AK1476" s="1" t="s">
        <v>6512</v>
      </c>
      <c r="AL1476" s="1" t="s">
        <v>41</v>
      </c>
      <c r="AM1476" s="1">
        <v>56.0</v>
      </c>
      <c r="AN1476" s="1">
        <v>2017.0</v>
      </c>
      <c r="AO1476" s="1">
        <v>2013.0</v>
      </c>
      <c r="AQ1476" s="3">
        <v>45059.0</v>
      </c>
      <c r="AR1476" s="1" t="s">
        <v>31</v>
      </c>
      <c r="AS1476" s="1" t="s">
        <v>6513</v>
      </c>
      <c r="AT1476" s="1" t="s">
        <v>31</v>
      </c>
      <c r="AX1476" s="1">
        <v>0.0</v>
      </c>
      <c r="AY1476" s="1">
        <v>0.0</v>
      </c>
    </row>
    <row r="1477" spans="20:51" ht="15.75" hidden="1">
      <c r="T1477" s="1">
        <v>7100367.0</v>
      </c>
      <c r="U1477" s="1"/>
      <c r="V1477" s="1"/>
      <c r="W1477" s="1"/>
      <c r="X1477" s="1"/>
      <c r="Y1477" s="1" t="s">
        <v>6514</v>
      </c>
      <c r="Z1477" s="1" t="s">
        <v>668</v>
      </c>
      <c r="AA1477" s="1" t="s">
        <v>669</v>
      </c>
      <c r="AB1477" s="1"/>
      <c r="AC1477" s="1"/>
      <c r="AD1477" s="1"/>
      <c r="AE1477" s="1"/>
      <c r="AF1477" s="1" t="s">
        <v>6515</v>
      </c>
      <c r="AG1477" s="2" t="str">
        <f>"0941194175"</f>
        <v>0941194175</v>
      </c>
      <c r="AH1477" s="2" t="str">
        <f>"9780941194174"</f>
        <v>9780941194174</v>
      </c>
      <c r="AI1477" s="1">
        <v>0.0</v>
      </c>
      <c r="AJ1477" s="1">
        <v>3.85</v>
      </c>
      <c r="AK1477" s="1" t="s">
        <v>6516</v>
      </c>
      <c r="AL1477" s="1" t="s">
        <v>28</v>
      </c>
      <c r="AM1477" s="1">
        <v>56.0</v>
      </c>
      <c r="AN1477" s="1">
        <v>1982.0</v>
      </c>
      <c r="AO1477" s="1">
        <v>1945.0</v>
      </c>
      <c r="AQ1477" s="3">
        <v>45059.0</v>
      </c>
      <c r="AR1477" s="1" t="s">
        <v>1019</v>
      </c>
      <c r="AS1477" s="1" t="s">
        <v>6517</v>
      </c>
      <c r="AT1477" s="1" t="s">
        <v>31</v>
      </c>
      <c r="AX1477" s="1">
        <v>0.0</v>
      </c>
      <c r="AY1477" s="1">
        <v>0.0</v>
      </c>
    </row>
    <row r="1478" spans="20:51" ht="15.75" hidden="1">
      <c r="T1478" s="1">
        <v>65514.0</v>
      </c>
      <c r="U1478" s="1"/>
      <c r="V1478" s="1"/>
      <c r="W1478" s="1"/>
      <c r="X1478" s="1"/>
      <c r="Y1478" s="1" t="s">
        <v>6518</v>
      </c>
      <c r="Z1478" s="1" t="s">
        <v>2454</v>
      </c>
      <c r="AA1478" s="1" t="s">
        <v>2455</v>
      </c>
      <c r="AB1478" s="1"/>
      <c r="AC1478" s="1"/>
      <c r="AD1478" s="1"/>
      <c r="AE1478" s="1"/>
      <c r="AF1478" s="1" t="s">
        <v>5215</v>
      </c>
      <c r="AG1478" s="2" t="str">
        <f>"0749301724"</f>
        <v>0749301724</v>
      </c>
      <c r="AH1478" s="2" t="str">
        <f>"9780749301729"</f>
        <v>9780749301729</v>
      </c>
      <c r="AI1478" s="1">
        <v>0.0</v>
      </c>
      <c r="AJ1478" s="1">
        <v>4.1</v>
      </c>
      <c r="AK1478" s="1" t="s">
        <v>6519</v>
      </c>
      <c r="AL1478" s="1" t="s">
        <v>28</v>
      </c>
      <c r="AM1478" s="1">
        <v>452.0</v>
      </c>
      <c r="AN1478" s="1">
        <v>1990.0</v>
      </c>
      <c r="AO1478" s="1">
        <v>1988.0</v>
      </c>
      <c r="AQ1478" s="3">
        <v>45111.0</v>
      </c>
      <c r="AR1478" s="1" t="s">
        <v>31</v>
      </c>
      <c r="AS1478" s="1" t="s">
        <v>6520</v>
      </c>
      <c r="AT1478" s="1" t="s">
        <v>31</v>
      </c>
      <c r="AX1478" s="1">
        <v>0.0</v>
      </c>
      <c r="AY1478" s="1">
        <v>0.0</v>
      </c>
    </row>
    <row r="1479" spans="20:51" ht="15.75" hidden="1">
      <c r="T1479" s="1">
        <v>1.14721149E8</v>
      </c>
      <c r="U1479" s="1"/>
      <c r="V1479" s="1"/>
      <c r="W1479" s="1"/>
      <c r="X1479" s="1"/>
      <c r="Y1479" s="1" t="s">
        <v>6521</v>
      </c>
      <c r="Z1479" s="1" t="s">
        <v>6522</v>
      </c>
      <c r="AA1479" s="1" t="s">
        <v>6523</v>
      </c>
      <c r="AB1479" s="1"/>
      <c r="AC1479" s="1"/>
      <c r="AD1479" s="1"/>
      <c r="AE1479" s="1"/>
      <c r="AF1479" s="1" t="s">
        <v>6524</v>
      </c>
      <c r="AG1479" s="2" t="str">
        <f>"168137742X"</f>
        <v>168137742X</v>
      </c>
      <c r="AH1479" s="2" t="str">
        <f>"9781681377421"</f>
        <v>9781681377421</v>
      </c>
      <c r="AI1479" s="1">
        <v>0.0</v>
      </c>
      <c r="AJ1479" s="1">
        <v>3.31</v>
      </c>
      <c r="AK1479" s="1" t="s">
        <v>77</v>
      </c>
      <c r="AL1479" s="1" t="s">
        <v>28</v>
      </c>
      <c r="AM1479" s="1">
        <v>96.0</v>
      </c>
      <c r="AN1479" s="1">
        <v>2023.0</v>
      </c>
      <c r="AO1479" s="1">
        <v>1945.0</v>
      </c>
      <c r="AQ1479" s="3">
        <v>45102.0</v>
      </c>
      <c r="AR1479" s="1" t="s">
        <v>31</v>
      </c>
      <c r="AS1479" s="1" t="s">
        <v>6525</v>
      </c>
      <c r="AT1479" s="1" t="s">
        <v>31</v>
      </c>
      <c r="AX1479" s="1">
        <v>0.0</v>
      </c>
      <c r="AY1479" s="1">
        <v>0.0</v>
      </c>
    </row>
    <row r="1480" spans="20:51" ht="15.75" hidden="1">
      <c r="T1480" s="1">
        <v>3.2277642E7</v>
      </c>
      <c r="U1480" s="1"/>
      <c r="V1480" s="1"/>
      <c r="W1480" s="1"/>
      <c r="X1480" s="1"/>
      <c r="Y1480" s="1" t="s">
        <v>6526</v>
      </c>
      <c r="Z1480" s="1" t="s">
        <v>6527</v>
      </c>
      <c r="AA1480" s="1" t="s">
        <v>6528</v>
      </c>
      <c r="AB1480" s="1"/>
      <c r="AC1480" s="1"/>
      <c r="AD1480" s="1"/>
      <c r="AE1480" s="1"/>
      <c r="AG1480" s="2" t="str">
        <f>"153905344X"</f>
        <v>153905344X</v>
      </c>
      <c r="AH1480" s="2" t="str">
        <f>"9781539053446"</f>
        <v>9781539053446</v>
      </c>
      <c r="AI1480" s="1">
        <v>0.0</v>
      </c>
      <c r="AJ1480" s="1">
        <v>3.55</v>
      </c>
      <c r="AK1480" s="1" t="s">
        <v>6529</v>
      </c>
      <c r="AL1480" s="1" t="s">
        <v>28</v>
      </c>
      <c r="AM1480" s="1">
        <v>224.0</v>
      </c>
      <c r="AN1480" s="1">
        <v>2016.0</v>
      </c>
      <c r="AO1480" s="1">
        <v>1895.0</v>
      </c>
      <c r="AQ1480" s="3">
        <v>45110.0</v>
      </c>
      <c r="AR1480" s="1" t="s">
        <v>31</v>
      </c>
      <c r="AS1480" s="1" t="s">
        <v>6530</v>
      </c>
      <c r="AT1480" s="1" t="s">
        <v>31</v>
      </c>
      <c r="AX1480" s="1">
        <v>0.0</v>
      </c>
      <c r="AY1480" s="1">
        <v>0.0</v>
      </c>
    </row>
    <row r="1481" spans="20:51" ht="15.75" hidden="1">
      <c r="T1481" s="1">
        <v>3.4847126E7</v>
      </c>
      <c r="U1481" s="1"/>
      <c r="V1481" s="1"/>
      <c r="W1481" s="1"/>
      <c r="X1481" s="1"/>
      <c r="Y1481" s="1" t="s">
        <v>6531</v>
      </c>
      <c r="Z1481" s="1" t="s">
        <v>6532</v>
      </c>
      <c r="AA1481" s="1" t="s">
        <v>6533</v>
      </c>
      <c r="AB1481" s="1"/>
      <c r="AC1481" s="1"/>
      <c r="AD1481" s="1"/>
      <c r="AE1481" s="1"/>
      <c r="AF1481" s="1" t="s">
        <v>6534</v>
      </c>
      <c r="AG1481" s="2" t="str">
        <f>"0811225992"</f>
        <v>0811225992</v>
      </c>
      <c r="AH1481" s="2" t="str">
        <f>"9780811225991"</f>
        <v>9780811225991</v>
      </c>
      <c r="AI1481" s="1">
        <v>0.0</v>
      </c>
      <c r="AJ1481" s="1">
        <v>3.61</v>
      </c>
      <c r="AK1481" s="1" t="s">
        <v>95</v>
      </c>
      <c r="AL1481" s="1" t="s">
        <v>65</v>
      </c>
      <c r="AM1481" s="1">
        <v>128.0</v>
      </c>
      <c r="AN1481" s="1">
        <v>2017.0</v>
      </c>
      <c r="AO1481" s="1">
        <v>2014.0</v>
      </c>
      <c r="AQ1481" s="3">
        <v>45110.0</v>
      </c>
      <c r="AR1481" s="1" t="s">
        <v>31</v>
      </c>
      <c r="AS1481" s="1" t="s">
        <v>6535</v>
      </c>
      <c r="AT1481" s="1" t="s">
        <v>31</v>
      </c>
      <c r="AX1481" s="1">
        <v>0.0</v>
      </c>
      <c r="AY1481" s="1">
        <v>0.0</v>
      </c>
    </row>
    <row r="1482" spans="20:51" ht="15.75" hidden="1">
      <c r="T1482" s="1">
        <v>2.5330309E7</v>
      </c>
      <c r="U1482" s="1"/>
      <c r="V1482" s="1"/>
      <c r="W1482" s="1"/>
      <c r="X1482" s="1"/>
      <c r="Y1482" s="1" t="s">
        <v>6536</v>
      </c>
      <c r="Z1482" s="1" t="s">
        <v>6537</v>
      </c>
      <c r="AA1482" s="1" t="s">
        <v>6538</v>
      </c>
      <c r="AB1482" s="1"/>
      <c r="AC1482" s="1"/>
      <c r="AD1482" s="1"/>
      <c r="AE1482" s="1"/>
      <c r="AF1482" s="1" t="s">
        <v>735</v>
      </c>
      <c r="AG1482" s="2" t="str">
        <f>"1566894158"</f>
        <v>1566894158</v>
      </c>
      <c r="AH1482" s="2" t="str">
        <f>"9781566894159"</f>
        <v>9781566894159</v>
      </c>
      <c r="AI1482" s="1">
        <v>0.0</v>
      </c>
      <c r="AJ1482" s="1">
        <v>3.93</v>
      </c>
      <c r="AK1482" s="1" t="s">
        <v>4008</v>
      </c>
      <c r="AL1482" s="1" t="s">
        <v>28</v>
      </c>
      <c r="AM1482" s="1">
        <v>172.0</v>
      </c>
      <c r="AN1482" s="1">
        <v>2016.0</v>
      </c>
      <c r="AO1482" s="1">
        <v>1998.0</v>
      </c>
      <c r="AQ1482" s="3">
        <v>45110.0</v>
      </c>
      <c r="AR1482" s="1" t="s">
        <v>31</v>
      </c>
      <c r="AS1482" s="1" t="s">
        <v>6539</v>
      </c>
      <c r="AT1482" s="1" t="s">
        <v>31</v>
      </c>
      <c r="AX1482" s="1">
        <v>0.0</v>
      </c>
      <c r="AY1482" s="1">
        <v>0.0</v>
      </c>
    </row>
    <row r="1483" spans="20:51" ht="15.75" hidden="1">
      <c r="T1483" s="1">
        <v>1.8162954E7</v>
      </c>
      <c r="U1483" s="1"/>
      <c r="V1483" s="1"/>
      <c r="W1483" s="1"/>
      <c r="X1483" s="1"/>
      <c r="Y1483" s="1" t="s">
        <v>6540</v>
      </c>
      <c r="Z1483" s="1" t="s">
        <v>6541</v>
      </c>
      <c r="AA1483" s="1" t="s">
        <v>6542</v>
      </c>
      <c r="AB1483" s="1"/>
      <c r="AC1483" s="1"/>
      <c r="AD1483" s="1"/>
      <c r="AE1483" s="1"/>
      <c r="AG1483" s="2" t="str">
        <f>"1408848147"</f>
        <v>1408848147</v>
      </c>
      <c r="AH1483" s="2" t="str">
        <f>""</f>
        <v/>
      </c>
      <c r="AI1483" s="1">
        <v>0.0</v>
      </c>
      <c r="AJ1483" s="1">
        <v>3.93</v>
      </c>
      <c r="AK1483" s="1" t="s">
        <v>4573</v>
      </c>
      <c r="AL1483" s="1" t="s">
        <v>59</v>
      </c>
      <c r="AM1483" s="1">
        <v>20.0</v>
      </c>
      <c r="AN1483" s="1">
        <v>2013.0</v>
      </c>
      <c r="AO1483" s="1">
        <v>2013.0</v>
      </c>
      <c r="AQ1483" s="3">
        <v>45109.0</v>
      </c>
      <c r="AR1483" s="1" t="s">
        <v>31</v>
      </c>
      <c r="AS1483" s="1" t="s">
        <v>6543</v>
      </c>
      <c r="AT1483" s="1" t="s">
        <v>31</v>
      </c>
      <c r="AX1483" s="1">
        <v>0.0</v>
      </c>
      <c r="AY1483" s="1">
        <v>0.0</v>
      </c>
    </row>
    <row r="1484" spans="20:51" ht="15.75" hidden="1">
      <c r="T1484" s="1">
        <v>20941.0</v>
      </c>
      <c r="U1484" s="1"/>
      <c r="V1484" s="1"/>
      <c r="W1484" s="1"/>
      <c r="X1484" s="1"/>
      <c r="Y1484" s="1" t="s">
        <v>6544</v>
      </c>
      <c r="Z1484" s="1" t="s">
        <v>297</v>
      </c>
      <c r="AA1484" s="1" t="s">
        <v>298</v>
      </c>
      <c r="AB1484" s="1"/>
      <c r="AC1484" s="1"/>
      <c r="AD1484" s="1"/>
      <c r="AE1484" s="1"/>
      <c r="AG1484" s="2" t="str">
        <f>"1573225142"</f>
        <v>1573225142</v>
      </c>
      <c r="AH1484" s="2" t="str">
        <f>"9781573225144"</f>
        <v>9781573225144</v>
      </c>
      <c r="AI1484" s="1">
        <v>0.0</v>
      </c>
      <c r="AJ1484" s="1">
        <v>3.86</v>
      </c>
      <c r="AK1484" s="1" t="s">
        <v>387</v>
      </c>
      <c r="AL1484" s="1" t="s">
        <v>28</v>
      </c>
      <c r="AM1484" s="1">
        <v>546.0</v>
      </c>
      <c r="AN1484" s="1">
        <v>1995.0</v>
      </c>
      <c r="AO1484" s="1">
        <v>1994.0</v>
      </c>
      <c r="AQ1484" s="3">
        <v>45109.0</v>
      </c>
      <c r="AR1484" s="1" t="s">
        <v>31</v>
      </c>
      <c r="AS1484" s="1" t="s">
        <v>6545</v>
      </c>
      <c r="AT1484" s="1" t="s">
        <v>31</v>
      </c>
      <c r="AX1484" s="1">
        <v>0.0</v>
      </c>
      <c r="AY1484" s="1">
        <v>0.0</v>
      </c>
    </row>
    <row r="1485" spans="20:51" ht="15.75" hidden="1">
      <c r="T1485" s="1">
        <v>8148.0</v>
      </c>
      <c r="U1485" s="1"/>
      <c r="V1485" s="1"/>
      <c r="W1485" s="1"/>
      <c r="X1485" s="1"/>
      <c r="Y1485" s="1" t="s">
        <v>6546</v>
      </c>
      <c r="Z1485" s="1" t="s">
        <v>3857</v>
      </c>
      <c r="AA1485" s="1" t="s">
        <v>3858</v>
      </c>
      <c r="AB1485" s="1"/>
      <c r="AC1485" s="1"/>
      <c r="AD1485" s="1"/>
      <c r="AE1485" s="1"/>
      <c r="AF1485" s="1" t="s">
        <v>6547</v>
      </c>
      <c r="AG1485" s="2" t="str">
        <f>"0156027755"</f>
        <v>0156027755</v>
      </c>
      <c r="AH1485" s="2" t="str">
        <f>"9780156027755"</f>
        <v>9780156027755</v>
      </c>
      <c r="AI1485" s="1">
        <v>0.0</v>
      </c>
      <c r="AJ1485" s="1">
        <v>4.33</v>
      </c>
      <c r="AK1485" s="1" t="s">
        <v>403</v>
      </c>
      <c r="AL1485" s="1" t="s">
        <v>28</v>
      </c>
      <c r="AM1485" s="1">
        <v>385.0</v>
      </c>
      <c r="AN1485" s="1">
        <v>2002.0</v>
      </c>
      <c r="AO1485" s="1">
        <v>1980.0</v>
      </c>
      <c r="AQ1485" s="3">
        <v>45109.0</v>
      </c>
      <c r="AR1485" s="1" t="s">
        <v>31</v>
      </c>
      <c r="AS1485" s="1" t="s">
        <v>6548</v>
      </c>
      <c r="AT1485" s="1" t="s">
        <v>31</v>
      </c>
      <c r="AX1485" s="1">
        <v>0.0</v>
      </c>
      <c r="AY1485" s="1">
        <v>0.0</v>
      </c>
    </row>
    <row r="1486" spans="20:51" ht="15.75" hidden="1">
      <c r="T1486" s="1">
        <v>1.8378002E7</v>
      </c>
      <c r="U1486" s="1"/>
      <c r="V1486" s="1"/>
      <c r="W1486" s="1"/>
      <c r="X1486" s="1"/>
      <c r="Y1486" s="1" t="s">
        <v>6549</v>
      </c>
      <c r="Z1486" s="1" t="s">
        <v>3839</v>
      </c>
      <c r="AA1486" s="1" t="s">
        <v>6550</v>
      </c>
      <c r="AB1486" s="1"/>
      <c r="AC1486" s="1"/>
      <c r="AD1486" s="1"/>
      <c r="AE1486" s="1"/>
      <c r="AG1486" s="2" t="str">
        <f>"0393348784"</f>
        <v>0393348784</v>
      </c>
      <c r="AH1486" s="2" t="str">
        <f>"9780393348781"</f>
        <v>9780393348781</v>
      </c>
      <c r="AI1486" s="1">
        <v>0.0</v>
      </c>
      <c r="AJ1486" s="1">
        <v>3.78</v>
      </c>
      <c r="AK1486" s="1" t="s">
        <v>113</v>
      </c>
      <c r="AL1486" s="1" t="s">
        <v>28</v>
      </c>
      <c r="AM1486" s="1">
        <v>496.0</v>
      </c>
      <c r="AN1486" s="1">
        <v>2014.0</v>
      </c>
      <c r="AO1486" s="1">
        <v>2013.0</v>
      </c>
      <c r="AQ1486" s="3">
        <v>45108.0</v>
      </c>
      <c r="AR1486" s="1" t="s">
        <v>31</v>
      </c>
      <c r="AS1486" s="1" t="s">
        <v>6551</v>
      </c>
      <c r="AT1486" s="1" t="s">
        <v>31</v>
      </c>
      <c r="AX1486" s="1">
        <v>0.0</v>
      </c>
      <c r="AY1486" s="1">
        <v>0.0</v>
      </c>
    </row>
    <row r="1487" spans="20:51" ht="15.75" hidden="1">
      <c r="T1487" s="1">
        <v>1196569.0</v>
      </c>
      <c r="U1487" s="1"/>
      <c r="V1487" s="1"/>
      <c r="W1487" s="1"/>
      <c r="X1487" s="1"/>
      <c r="Y1487" s="1" t="s">
        <v>6552</v>
      </c>
      <c r="Z1487" s="1" t="s">
        <v>6553</v>
      </c>
      <c r="AA1487" s="1" t="s">
        <v>6554</v>
      </c>
      <c r="AB1487" s="1"/>
      <c r="AC1487" s="1"/>
      <c r="AD1487" s="1"/>
      <c r="AE1487" s="1"/>
      <c r="AG1487" s="2" t="str">
        <f>"1406814970"</f>
        <v>1406814970</v>
      </c>
      <c r="AH1487" s="2" t="str">
        <f>"9781406814972"</f>
        <v>9781406814972</v>
      </c>
      <c r="AI1487" s="1">
        <v>0.0</v>
      </c>
      <c r="AJ1487" s="1">
        <v>3.57</v>
      </c>
      <c r="AK1487" s="1" t="s">
        <v>6555</v>
      </c>
      <c r="AL1487" s="1" t="s">
        <v>28</v>
      </c>
      <c r="AM1487" s="1">
        <v>304.0</v>
      </c>
      <c r="AN1487" s="1">
        <v>2007.0</v>
      </c>
      <c r="AO1487" s="1">
        <v>1834.0</v>
      </c>
      <c r="AQ1487" s="3">
        <v>45108.0</v>
      </c>
      <c r="AR1487" s="1" t="s">
        <v>2451</v>
      </c>
      <c r="AS1487" s="1" t="s">
        <v>6556</v>
      </c>
      <c r="AT1487" s="1" t="s">
        <v>31</v>
      </c>
      <c r="AX1487" s="1">
        <v>0.0</v>
      </c>
      <c r="AY1487" s="1">
        <v>0.0</v>
      </c>
    </row>
    <row r="1488" spans="20:51" ht="15.75" hidden="1">
      <c r="T1488" s="1">
        <v>144510.0</v>
      </c>
      <c r="U1488" s="1"/>
      <c r="V1488" s="1"/>
      <c r="W1488" s="1"/>
      <c r="X1488" s="1"/>
      <c r="Y1488" s="1" t="s">
        <v>6557</v>
      </c>
      <c r="Z1488" s="1" t="s">
        <v>6558</v>
      </c>
      <c r="AA1488" s="1" t="s">
        <v>6559</v>
      </c>
      <c r="AB1488" s="1"/>
      <c r="AC1488" s="1"/>
      <c r="AD1488" s="1"/>
      <c r="AE1488" s="1"/>
      <c r="AF1488" s="1" t="s">
        <v>6560</v>
      </c>
      <c r="AG1488" s="2" t="str">
        <f>"0812966996"</f>
        <v>0812966996</v>
      </c>
      <c r="AH1488" s="2" t="str">
        <f>"9780812966992"</f>
        <v>9780812966992</v>
      </c>
      <c r="AI1488" s="1">
        <v>0.0</v>
      </c>
      <c r="AJ1488" s="1">
        <v>4.05</v>
      </c>
      <c r="AK1488" s="1" t="s">
        <v>522</v>
      </c>
      <c r="AL1488" s="1" t="s">
        <v>28</v>
      </c>
      <c r="AM1488" s="1">
        <v>640.0</v>
      </c>
      <c r="AN1488" s="1">
        <v>2003.0</v>
      </c>
      <c r="AO1488" s="1">
        <v>1852.0</v>
      </c>
      <c r="AQ1488" s="3">
        <v>45108.0</v>
      </c>
      <c r="AR1488" s="1" t="s">
        <v>2451</v>
      </c>
      <c r="AS1488" s="1" t="s">
        <v>6561</v>
      </c>
      <c r="AT1488" s="1" t="s">
        <v>31</v>
      </c>
      <c r="AX1488" s="1">
        <v>0.0</v>
      </c>
      <c r="AY1488" s="1">
        <v>0.0</v>
      </c>
    </row>
    <row r="1489" spans="20:51" ht="15.75" hidden="1">
      <c r="T1489" s="1">
        <v>5.7282028E7</v>
      </c>
      <c r="U1489" s="1"/>
      <c r="V1489" s="1"/>
      <c r="W1489" s="1"/>
      <c r="X1489" s="1"/>
      <c r="Y1489" s="1" t="s">
        <v>6562</v>
      </c>
      <c r="Z1489" s="1" t="s">
        <v>6563</v>
      </c>
      <c r="AA1489" s="1" t="s">
        <v>6564</v>
      </c>
      <c r="AB1489" s="1"/>
      <c r="AC1489" s="1"/>
      <c r="AD1489" s="1"/>
      <c r="AE1489" s="1"/>
      <c r="AG1489" s="2" t="str">
        <f>"0525520457"</f>
        <v>0525520457</v>
      </c>
      <c r="AH1489" s="2" t="str">
        <f>"9780525520450"</f>
        <v>9780525520450</v>
      </c>
      <c r="AI1489" s="1">
        <v>0.0</v>
      </c>
      <c r="AJ1489" s="1">
        <v>4.21</v>
      </c>
      <c r="AK1489" s="1" t="s">
        <v>634</v>
      </c>
      <c r="AL1489" s="1" t="s">
        <v>41</v>
      </c>
      <c r="AM1489" s="1">
        <v>608.0</v>
      </c>
      <c r="AN1489" s="1">
        <v>2022.0</v>
      </c>
      <c r="AO1489" s="1">
        <v>2021.0</v>
      </c>
      <c r="AQ1489" s="3">
        <v>45108.0</v>
      </c>
      <c r="AR1489" s="1" t="s">
        <v>2451</v>
      </c>
      <c r="AS1489" s="1" t="s">
        <v>6565</v>
      </c>
      <c r="AT1489" s="1" t="s">
        <v>31</v>
      </c>
      <c r="AX1489" s="1">
        <v>0.0</v>
      </c>
      <c r="AY1489" s="1">
        <v>0.0</v>
      </c>
    </row>
    <row r="1490" spans="20:51" ht="15.75" hidden="1">
      <c r="T1490" s="1">
        <v>5.6587381E7</v>
      </c>
      <c r="U1490" s="1"/>
      <c r="V1490" s="1"/>
      <c r="W1490" s="1"/>
      <c r="X1490" s="1"/>
      <c r="Y1490" s="1" t="s">
        <v>6566</v>
      </c>
      <c r="Z1490" s="1" t="s">
        <v>6567</v>
      </c>
      <c r="AA1490" s="1" t="s">
        <v>6568</v>
      </c>
      <c r="AB1490" s="1"/>
      <c r="AC1490" s="1"/>
      <c r="AD1490" s="1"/>
      <c r="AE1490" s="1"/>
      <c r="AG1490" s="2" t="str">
        <f>"0241413389"</f>
        <v>0241413389</v>
      </c>
      <c r="AH1490" s="2" t="str">
        <f>"9780241413388"</f>
        <v>9780241413388</v>
      </c>
      <c r="AI1490" s="1">
        <v>0.0</v>
      </c>
      <c r="AJ1490" s="1">
        <v>3.72</v>
      </c>
      <c r="AK1490" s="1" t="s">
        <v>200</v>
      </c>
      <c r="AL1490" s="1" t="s">
        <v>41</v>
      </c>
      <c r="AM1490" s="1">
        <v>336.0</v>
      </c>
      <c r="AN1490" s="1">
        <v>2021.0</v>
      </c>
      <c r="AQ1490" s="3">
        <v>44987.0</v>
      </c>
      <c r="AR1490" s="1" t="s">
        <v>2451</v>
      </c>
      <c r="AS1490" s="1" t="s">
        <v>6569</v>
      </c>
      <c r="AT1490" s="1" t="s">
        <v>31</v>
      </c>
      <c r="AX1490" s="1">
        <v>0.0</v>
      </c>
      <c r="AY1490" s="1">
        <v>0.0</v>
      </c>
    </row>
    <row r="1491" spans="20:51" ht="15.75" hidden="1">
      <c r="T1491" s="1">
        <v>51726.0</v>
      </c>
      <c r="U1491" s="1"/>
      <c r="V1491" s="1"/>
      <c r="W1491" s="1"/>
      <c r="X1491" s="1"/>
      <c r="Y1491" s="1" t="s">
        <v>6570</v>
      </c>
      <c r="Z1491" s="1" t="s">
        <v>6571</v>
      </c>
      <c r="AA1491" s="1" t="s">
        <v>6572</v>
      </c>
      <c r="AB1491" s="1"/>
      <c r="AC1491" s="1"/>
      <c r="AD1491" s="1"/>
      <c r="AE1491" s="1"/>
      <c r="AF1491" s="1" t="s">
        <v>6573</v>
      </c>
      <c r="AG1491" s="2" t="str">
        <f>"0385058985"</f>
        <v>0385058985</v>
      </c>
      <c r="AH1491" s="2" t="str">
        <f>"9780385058988"</f>
        <v>9780385058988</v>
      </c>
      <c r="AI1491" s="1">
        <v>0.0</v>
      </c>
      <c r="AJ1491" s="1">
        <v>4.12</v>
      </c>
      <c r="AK1491" s="1" t="s">
        <v>2017</v>
      </c>
      <c r="AL1491" s="1" t="s">
        <v>28</v>
      </c>
      <c r="AM1491" s="1">
        <v>219.0</v>
      </c>
      <c r="AN1491" s="1">
        <v>1967.0</v>
      </c>
      <c r="AO1491" s="1">
        <v>1966.0</v>
      </c>
      <c r="AQ1491" s="3">
        <v>43982.0</v>
      </c>
      <c r="AR1491" s="1" t="s">
        <v>31</v>
      </c>
      <c r="AS1491" s="1" t="s">
        <v>6574</v>
      </c>
      <c r="AT1491" s="1" t="s">
        <v>31</v>
      </c>
      <c r="AX1491" s="1">
        <v>0.0</v>
      </c>
      <c r="AY1491" s="1">
        <v>0.0</v>
      </c>
    </row>
    <row r="1492" spans="20:51" ht="15.75" hidden="1">
      <c r="T1492" s="1">
        <v>1380639.0</v>
      </c>
      <c r="U1492" s="1"/>
      <c r="V1492" s="1"/>
      <c r="W1492" s="1"/>
      <c r="X1492" s="1"/>
      <c r="Y1492" s="1" t="s">
        <v>6575</v>
      </c>
      <c r="Z1492" s="1" t="s">
        <v>6571</v>
      </c>
      <c r="AA1492" s="1" t="s">
        <v>6572</v>
      </c>
      <c r="AB1492" s="1"/>
      <c r="AC1492" s="1"/>
      <c r="AD1492" s="1"/>
      <c r="AE1492" s="1"/>
      <c r="AG1492" s="2" t="str">
        <f>"0394719948"</f>
        <v>0394719948</v>
      </c>
      <c r="AH1492" s="2" t="str">
        <f>"9780394719948"</f>
        <v>9780394719948</v>
      </c>
      <c r="AI1492" s="1">
        <v>0.0</v>
      </c>
      <c r="AJ1492" s="1">
        <v>3.88</v>
      </c>
      <c r="AK1492" s="1" t="s">
        <v>83</v>
      </c>
      <c r="AL1492" s="1" t="s">
        <v>28</v>
      </c>
      <c r="AM1492" s="1">
        <v>270.0</v>
      </c>
      <c r="AN1492" s="1">
        <v>1974.0</v>
      </c>
      <c r="AO1492" s="1">
        <v>1973.0</v>
      </c>
      <c r="AQ1492" s="3">
        <v>45108.0</v>
      </c>
      <c r="AR1492" s="1" t="s">
        <v>31</v>
      </c>
      <c r="AS1492" s="1" t="s">
        <v>6576</v>
      </c>
      <c r="AT1492" s="1" t="s">
        <v>31</v>
      </c>
      <c r="AX1492" s="1">
        <v>0.0</v>
      </c>
      <c r="AY1492" s="1">
        <v>0.0</v>
      </c>
    </row>
    <row r="1493" spans="20:51" ht="15.75" hidden="1">
      <c r="T1493" s="1">
        <v>159854.0</v>
      </c>
      <c r="U1493" s="1"/>
      <c r="V1493" s="1"/>
      <c r="W1493" s="1"/>
      <c r="X1493" s="1"/>
      <c r="Y1493" s="1" t="s">
        <v>6577</v>
      </c>
      <c r="Z1493" s="1" t="s">
        <v>6578</v>
      </c>
      <c r="AA1493" s="1" t="s">
        <v>6579</v>
      </c>
      <c r="AB1493" s="1"/>
      <c r="AC1493" s="1"/>
      <c r="AD1493" s="1"/>
      <c r="AE1493" s="1"/>
      <c r="AF1493" s="1" t="s">
        <v>4867</v>
      </c>
      <c r="AG1493" s="2" t="str">
        <f>"1891270109"</f>
        <v>1891270109</v>
      </c>
      <c r="AH1493" s="2" t="str">
        <f>"9781891270109"</f>
        <v>9781891270109</v>
      </c>
      <c r="AI1493" s="1">
        <v>0.0</v>
      </c>
      <c r="AJ1493" s="1">
        <v>3.24</v>
      </c>
      <c r="AK1493" s="1" t="s">
        <v>6580</v>
      </c>
      <c r="AL1493" s="1" t="s">
        <v>28</v>
      </c>
      <c r="AM1493" s="1">
        <v>120.0</v>
      </c>
      <c r="AN1493" s="1">
        <v>2000.0</v>
      </c>
      <c r="AO1493" s="1">
        <v>1999.0</v>
      </c>
      <c r="AQ1493" s="3">
        <v>42603.0</v>
      </c>
      <c r="AR1493" s="1" t="s">
        <v>31</v>
      </c>
      <c r="AS1493" s="1" t="s">
        <v>6581</v>
      </c>
      <c r="AT1493" s="1" t="s">
        <v>31</v>
      </c>
      <c r="AX1493" s="1">
        <v>0.0</v>
      </c>
      <c r="AY1493" s="1">
        <v>0.0</v>
      </c>
    </row>
    <row r="1494" spans="20:51" ht="15.75" hidden="1">
      <c r="T1494" s="1">
        <v>1264048.0</v>
      </c>
      <c r="U1494" s="1"/>
      <c r="V1494" s="1"/>
      <c r="W1494" s="1"/>
      <c r="X1494" s="1"/>
      <c r="Y1494" s="1" t="s">
        <v>6582</v>
      </c>
      <c r="Z1494" s="1" t="s">
        <v>6578</v>
      </c>
      <c r="AA1494" s="1" t="s">
        <v>6579</v>
      </c>
      <c r="AB1494" s="1"/>
      <c r="AC1494" s="1"/>
      <c r="AD1494" s="1"/>
      <c r="AE1494" s="1"/>
      <c r="AF1494" s="1" t="s">
        <v>6583</v>
      </c>
      <c r="AG1494" s="2" t="str">
        <f>"0935480927"</f>
        <v>0935480927</v>
      </c>
      <c r="AH1494" s="2" t="str">
        <f>"9780935480924"</f>
        <v>9780935480924</v>
      </c>
      <c r="AI1494" s="1">
        <v>0.0</v>
      </c>
      <c r="AJ1494" s="1">
        <v>3.71</v>
      </c>
      <c r="AK1494" s="1" t="s">
        <v>6580</v>
      </c>
      <c r="AL1494" s="1" t="s">
        <v>28</v>
      </c>
      <c r="AM1494" s="1">
        <v>128.0</v>
      </c>
      <c r="AN1494" s="1">
        <v>1998.0</v>
      </c>
      <c r="AO1494" s="1">
        <v>1983.0</v>
      </c>
      <c r="AQ1494" s="3">
        <v>42603.0</v>
      </c>
      <c r="AR1494" s="1" t="s">
        <v>31</v>
      </c>
      <c r="AS1494" s="1" t="s">
        <v>6584</v>
      </c>
      <c r="AT1494" s="1" t="s">
        <v>31</v>
      </c>
      <c r="AX1494" s="1">
        <v>0.0</v>
      </c>
      <c r="AY1494" s="1">
        <v>0.0</v>
      </c>
    </row>
    <row r="1495" spans="20:51" ht="15.75" hidden="1">
      <c r="T1495" s="1">
        <v>4.9393809E7</v>
      </c>
      <c r="U1495" s="1"/>
      <c r="V1495" s="1"/>
      <c r="W1495" s="1"/>
      <c r="X1495" s="1"/>
      <c r="Y1495" s="1" t="s">
        <v>6585</v>
      </c>
      <c r="Z1495" s="1" t="s">
        <v>6586</v>
      </c>
      <c r="AA1495" s="1" t="s">
        <v>6587</v>
      </c>
      <c r="AB1495" s="1"/>
      <c r="AC1495" s="1"/>
      <c r="AD1495" s="1"/>
      <c r="AE1495" s="1"/>
      <c r="AF1495" s="1" t="s">
        <v>6588</v>
      </c>
      <c r="AG1495" s="2" t="str">
        <f>"0375700528"</f>
        <v>0375700528</v>
      </c>
      <c r="AH1495" s="2" t="str">
        <f>"9780375700521"</f>
        <v>9780375700521</v>
      </c>
      <c r="AI1495" s="1">
        <v>0.0</v>
      </c>
      <c r="AJ1495" s="1">
        <v>3.73</v>
      </c>
      <c r="AK1495" s="1" t="s">
        <v>5437</v>
      </c>
      <c r="AL1495" s="1" t="s">
        <v>28</v>
      </c>
      <c r="AM1495" s="1">
        <v>117.0</v>
      </c>
      <c r="AN1495" s="1">
        <v>1998.0</v>
      </c>
      <c r="AO1495" s="1">
        <v>1984.0</v>
      </c>
      <c r="AQ1495" s="3">
        <v>45105.0</v>
      </c>
      <c r="AR1495" s="1" t="s">
        <v>31</v>
      </c>
      <c r="AS1495" s="1" t="s">
        <v>6589</v>
      </c>
      <c r="AT1495" s="1" t="s">
        <v>31</v>
      </c>
      <c r="AX1495" s="1">
        <v>0.0</v>
      </c>
      <c r="AY1495" s="1">
        <v>0.0</v>
      </c>
    </row>
    <row r="1496" spans="20:51" ht="15.75" hidden="1">
      <c r="T1496" s="1">
        <v>2021041.0</v>
      </c>
      <c r="U1496" s="1"/>
      <c r="V1496" s="1"/>
      <c r="W1496" s="1"/>
      <c r="X1496" s="1"/>
      <c r="Y1496" s="1" t="s">
        <v>6590</v>
      </c>
      <c r="Z1496" s="1" t="s">
        <v>1093</v>
      </c>
      <c r="AA1496" s="1" t="s">
        <v>1094</v>
      </c>
      <c r="AB1496" s="1"/>
      <c r="AC1496" s="1"/>
      <c r="AD1496" s="1"/>
      <c r="AE1496" s="1"/>
      <c r="AG1496" s="2" t="str">
        <f>"0140165223"</f>
        <v>0140165223</v>
      </c>
      <c r="AH1496" s="2" t="str">
        <f>"9780140165227"</f>
        <v>9780140165227</v>
      </c>
      <c r="AI1496" s="1">
        <v>0.0</v>
      </c>
      <c r="AJ1496" s="1">
        <v>3.7</v>
      </c>
      <c r="AK1496" s="1" t="s">
        <v>460</v>
      </c>
      <c r="AL1496" s="1" t="s">
        <v>28</v>
      </c>
      <c r="AM1496" s="1">
        <v>257.0</v>
      </c>
      <c r="AN1496" s="1">
        <v>1992.0</v>
      </c>
      <c r="AO1496" s="1">
        <v>1990.0</v>
      </c>
      <c r="AQ1496" s="3">
        <v>45105.0</v>
      </c>
      <c r="AR1496" s="1" t="s">
        <v>31</v>
      </c>
      <c r="AS1496" s="1" t="s">
        <v>6591</v>
      </c>
      <c r="AT1496" s="1" t="s">
        <v>31</v>
      </c>
      <c r="AX1496" s="1">
        <v>0.0</v>
      </c>
      <c r="AY1496" s="1">
        <v>0.0</v>
      </c>
    </row>
    <row r="1497" spans="20:51" ht="15.75" hidden="1">
      <c r="T1497" s="1">
        <v>43432.0</v>
      </c>
      <c r="U1497" s="1"/>
      <c r="V1497" s="1"/>
      <c r="W1497" s="1"/>
      <c r="X1497" s="1"/>
      <c r="Y1497" s="1" t="s">
        <v>6592</v>
      </c>
      <c r="Z1497" s="1" t="s">
        <v>6593</v>
      </c>
      <c r="AA1497" s="1" t="s">
        <v>6594</v>
      </c>
      <c r="AB1497" s="1"/>
      <c r="AC1497" s="1"/>
      <c r="AD1497" s="1"/>
      <c r="AE1497" s="1"/>
      <c r="AF1497" s="1" t="s">
        <v>2309</v>
      </c>
      <c r="AG1497" s="2" t="str">
        <f>"1590170709"</f>
        <v>1590170709</v>
      </c>
      <c r="AH1497" s="2" t="str">
        <f>"9781590170700"</f>
        <v>9781590170700</v>
      </c>
      <c r="AI1497" s="1">
        <v>0.0</v>
      </c>
      <c r="AJ1497" s="1">
        <v>3.87</v>
      </c>
      <c r="AK1497" s="1" t="s">
        <v>77</v>
      </c>
      <c r="AL1497" s="1" t="s">
        <v>28</v>
      </c>
      <c r="AM1497" s="1">
        <v>264.0</v>
      </c>
      <c r="AN1497" s="1">
        <v>2003.0</v>
      </c>
      <c r="AO1497" s="1">
        <v>1963.0</v>
      </c>
      <c r="AQ1497" s="3">
        <v>45102.0</v>
      </c>
      <c r="AR1497" s="1" t="s">
        <v>31</v>
      </c>
      <c r="AS1497" s="1" t="s">
        <v>6595</v>
      </c>
      <c r="AT1497" s="1" t="s">
        <v>31</v>
      </c>
      <c r="AX1497" s="1">
        <v>0.0</v>
      </c>
      <c r="AY1497" s="1">
        <v>0.0</v>
      </c>
    </row>
    <row r="1498" spans="20:51" ht="15.75" hidden="1">
      <c r="T1498" s="1">
        <v>5.4318983E7</v>
      </c>
      <c r="U1498" s="1"/>
      <c r="V1498" s="1"/>
      <c r="W1498" s="1"/>
      <c r="X1498" s="1"/>
      <c r="Y1498" s="1" t="s">
        <v>6596</v>
      </c>
      <c r="Z1498" s="1" t="s">
        <v>6597</v>
      </c>
      <c r="AA1498" s="1" t="s">
        <v>6598</v>
      </c>
      <c r="AB1498" s="1"/>
      <c r="AC1498" s="1"/>
      <c r="AD1498" s="1"/>
      <c r="AE1498" s="1"/>
      <c r="AF1498" s="1" t="s">
        <v>76</v>
      </c>
      <c r="AG1498" s="2" t="str">
        <f>"168137529X"</f>
        <v>168137529X</v>
      </c>
      <c r="AH1498" s="2" t="str">
        <f>"9781681375298"</f>
        <v>9781681375298</v>
      </c>
      <c r="AI1498" s="1">
        <v>0.0</v>
      </c>
      <c r="AJ1498" s="1">
        <v>3.88</v>
      </c>
      <c r="AK1498" s="1" t="s">
        <v>77</v>
      </c>
      <c r="AL1498" s="1" t="s">
        <v>28</v>
      </c>
      <c r="AM1498" s="1">
        <v>320.0</v>
      </c>
      <c r="AN1498" s="1">
        <v>2021.0</v>
      </c>
      <c r="AO1498" s="1">
        <v>1981.0</v>
      </c>
      <c r="AQ1498" s="3">
        <v>45102.0</v>
      </c>
      <c r="AR1498" s="1" t="s">
        <v>31</v>
      </c>
      <c r="AS1498" s="1" t="s">
        <v>6599</v>
      </c>
      <c r="AT1498" s="1" t="s">
        <v>31</v>
      </c>
      <c r="AX1498" s="1">
        <v>0.0</v>
      </c>
      <c r="AY1498" s="1">
        <v>0.0</v>
      </c>
    </row>
    <row r="1499" spans="20:51" ht="15.75" hidden="1">
      <c r="T1499" s="1">
        <v>5.8089771E7</v>
      </c>
      <c r="U1499" s="1"/>
      <c r="V1499" s="1"/>
      <c r="W1499" s="1"/>
      <c r="X1499" s="1"/>
      <c r="Y1499" s="1" t="s">
        <v>6600</v>
      </c>
      <c r="Z1499" s="1" t="s">
        <v>6601</v>
      </c>
      <c r="AA1499" s="1" t="s">
        <v>6602</v>
      </c>
      <c r="AB1499" s="1"/>
      <c r="AC1499" s="1"/>
      <c r="AD1499" s="1"/>
      <c r="AE1499" s="1"/>
      <c r="AG1499" s="2" t="str">
        <f>"1681375729"</f>
        <v>1681375729</v>
      </c>
      <c r="AH1499" s="2" t="str">
        <f>"9781681375724"</f>
        <v>9781681375724</v>
      </c>
      <c r="AI1499" s="1">
        <v>0.0</v>
      </c>
      <c r="AJ1499" s="1">
        <v>3.89</v>
      </c>
      <c r="AK1499" s="1" t="s">
        <v>671</v>
      </c>
      <c r="AL1499" s="1" t="s">
        <v>28</v>
      </c>
      <c r="AM1499" s="1">
        <v>288.0</v>
      </c>
      <c r="AN1499" s="1">
        <v>2021.0</v>
      </c>
      <c r="AO1499" s="1">
        <v>1934.0</v>
      </c>
      <c r="AQ1499" s="3">
        <v>45102.0</v>
      </c>
      <c r="AR1499" s="1" t="s">
        <v>31</v>
      </c>
      <c r="AS1499" s="1" t="s">
        <v>6603</v>
      </c>
      <c r="AT1499" s="1" t="s">
        <v>31</v>
      </c>
      <c r="AX1499" s="1">
        <v>0.0</v>
      </c>
      <c r="AY1499" s="1">
        <v>0.0</v>
      </c>
    </row>
    <row r="1500" spans="20:51" ht="15.75" hidden="1">
      <c r="T1500" s="1">
        <v>5.8535239E7</v>
      </c>
      <c r="U1500" s="1"/>
      <c r="V1500" s="1"/>
      <c r="W1500" s="1"/>
      <c r="X1500" s="1"/>
      <c r="Y1500" s="1" t="s">
        <v>6604</v>
      </c>
      <c r="Z1500" s="1" t="s">
        <v>6605</v>
      </c>
      <c r="AA1500" s="1" t="s">
        <v>6606</v>
      </c>
      <c r="AB1500" s="1"/>
      <c r="AC1500" s="1"/>
      <c r="AD1500" s="1"/>
      <c r="AE1500" s="1"/>
      <c r="AF1500" s="1" t="s">
        <v>6607</v>
      </c>
      <c r="AG1500" s="2" t="str">
        <f t="shared" si="125" ref="AG1500:AH1500">""</f>
        <v/>
      </c>
      <c r="AH1500" s="2" t="str">
        <f t="shared" si="125"/>
        <v/>
      </c>
      <c r="AI1500" s="1">
        <v>0.0</v>
      </c>
      <c r="AJ1500" s="1">
        <v>4.01</v>
      </c>
      <c r="AK1500" s="1" t="s">
        <v>77</v>
      </c>
      <c r="AL1500" s="1" t="s">
        <v>59</v>
      </c>
      <c r="AM1500" s="1">
        <v>209.0</v>
      </c>
      <c r="AN1500" s="1">
        <v>2021.0</v>
      </c>
      <c r="AO1500" s="1">
        <v>1971.0</v>
      </c>
      <c r="AQ1500" s="3">
        <v>45102.0</v>
      </c>
      <c r="AR1500" s="1" t="s">
        <v>31</v>
      </c>
      <c r="AS1500" s="1" t="s">
        <v>6608</v>
      </c>
      <c r="AT1500" s="1" t="s">
        <v>31</v>
      </c>
      <c r="AX1500" s="1">
        <v>0.0</v>
      </c>
      <c r="AY1500" s="1">
        <v>0.0</v>
      </c>
    </row>
    <row r="1501" spans="20:51" ht="15.75" hidden="1">
      <c r="T1501" s="1">
        <v>5.7496542E7</v>
      </c>
      <c r="U1501" s="1"/>
      <c r="V1501" s="1"/>
      <c r="W1501" s="1"/>
      <c r="X1501" s="1"/>
      <c r="Y1501" s="1" t="s">
        <v>6609</v>
      </c>
      <c r="Z1501" s="1" t="s">
        <v>6610</v>
      </c>
      <c r="AA1501" s="1" t="s">
        <v>6611</v>
      </c>
      <c r="AB1501" s="1"/>
      <c r="AC1501" s="1"/>
      <c r="AD1501" s="1"/>
      <c r="AE1501" s="1"/>
      <c r="AF1501" s="1" t="s">
        <v>6612</v>
      </c>
      <c r="AG1501" s="2" t="str">
        <f>""</f>
        <v/>
      </c>
      <c r="AH1501" s="2" t="str">
        <f>"9781681375625"</f>
        <v>9781681375625</v>
      </c>
      <c r="AI1501" s="1">
        <v>0.0</v>
      </c>
      <c r="AJ1501" s="1">
        <v>3.89</v>
      </c>
      <c r="AK1501" s="1" t="s">
        <v>671</v>
      </c>
      <c r="AL1501" s="1" t="s">
        <v>28</v>
      </c>
      <c r="AM1501" s="1">
        <v>176.0</v>
      </c>
      <c r="AN1501" s="1">
        <v>2021.0</v>
      </c>
      <c r="AO1501" s="1">
        <v>1964.0</v>
      </c>
      <c r="AQ1501" s="3">
        <v>45102.0</v>
      </c>
      <c r="AR1501" s="1" t="s">
        <v>31</v>
      </c>
      <c r="AS1501" s="1" t="s">
        <v>6613</v>
      </c>
      <c r="AT1501" s="1" t="s">
        <v>31</v>
      </c>
      <c r="AX1501" s="1">
        <v>0.0</v>
      </c>
      <c r="AY1501" s="1">
        <v>0.0</v>
      </c>
    </row>
    <row r="1502" spans="20:51" ht="15.75" hidden="1">
      <c r="T1502" s="1">
        <v>5.7321632E7</v>
      </c>
      <c r="U1502" s="1"/>
      <c r="V1502" s="1"/>
      <c r="W1502" s="1"/>
      <c r="X1502" s="1"/>
      <c r="Y1502" s="1" t="s">
        <v>6614</v>
      </c>
      <c r="Z1502" s="1" t="s">
        <v>6615</v>
      </c>
      <c r="AA1502" s="1" t="s">
        <v>6616</v>
      </c>
      <c r="AB1502" s="1"/>
      <c r="AC1502" s="1"/>
      <c r="AD1502" s="1"/>
      <c r="AE1502" s="1"/>
      <c r="AF1502" s="1" t="s">
        <v>6617</v>
      </c>
      <c r="AG1502" s="2" t="str">
        <f>"1681375974"</f>
        <v>1681375974</v>
      </c>
      <c r="AH1502" s="2" t="str">
        <f>"9781681375977"</f>
        <v>9781681375977</v>
      </c>
      <c r="AI1502" s="1">
        <v>0.0</v>
      </c>
      <c r="AJ1502" s="1">
        <v>3.87</v>
      </c>
      <c r="AK1502" s="1" t="s">
        <v>671</v>
      </c>
      <c r="AL1502" s="1" t="s">
        <v>28</v>
      </c>
      <c r="AM1502" s="1">
        <v>275.0</v>
      </c>
      <c r="AN1502" s="1">
        <v>2022.0</v>
      </c>
      <c r="AO1502" s="1">
        <v>1980.0</v>
      </c>
      <c r="AQ1502" s="3">
        <v>45102.0</v>
      </c>
      <c r="AR1502" s="1" t="s">
        <v>31</v>
      </c>
      <c r="AS1502" s="1" t="s">
        <v>6618</v>
      </c>
      <c r="AT1502" s="1" t="s">
        <v>31</v>
      </c>
      <c r="AX1502" s="1">
        <v>0.0</v>
      </c>
      <c r="AY1502" s="1">
        <v>0.0</v>
      </c>
    </row>
    <row r="1503" spans="20:51" ht="15.75" hidden="1">
      <c r="T1503" s="1">
        <v>5.9204169E7</v>
      </c>
      <c r="U1503" s="1"/>
      <c r="V1503" s="1"/>
      <c r="W1503" s="1"/>
      <c r="X1503" s="1"/>
      <c r="Y1503" s="1" t="s">
        <v>6619</v>
      </c>
      <c r="Z1503" s="1" t="s">
        <v>3596</v>
      </c>
      <c r="AA1503" s="1" t="s">
        <v>3597</v>
      </c>
      <c r="AB1503" s="1"/>
      <c r="AC1503" s="1"/>
      <c r="AD1503" s="1"/>
      <c r="AE1503" s="1"/>
      <c r="AG1503" s="2" t="str">
        <f>"1681376431"</f>
        <v>1681376431</v>
      </c>
      <c r="AH1503" s="2" t="str">
        <f>"9781681376431"</f>
        <v>9781681376431</v>
      </c>
      <c r="AI1503" s="1">
        <v>0.0</v>
      </c>
      <c r="AJ1503" s="1">
        <v>3.75</v>
      </c>
      <c r="AK1503" s="1" t="s">
        <v>4545</v>
      </c>
      <c r="AL1503" s="1" t="s">
        <v>65</v>
      </c>
      <c r="AN1503" s="1">
        <v>2022.0</v>
      </c>
      <c r="AO1503" s="1">
        <v>2022.0</v>
      </c>
      <c r="AQ1503" s="3">
        <v>45102.0</v>
      </c>
      <c r="AR1503" s="1" t="s">
        <v>31</v>
      </c>
      <c r="AS1503" s="1" t="s">
        <v>6620</v>
      </c>
      <c r="AT1503" s="1" t="s">
        <v>31</v>
      </c>
      <c r="AX1503" s="1">
        <v>0.0</v>
      </c>
      <c r="AY1503" s="1">
        <v>0.0</v>
      </c>
    </row>
    <row r="1504" spans="20:51" ht="15.75" hidden="1">
      <c r="T1504" s="1">
        <v>5.8559133E7</v>
      </c>
      <c r="U1504" s="1"/>
      <c r="V1504" s="1"/>
      <c r="W1504" s="1"/>
      <c r="X1504" s="1"/>
      <c r="Y1504" s="1" t="s">
        <v>6621</v>
      </c>
      <c r="Z1504" s="1" t="s">
        <v>62</v>
      </c>
      <c r="AA1504" s="1" t="s">
        <v>63</v>
      </c>
      <c r="AB1504" s="1"/>
      <c r="AC1504" s="1"/>
      <c r="AD1504" s="1"/>
      <c r="AE1504" s="1"/>
      <c r="AF1504" s="1" t="s">
        <v>6622</v>
      </c>
      <c r="AG1504" s="2" t="str">
        <f>""</f>
        <v/>
      </c>
      <c r="AH1504" s="2" t="str">
        <f>"9781681376332"</f>
        <v>9781681376332</v>
      </c>
      <c r="AI1504" s="1">
        <v>0.0</v>
      </c>
      <c r="AJ1504" s="1">
        <v>3.76</v>
      </c>
      <c r="AK1504" s="1" t="s">
        <v>77</v>
      </c>
      <c r="AL1504" s="1" t="s">
        <v>28</v>
      </c>
      <c r="AM1504" s="1">
        <v>336.0</v>
      </c>
      <c r="AN1504" s="1">
        <v>2022.0</v>
      </c>
      <c r="AO1504" s="1">
        <v>2013.0</v>
      </c>
      <c r="AQ1504" s="3">
        <v>45102.0</v>
      </c>
      <c r="AR1504" s="1" t="s">
        <v>31</v>
      </c>
      <c r="AS1504" s="1" t="s">
        <v>6623</v>
      </c>
      <c r="AT1504" s="1" t="s">
        <v>31</v>
      </c>
      <c r="AX1504" s="1">
        <v>0.0</v>
      </c>
      <c r="AY1504" s="1">
        <v>0.0</v>
      </c>
    </row>
    <row r="1505" spans="20:51" ht="15.75" hidden="1">
      <c r="T1505" s="1">
        <v>6.1258974E7</v>
      </c>
      <c r="U1505" s="1"/>
      <c r="V1505" s="1"/>
      <c r="W1505" s="1"/>
      <c r="X1505" s="1"/>
      <c r="Y1505" s="1" t="s">
        <v>6624</v>
      </c>
      <c r="Z1505" s="1" t="s">
        <v>6625</v>
      </c>
      <c r="AA1505" s="1" t="s">
        <v>6626</v>
      </c>
      <c r="AB1505" s="1"/>
      <c r="AC1505" s="1"/>
      <c r="AD1505" s="1"/>
      <c r="AE1505" s="1"/>
      <c r="AG1505" s="2" t="str">
        <f>"1681376814"</f>
        <v>1681376814</v>
      </c>
      <c r="AH1505" s="2" t="str">
        <f>"9781681376813"</f>
        <v>9781681376813</v>
      </c>
      <c r="AI1505" s="1">
        <v>0.0</v>
      </c>
      <c r="AJ1505" s="1">
        <v>3.86</v>
      </c>
      <c r="AK1505" s="1" t="s">
        <v>671</v>
      </c>
      <c r="AL1505" s="1" t="s">
        <v>28</v>
      </c>
      <c r="AM1505" s="1">
        <v>208.0</v>
      </c>
      <c r="AN1505" s="1">
        <v>2022.0</v>
      </c>
      <c r="AO1505" s="1">
        <v>2021.0</v>
      </c>
      <c r="AQ1505" s="3">
        <v>45102.0</v>
      </c>
      <c r="AR1505" s="1" t="s">
        <v>31</v>
      </c>
      <c r="AS1505" s="1" t="s">
        <v>6627</v>
      </c>
      <c r="AT1505" s="1" t="s">
        <v>31</v>
      </c>
      <c r="AX1505" s="1">
        <v>0.0</v>
      </c>
      <c r="AY1505" s="1">
        <v>0.0</v>
      </c>
    </row>
    <row r="1506" spans="20:51" ht="15.75" hidden="1">
      <c r="T1506" s="1">
        <v>6.0911482E7</v>
      </c>
      <c r="U1506" s="1"/>
      <c r="V1506" s="1"/>
      <c r="W1506" s="1"/>
      <c r="X1506" s="1"/>
      <c r="Y1506" s="1" t="s">
        <v>6628</v>
      </c>
      <c r="Z1506" s="1" t="s">
        <v>6629</v>
      </c>
      <c r="AA1506" s="1" t="s">
        <v>6630</v>
      </c>
      <c r="AB1506" s="1"/>
      <c r="AC1506" s="1"/>
      <c r="AD1506" s="1"/>
      <c r="AE1506" s="1"/>
      <c r="AF1506" s="1" t="s">
        <v>6631</v>
      </c>
      <c r="AG1506" s="2" t="str">
        <f>"1681376709"</f>
        <v>1681376709</v>
      </c>
      <c r="AH1506" s="2" t="str">
        <f>"9781681376707"</f>
        <v>9781681376707</v>
      </c>
      <c r="AI1506" s="1">
        <v>0.0</v>
      </c>
      <c r="AJ1506" s="1">
        <v>3.9</v>
      </c>
      <c r="AK1506" s="1" t="s">
        <v>77</v>
      </c>
      <c r="AL1506" s="1" t="s">
        <v>28</v>
      </c>
      <c r="AM1506" s="1">
        <v>320.0</v>
      </c>
      <c r="AN1506" s="1">
        <v>2022.0</v>
      </c>
      <c r="AO1506" s="1">
        <v>1926.0</v>
      </c>
      <c r="AQ1506" s="3">
        <v>45102.0</v>
      </c>
      <c r="AR1506" s="1" t="s">
        <v>31</v>
      </c>
      <c r="AS1506" s="1" t="s">
        <v>6632</v>
      </c>
      <c r="AT1506" s="1" t="s">
        <v>31</v>
      </c>
      <c r="AX1506" s="1">
        <v>0.0</v>
      </c>
      <c r="AY1506" s="1">
        <v>0.0</v>
      </c>
    </row>
    <row r="1507" spans="20:51" ht="15.75" hidden="1">
      <c r="T1507" s="1">
        <v>6.2819085E7</v>
      </c>
      <c r="U1507" s="1"/>
      <c r="V1507" s="1"/>
      <c r="W1507" s="1"/>
      <c r="X1507" s="1"/>
      <c r="Y1507" s="1" t="s">
        <v>6633</v>
      </c>
      <c r="Z1507" s="1" t="s">
        <v>6634</v>
      </c>
      <c r="AA1507" s="1" t="s">
        <v>6635</v>
      </c>
      <c r="AB1507" s="1"/>
      <c r="AC1507" s="1"/>
      <c r="AD1507" s="1"/>
      <c r="AE1507" s="1"/>
      <c r="AF1507" s="1" t="s">
        <v>6636</v>
      </c>
      <c r="AG1507" s="2" t="str">
        <f>"1681377373"</f>
        <v>1681377373</v>
      </c>
      <c r="AH1507" s="2" t="str">
        <f>"9781681377377"</f>
        <v>9781681377377</v>
      </c>
      <c r="AI1507" s="1">
        <v>0.0</v>
      </c>
      <c r="AJ1507" s="1">
        <v>4.25</v>
      </c>
      <c r="AK1507" s="1" t="s">
        <v>77</v>
      </c>
      <c r="AL1507" s="1" t="s">
        <v>28</v>
      </c>
      <c r="AM1507" s="1">
        <v>200.0</v>
      </c>
      <c r="AN1507" s="1">
        <v>2023.0</v>
      </c>
      <c r="AO1507" s="1">
        <v>1959.0</v>
      </c>
      <c r="AQ1507" s="3">
        <v>45102.0</v>
      </c>
      <c r="AR1507" s="1" t="s">
        <v>31</v>
      </c>
      <c r="AS1507" s="1" t="s">
        <v>6637</v>
      </c>
      <c r="AT1507" s="1" t="s">
        <v>31</v>
      </c>
      <c r="AX1507" s="1">
        <v>0.0</v>
      </c>
      <c r="AY1507" s="1">
        <v>0.0</v>
      </c>
    </row>
    <row r="1508" spans="20:51" ht="15.75" hidden="1">
      <c r="T1508" s="1">
        <v>5.3244193E7</v>
      </c>
      <c r="U1508" s="1"/>
      <c r="V1508" s="1"/>
      <c r="W1508" s="1"/>
      <c r="X1508" s="1"/>
      <c r="Y1508" s="1" t="s">
        <v>6638</v>
      </c>
      <c r="Z1508" s="1" t="s">
        <v>3202</v>
      </c>
      <c r="AA1508" s="1" t="s">
        <v>3203</v>
      </c>
      <c r="AB1508" s="1"/>
      <c r="AC1508" s="1"/>
      <c r="AD1508" s="1"/>
      <c r="AE1508" s="1"/>
      <c r="AF1508" s="1" t="s">
        <v>2360</v>
      </c>
      <c r="AG1508" s="2" t="str">
        <f>""</f>
        <v/>
      </c>
      <c r="AH1508" s="2" t="str">
        <f>"9781681374949"</f>
        <v>9781681374949</v>
      </c>
      <c r="AI1508" s="1">
        <v>0.0</v>
      </c>
      <c r="AJ1508" s="1">
        <v>3.66</v>
      </c>
      <c r="AK1508" s="1" t="s">
        <v>671</v>
      </c>
      <c r="AL1508" s="1" t="s">
        <v>28</v>
      </c>
      <c r="AM1508" s="1">
        <v>288.0</v>
      </c>
      <c r="AN1508" s="1">
        <v>2020.0</v>
      </c>
      <c r="AO1508" s="1">
        <v>1969.0</v>
      </c>
      <c r="AQ1508" s="3">
        <v>45102.0</v>
      </c>
      <c r="AR1508" s="1" t="s">
        <v>31</v>
      </c>
      <c r="AS1508" s="1" t="s">
        <v>6639</v>
      </c>
      <c r="AT1508" s="1" t="s">
        <v>31</v>
      </c>
      <c r="AX1508" s="1">
        <v>0.0</v>
      </c>
      <c r="AY1508" s="1">
        <v>0.0</v>
      </c>
    </row>
    <row r="1509" spans="20:51" ht="15.75" hidden="1">
      <c r="T1509" s="1">
        <v>359157.0</v>
      </c>
      <c r="U1509" s="1"/>
      <c r="V1509" s="1"/>
      <c r="W1509" s="1"/>
      <c r="X1509" s="1"/>
      <c r="Y1509" s="1" t="s">
        <v>6640</v>
      </c>
      <c r="Z1509" s="1" t="s">
        <v>6641</v>
      </c>
      <c r="AA1509" s="1" t="s">
        <v>6642</v>
      </c>
      <c r="AB1509" s="1"/>
      <c r="AC1509" s="1"/>
      <c r="AD1509" s="1"/>
      <c r="AE1509" s="1"/>
      <c r="AF1509" s="1" t="s">
        <v>6643</v>
      </c>
      <c r="AG1509" s="2" t="str">
        <f>"0940322676"</f>
        <v>0940322676</v>
      </c>
      <c r="AH1509" s="2" t="str">
        <f>"9780940322677"</f>
        <v>9780940322677</v>
      </c>
      <c r="AI1509" s="1">
        <v>0.0</v>
      </c>
      <c r="AJ1509" s="1">
        <v>3.59</v>
      </c>
      <c r="AK1509" s="1" t="s">
        <v>77</v>
      </c>
      <c r="AL1509" s="1" t="s">
        <v>28</v>
      </c>
      <c r="AM1509" s="1">
        <v>232.0</v>
      </c>
      <c r="AN1509" s="1">
        <v>1999.0</v>
      </c>
      <c r="AO1509" s="1">
        <v>1927.0</v>
      </c>
      <c r="AQ1509" s="3">
        <v>45102.0</v>
      </c>
      <c r="AR1509" s="1" t="s">
        <v>31</v>
      </c>
      <c r="AS1509" s="1" t="s">
        <v>6644</v>
      </c>
      <c r="AT1509" s="1" t="s">
        <v>31</v>
      </c>
      <c r="AX1509" s="1">
        <v>0.0</v>
      </c>
      <c r="AY1509" s="1">
        <v>0.0</v>
      </c>
    </row>
    <row r="1510" spans="20:51" ht="15.75" hidden="1">
      <c r="T1510" s="1">
        <v>3.1057755E7</v>
      </c>
      <c r="U1510" s="1"/>
      <c r="V1510" s="1"/>
      <c r="W1510" s="1"/>
      <c r="X1510" s="1"/>
      <c r="Y1510" s="1" t="s">
        <v>6645</v>
      </c>
      <c r="Z1510" s="1" t="s">
        <v>638</v>
      </c>
      <c r="AA1510" s="1" t="s">
        <v>639</v>
      </c>
      <c r="AB1510" s="1"/>
      <c r="AC1510" s="1"/>
      <c r="AD1510" s="1"/>
      <c r="AE1510" s="1"/>
      <c r="AF1510" s="1" t="s">
        <v>6646</v>
      </c>
      <c r="AG1510" s="2" t="str">
        <f>""</f>
        <v/>
      </c>
      <c r="AH1510" s="2" t="str">
        <f>"9789569235184"</f>
        <v>9789569235184</v>
      </c>
      <c r="AI1510" s="1">
        <v>0.0</v>
      </c>
      <c r="AJ1510" s="1">
        <v>4.41</v>
      </c>
      <c r="AK1510" s="1" t="s">
        <v>6647</v>
      </c>
      <c r="AL1510" s="1" t="s">
        <v>6648</v>
      </c>
      <c r="AM1510" s="1">
        <v>25.0</v>
      </c>
      <c r="AN1510" s="1">
        <v>2016.0</v>
      </c>
      <c r="AO1510" s="1">
        <v>2013.0</v>
      </c>
      <c r="AQ1510" s="3">
        <v>45102.0</v>
      </c>
      <c r="AR1510" s="1" t="s">
        <v>31</v>
      </c>
      <c r="AS1510" s="1" t="s">
        <v>6649</v>
      </c>
      <c r="AT1510" s="1" t="s">
        <v>31</v>
      </c>
      <c r="AX1510" s="1">
        <v>0.0</v>
      </c>
      <c r="AY1510" s="1">
        <v>0.0</v>
      </c>
    </row>
    <row r="1511" spans="20:51" ht="15.75" hidden="1">
      <c r="T1511" s="1">
        <v>138428.0</v>
      </c>
      <c r="U1511" s="1"/>
      <c r="V1511" s="1"/>
      <c r="W1511" s="1"/>
      <c r="X1511" s="1"/>
      <c r="Y1511" s="1" t="s">
        <v>6650</v>
      </c>
      <c r="Z1511" s="1" t="s">
        <v>6651</v>
      </c>
      <c r="AA1511" s="1" t="s">
        <v>6652</v>
      </c>
      <c r="AB1511" s="1"/>
      <c r="AC1511" s="1"/>
      <c r="AD1511" s="1"/>
      <c r="AE1511" s="1"/>
      <c r="AF1511" s="1" t="s">
        <v>6653</v>
      </c>
      <c r="AG1511" s="2" t="str">
        <f>"1590171470"</f>
        <v>1590171470</v>
      </c>
      <c r="AH1511" s="2" t="str">
        <f>"9781590171479"</f>
        <v>9781590171479</v>
      </c>
      <c r="AI1511" s="1">
        <v>0.0</v>
      </c>
      <c r="AJ1511" s="1">
        <v>4.17</v>
      </c>
      <c r="AK1511" s="1" t="s">
        <v>671</v>
      </c>
      <c r="AL1511" s="1" t="s">
        <v>28</v>
      </c>
      <c r="AM1511" s="1">
        <v>437.0</v>
      </c>
      <c r="AN1511" s="1">
        <v>2005.0</v>
      </c>
      <c r="AO1511" s="1">
        <v>1944.0</v>
      </c>
      <c r="AQ1511" s="3">
        <v>45102.0</v>
      </c>
      <c r="AR1511" s="1" t="s">
        <v>31</v>
      </c>
      <c r="AS1511" s="1" t="s">
        <v>6654</v>
      </c>
      <c r="AT1511" s="1" t="s">
        <v>31</v>
      </c>
      <c r="AX1511" s="1">
        <v>0.0</v>
      </c>
      <c r="AY1511" s="1">
        <v>0.0</v>
      </c>
    </row>
    <row r="1512" spans="20:51" ht="15.75" hidden="1">
      <c r="T1512" s="1">
        <v>193755.0</v>
      </c>
      <c r="U1512" s="1"/>
      <c r="V1512" s="1"/>
      <c r="W1512" s="1"/>
      <c r="X1512" s="1"/>
      <c r="Y1512" s="1" t="s">
        <v>6655</v>
      </c>
      <c r="Z1512" s="1" t="s">
        <v>6656</v>
      </c>
      <c r="AA1512" s="1" t="s">
        <v>6657</v>
      </c>
      <c r="AB1512" s="1"/>
      <c r="AC1512" s="1"/>
      <c r="AD1512" s="1"/>
      <c r="AE1512" s="1"/>
      <c r="AF1512" s="1" t="s">
        <v>6658</v>
      </c>
      <c r="AG1512" s="2" t="str">
        <f>"0375701214"</f>
        <v>0375701214</v>
      </c>
      <c r="AH1512" s="2" t="str">
        <f>"9780375701214"</f>
        <v>9780375701214</v>
      </c>
      <c r="AI1512" s="1">
        <v>0.0</v>
      </c>
      <c r="AJ1512" s="1">
        <v>3.98</v>
      </c>
      <c r="AK1512" s="1" t="s">
        <v>83</v>
      </c>
      <c r="AL1512" s="1" t="s">
        <v>28</v>
      </c>
      <c r="AM1512" s="1">
        <v>132.0</v>
      </c>
      <c r="AN1512" s="1">
        <v>1998.0</v>
      </c>
      <c r="AO1512" s="1">
        <v>1997.0</v>
      </c>
      <c r="AQ1512" s="3">
        <v>45101.0</v>
      </c>
      <c r="AR1512" s="1" t="s">
        <v>31</v>
      </c>
      <c r="AS1512" s="1" t="s">
        <v>6659</v>
      </c>
      <c r="AT1512" s="1" t="s">
        <v>31</v>
      </c>
      <c r="AX1512" s="1">
        <v>0.0</v>
      </c>
      <c r="AY1512" s="1">
        <v>0.0</v>
      </c>
    </row>
    <row r="1513" spans="20:51" ht="15.75" hidden="1">
      <c r="T1513" s="1">
        <v>5.6929856E7</v>
      </c>
      <c r="U1513" s="1"/>
      <c r="V1513" s="1"/>
      <c r="W1513" s="1"/>
      <c r="X1513" s="1"/>
      <c r="Y1513" s="1" t="s">
        <v>6660</v>
      </c>
      <c r="Z1513" s="1" t="s">
        <v>489</v>
      </c>
      <c r="AA1513" s="1" t="s">
        <v>490</v>
      </c>
      <c r="AB1513" s="1"/>
      <c r="AC1513" s="1"/>
      <c r="AD1513" s="1"/>
      <c r="AE1513" s="1"/>
      <c r="AF1513" s="1" t="s">
        <v>6661</v>
      </c>
      <c r="AG1513" s="2" t="str">
        <f>"8433916467"</f>
        <v>8433916467</v>
      </c>
      <c r="AH1513" s="2" t="str">
        <f>"9788433916464"</f>
        <v>9788433916464</v>
      </c>
      <c r="AI1513" s="1">
        <v>0.0</v>
      </c>
      <c r="AJ1513" s="1">
        <v>3.26</v>
      </c>
      <c r="AK1513" s="1" t="s">
        <v>1681</v>
      </c>
      <c r="AL1513" s="1" t="s">
        <v>28</v>
      </c>
      <c r="AM1513" s="1">
        <v>144.0</v>
      </c>
      <c r="AN1513" s="1">
        <v>2020.0</v>
      </c>
      <c r="AO1513" s="1">
        <v>2020.0</v>
      </c>
      <c r="AQ1513" s="3">
        <v>44243.0</v>
      </c>
      <c r="AR1513" s="1" t="s">
        <v>31</v>
      </c>
      <c r="AS1513" s="1" t="s">
        <v>6662</v>
      </c>
      <c r="AT1513" s="1" t="s">
        <v>31</v>
      </c>
      <c r="AX1513" s="1">
        <v>0.0</v>
      </c>
      <c r="AY1513" s="1">
        <v>0.0</v>
      </c>
    </row>
    <row r="1514" spans="20:51" ht="15.75" hidden="1">
      <c r="T1514" s="1">
        <v>3.0233546E7</v>
      </c>
      <c r="U1514" s="1"/>
      <c r="V1514" s="1"/>
      <c r="W1514" s="1"/>
      <c r="X1514" s="1"/>
      <c r="Y1514" s="1" t="s">
        <v>1513</v>
      </c>
      <c r="Z1514" s="1" t="s">
        <v>6663</v>
      </c>
      <c r="AA1514" s="1" t="s">
        <v>6664</v>
      </c>
      <c r="AB1514" s="1"/>
      <c r="AC1514" s="1"/>
      <c r="AD1514" s="1"/>
      <c r="AE1514" s="1"/>
      <c r="AG1514" s="2" t="str">
        <f t="shared" si="126" ref="AG1514:AH1514">""</f>
        <v/>
      </c>
      <c r="AH1514" s="2" t="str">
        <f t="shared" si="126"/>
        <v/>
      </c>
      <c r="AI1514" s="1">
        <v>0.0</v>
      </c>
      <c r="AJ1514" s="1">
        <v>5.0</v>
      </c>
      <c r="AL1514" s="1" t="s">
        <v>59</v>
      </c>
      <c r="AM1514" s="1">
        <v>78.0</v>
      </c>
      <c r="AN1514" s="1">
        <v>2015.0</v>
      </c>
      <c r="AQ1514" s="3">
        <v>44455.0</v>
      </c>
      <c r="AR1514" s="1" t="s">
        <v>2539</v>
      </c>
      <c r="AS1514" s="1" t="s">
        <v>6665</v>
      </c>
      <c r="AT1514" s="1" t="s">
        <v>31</v>
      </c>
      <c r="AX1514" s="1">
        <v>0.0</v>
      </c>
      <c r="AY1514" s="1">
        <v>0.0</v>
      </c>
    </row>
    <row r="1515" spans="20:51" ht="15.75" hidden="1">
      <c r="T1515" s="1">
        <v>793647.0</v>
      </c>
      <c r="U1515" s="1"/>
      <c r="V1515" s="1"/>
      <c r="W1515" s="1"/>
      <c r="X1515" s="1"/>
      <c r="Y1515" s="1" t="s">
        <v>6666</v>
      </c>
      <c r="Z1515" s="1" t="s">
        <v>6667</v>
      </c>
      <c r="AA1515" s="1" t="s">
        <v>6668</v>
      </c>
      <c r="AB1515" s="1"/>
      <c r="AC1515" s="1"/>
      <c r="AD1515" s="1"/>
      <c r="AE1515" s="1"/>
      <c r="AG1515" s="2" t="str">
        <f>"0517362457"</f>
        <v>0517362457</v>
      </c>
      <c r="AH1515" s="2" t="str">
        <f>"9780517362457"</f>
        <v>9780517362457</v>
      </c>
      <c r="AI1515" s="1">
        <v>0.0</v>
      </c>
      <c r="AJ1515" s="1">
        <v>4.04</v>
      </c>
      <c r="AK1515" s="1" t="s">
        <v>6669</v>
      </c>
      <c r="AL1515" s="1" t="s">
        <v>41</v>
      </c>
      <c r="AM1515" s="1">
        <v>557.0</v>
      </c>
      <c r="AN1515" s="1">
        <v>1981.0</v>
      </c>
      <c r="AO1515" s="1">
        <v>1959.0</v>
      </c>
      <c r="AQ1515" s="3">
        <v>43967.0</v>
      </c>
      <c r="AR1515" s="1" t="s">
        <v>2539</v>
      </c>
      <c r="AS1515" s="1" t="s">
        <v>6670</v>
      </c>
      <c r="AT1515" s="1" t="s">
        <v>31</v>
      </c>
      <c r="AX1515" s="1">
        <v>0.0</v>
      </c>
      <c r="AY1515" s="1">
        <v>0.0</v>
      </c>
    </row>
    <row r="1516" spans="20:51" ht="15.75" hidden="1">
      <c r="T1516" s="1">
        <v>1117964.0</v>
      </c>
      <c r="U1516" s="1"/>
      <c r="V1516" s="1"/>
      <c r="W1516" s="1"/>
      <c r="X1516" s="1"/>
      <c r="Y1516" s="1" t="s">
        <v>6671</v>
      </c>
      <c r="Z1516" s="1" t="s">
        <v>6672</v>
      </c>
      <c r="AA1516" s="1" t="s">
        <v>6673</v>
      </c>
      <c r="AB1516" s="1"/>
      <c r="AC1516" s="1"/>
      <c r="AD1516" s="1"/>
      <c r="AE1516" s="1"/>
      <c r="AG1516" s="2" t="str">
        <f>"0140080295"</f>
        <v>0140080295</v>
      </c>
      <c r="AH1516" s="2" t="str">
        <f>"9780140080292"</f>
        <v>9780140080292</v>
      </c>
      <c r="AI1516" s="1">
        <v>0.0</v>
      </c>
      <c r="AJ1516" s="1">
        <v>3.99</v>
      </c>
      <c r="AK1516" s="1" t="s">
        <v>460</v>
      </c>
      <c r="AL1516" s="1" t="s">
        <v>28</v>
      </c>
      <c r="AM1516" s="1">
        <v>229.0</v>
      </c>
      <c r="AN1516" s="1">
        <v>1987.0</v>
      </c>
      <c r="AO1516" s="1">
        <v>1968.0</v>
      </c>
      <c r="AQ1516" s="4">
        <v>41601.0</v>
      </c>
      <c r="AR1516" s="1" t="s">
        <v>2539</v>
      </c>
      <c r="AS1516" s="1" t="s">
        <v>6674</v>
      </c>
      <c r="AT1516" s="1" t="s">
        <v>31</v>
      </c>
      <c r="AX1516" s="1">
        <v>0.0</v>
      </c>
      <c r="AY1516" s="1">
        <v>0.0</v>
      </c>
    </row>
    <row r="1517" spans="20:51" ht="15.75" hidden="1">
      <c r="T1517" s="1">
        <v>2.5893849E7</v>
      </c>
      <c r="U1517" s="1"/>
      <c r="V1517" s="1"/>
      <c r="W1517" s="1"/>
      <c r="X1517" s="1"/>
      <c r="Y1517" s="1" t="s">
        <v>6675</v>
      </c>
      <c r="Z1517" s="1" t="s">
        <v>6676</v>
      </c>
      <c r="AA1517" s="1" t="s">
        <v>6677</v>
      </c>
      <c r="AB1517" s="1"/>
      <c r="AC1517" s="1"/>
      <c r="AD1517" s="1"/>
      <c r="AE1517" s="1"/>
      <c r="AF1517" s="1" t="s">
        <v>6678</v>
      </c>
      <c r="AG1517" s="2" t="str">
        <f>"1784783048"</f>
        <v>1784783048</v>
      </c>
      <c r="AH1517" s="2" t="str">
        <f>"9781784783044"</f>
        <v>9781784783044</v>
      </c>
      <c r="AI1517" s="1">
        <v>0.0</v>
      </c>
      <c r="AJ1517" s="1">
        <v>3.66</v>
      </c>
      <c r="AK1517" s="1" t="s">
        <v>1973</v>
      </c>
      <c r="AL1517" s="1" t="s">
        <v>28</v>
      </c>
      <c r="AM1517" s="1">
        <v>240.0</v>
      </c>
      <c r="AN1517" s="1">
        <v>2016.0</v>
      </c>
      <c r="AO1517" s="1">
        <v>2016.0</v>
      </c>
      <c r="AQ1517" s="3">
        <v>45098.0</v>
      </c>
      <c r="AR1517" s="1" t="s">
        <v>31</v>
      </c>
      <c r="AS1517" s="1" t="s">
        <v>6679</v>
      </c>
      <c r="AT1517" s="1" t="s">
        <v>31</v>
      </c>
      <c r="AX1517" s="1">
        <v>0.0</v>
      </c>
      <c r="AY1517" s="1">
        <v>0.0</v>
      </c>
    </row>
    <row r="1518" spans="20:51" ht="15.75" hidden="1">
      <c r="T1518" s="1">
        <v>1.5797986E7</v>
      </c>
      <c r="U1518" s="1"/>
      <c r="V1518" s="1"/>
      <c r="W1518" s="1"/>
      <c r="X1518" s="1"/>
      <c r="Y1518" s="1" t="s">
        <v>6680</v>
      </c>
      <c r="Z1518" s="1" t="s">
        <v>6681</v>
      </c>
      <c r="AA1518" s="1" t="s">
        <v>6682</v>
      </c>
      <c r="AB1518" s="1"/>
      <c r="AC1518" s="1"/>
      <c r="AD1518" s="1"/>
      <c r="AE1518" s="1"/>
      <c r="AF1518" s="1" t="s">
        <v>6683</v>
      </c>
      <c r="AG1518" s="2" t="str">
        <f>"1612191940"</f>
        <v>1612191940</v>
      </c>
      <c r="AH1518" s="2" t="str">
        <f>"9781612191942"</f>
        <v>9781612191942</v>
      </c>
      <c r="AI1518" s="1">
        <v>0.0</v>
      </c>
      <c r="AJ1518" s="1">
        <v>3.56</v>
      </c>
      <c r="AK1518" s="1" t="s">
        <v>1708</v>
      </c>
      <c r="AL1518" s="1" t="s">
        <v>28</v>
      </c>
      <c r="AM1518" s="1">
        <v>162.0</v>
      </c>
      <c r="AN1518" s="1">
        <v>2013.0</v>
      </c>
      <c r="AO1518" s="1">
        <v>1902.0</v>
      </c>
      <c r="AQ1518" s="3">
        <v>42603.0</v>
      </c>
      <c r="AR1518" s="1" t="s">
        <v>31</v>
      </c>
      <c r="AS1518" s="1" t="s">
        <v>6684</v>
      </c>
      <c r="AT1518" s="1" t="s">
        <v>31</v>
      </c>
      <c r="AX1518" s="1">
        <v>0.0</v>
      </c>
      <c r="AY1518" s="1">
        <v>0.0</v>
      </c>
    </row>
    <row r="1519" spans="20:51" ht="15.75" hidden="1">
      <c r="T1519" s="1">
        <v>6976853.0</v>
      </c>
      <c r="U1519" s="1"/>
      <c r="V1519" s="1"/>
      <c r="W1519" s="1"/>
      <c r="X1519" s="1"/>
      <c r="Y1519" s="1" t="s">
        <v>6685</v>
      </c>
      <c r="Z1519" s="1" t="s">
        <v>5517</v>
      </c>
      <c r="AA1519" s="1" t="s">
        <v>5518</v>
      </c>
      <c r="AB1519" s="1"/>
      <c r="AC1519" s="1"/>
      <c r="AD1519" s="1"/>
      <c r="AE1519" s="1"/>
      <c r="AF1519" s="1" t="s">
        <v>6686</v>
      </c>
      <c r="AG1519" s="2" t="str">
        <f>"1844674193"</f>
        <v>1844674193</v>
      </c>
      <c r="AH1519" s="2" t="str">
        <f>"9781844674190"</f>
        <v>9781844674190</v>
      </c>
      <c r="AI1519" s="1">
        <v>3.0</v>
      </c>
      <c r="AJ1519" s="1">
        <v>3.84</v>
      </c>
      <c r="AK1519" s="1" t="s">
        <v>1973</v>
      </c>
      <c r="AL1519" s="1" t="s">
        <v>41</v>
      </c>
      <c r="AM1519" s="1">
        <v>96.0</v>
      </c>
      <c r="AN1519" s="1">
        <v>2011.0</v>
      </c>
      <c r="AO1519" s="1">
        <v>1968.0</v>
      </c>
      <c r="AQ1519" s="3">
        <v>43914.0</v>
      </c>
      <c r="AT1519" s="1" t="s">
        <v>127</v>
      </c>
      <c r="AX1519" s="1">
        <v>1.0</v>
      </c>
      <c r="AY1519" s="1">
        <v>0.0</v>
      </c>
    </row>
    <row r="1520" spans="20:51" ht="15.75" hidden="1">
      <c r="T1520" s="1">
        <v>12543.0</v>
      </c>
      <c r="U1520" s="1"/>
      <c r="V1520" s="1"/>
      <c r="W1520" s="1"/>
      <c r="X1520" s="1"/>
      <c r="Y1520" s="1" t="s">
        <v>6687</v>
      </c>
      <c r="Z1520" s="1" t="s">
        <v>6688</v>
      </c>
      <c r="AA1520" s="1" t="s">
        <v>6689</v>
      </c>
      <c r="AB1520" s="1"/>
      <c r="AC1520" s="1"/>
      <c r="AD1520" s="1"/>
      <c r="AE1520" s="1"/>
      <c r="AG1520" s="2" t="str">
        <f t="shared" si="127" ref="AG1520:AH1520">""</f>
        <v/>
      </c>
      <c r="AH1520" s="2" t="str">
        <f t="shared" si="127"/>
        <v/>
      </c>
      <c r="AI1520" s="1">
        <v>0.0</v>
      </c>
      <c r="AJ1520" s="1">
        <v>4.24</v>
      </c>
      <c r="AK1520" s="1" t="s">
        <v>2017</v>
      </c>
      <c r="AL1520" s="1" t="s">
        <v>28</v>
      </c>
      <c r="AM1520" s="1">
        <v>237.0</v>
      </c>
      <c r="AN1520" s="1">
        <v>1995.0</v>
      </c>
      <c r="AO1520" s="1">
        <v>1994.0</v>
      </c>
      <c r="AQ1520" s="3">
        <v>43919.0</v>
      </c>
      <c r="AR1520" s="1" t="s">
        <v>31</v>
      </c>
      <c r="AS1520" s="1" t="s">
        <v>6690</v>
      </c>
      <c r="AT1520" s="1" t="s">
        <v>31</v>
      </c>
      <c r="AX1520" s="1">
        <v>0.0</v>
      </c>
      <c r="AY1520" s="1">
        <v>0.0</v>
      </c>
    </row>
    <row r="1521" spans="20:51" ht="15.75" hidden="1">
      <c r="T1521" s="1">
        <v>418209.0</v>
      </c>
      <c r="U1521" s="1"/>
      <c r="V1521" s="1"/>
      <c r="W1521" s="1"/>
      <c r="X1521" s="1"/>
      <c r="Y1521" s="1" t="s">
        <v>6691</v>
      </c>
      <c r="Z1521" s="1" t="s">
        <v>3857</v>
      </c>
      <c r="AA1521" s="1" t="s">
        <v>3858</v>
      </c>
      <c r="AB1521" s="1"/>
      <c r="AC1521" s="1"/>
      <c r="AD1521" s="1"/>
      <c r="AE1521" s="1"/>
      <c r="AG1521" s="2" t="str">
        <f>"0679723439"</f>
        <v>0679723439</v>
      </c>
      <c r="AH1521" s="2" t="str">
        <f>"9780679723431"</f>
        <v>9780679723431</v>
      </c>
      <c r="AI1521" s="1">
        <v>0.0</v>
      </c>
      <c r="AJ1521" s="1">
        <v>3.92</v>
      </c>
      <c r="AK1521" s="1" t="s">
        <v>83</v>
      </c>
      <c r="AL1521" s="1" t="s">
        <v>28</v>
      </c>
      <c r="AM1521" s="1">
        <v>212.0</v>
      </c>
      <c r="AN1521" s="1">
        <v>1989.0</v>
      </c>
      <c r="AO1521" s="1">
        <v>1934.0</v>
      </c>
      <c r="AQ1521" s="3">
        <v>45078.0</v>
      </c>
      <c r="AR1521" s="1" t="s">
        <v>31</v>
      </c>
      <c r="AS1521" s="1" t="s">
        <v>6692</v>
      </c>
      <c r="AT1521" s="1" t="s">
        <v>31</v>
      </c>
      <c r="AX1521" s="1">
        <v>0.0</v>
      </c>
      <c r="AY1521" s="1">
        <v>0.0</v>
      </c>
    </row>
    <row r="1522" spans="20:51" ht="15.75" hidden="1">
      <c r="T1522" s="1">
        <v>7805.0</v>
      </c>
      <c r="U1522" s="1"/>
      <c r="V1522" s="1"/>
      <c r="W1522" s="1"/>
      <c r="X1522" s="1"/>
      <c r="Y1522" s="1" t="s">
        <v>6693</v>
      </c>
      <c r="Z1522" s="1" t="s">
        <v>3857</v>
      </c>
      <c r="AA1522" s="1" t="s">
        <v>3858</v>
      </c>
      <c r="AB1522" s="1"/>
      <c r="AC1522" s="1"/>
      <c r="AD1522" s="1"/>
      <c r="AE1522" s="1"/>
      <c r="AG1522" s="2" t="str">
        <f t="shared" si="128" ref="AG1522:AH1522">""</f>
        <v/>
      </c>
      <c r="AH1522" s="2" t="str">
        <f t="shared" si="128"/>
        <v/>
      </c>
      <c r="AI1522" s="1">
        <v>0.0</v>
      </c>
      <c r="AJ1522" s="1">
        <v>4.16</v>
      </c>
      <c r="AK1522" s="1" t="s">
        <v>119</v>
      </c>
      <c r="AL1522" s="1" t="s">
        <v>28</v>
      </c>
      <c r="AM1522" s="1">
        <v>246.0</v>
      </c>
      <c r="AN1522" s="1">
        <v>2000.0</v>
      </c>
      <c r="AO1522" s="1">
        <v>1962.0</v>
      </c>
      <c r="AQ1522" s="3">
        <v>45080.0</v>
      </c>
      <c r="AR1522" s="1" t="s">
        <v>31</v>
      </c>
      <c r="AS1522" s="1" t="s">
        <v>6694</v>
      </c>
      <c r="AT1522" s="1" t="s">
        <v>31</v>
      </c>
      <c r="AX1522" s="1">
        <v>0.0</v>
      </c>
      <c r="AY1522" s="1">
        <v>0.0</v>
      </c>
    </row>
    <row r="1523" spans="20:51" ht="15.75" hidden="1">
      <c r="T1523" s="1">
        <v>4.0113187E7</v>
      </c>
      <c r="U1523" s="1"/>
      <c r="V1523" s="1"/>
      <c r="W1523" s="1"/>
      <c r="X1523" s="1"/>
      <c r="Y1523" s="1" t="s">
        <v>6695</v>
      </c>
      <c r="Z1523" s="1" t="s">
        <v>5885</v>
      </c>
      <c r="AA1523" s="1" t="s">
        <v>5886</v>
      </c>
      <c r="AB1523" s="1"/>
      <c r="AC1523" s="1"/>
      <c r="AD1523" s="1"/>
      <c r="AE1523" s="1"/>
      <c r="AF1523" s="1" t="s">
        <v>6696</v>
      </c>
      <c r="AG1523" s="2" t="str">
        <f>"157281912X"</f>
        <v>157281912X</v>
      </c>
      <c r="AH1523" s="2" t="str">
        <f>"9781572819122"</f>
        <v>9781572819122</v>
      </c>
      <c r="AI1523" s="1">
        <v>0.0</v>
      </c>
      <c r="AJ1523" s="1">
        <v>4.36</v>
      </c>
      <c r="AK1523" s="1" t="s">
        <v>6697</v>
      </c>
      <c r="AL1523" s="1" t="s">
        <v>41</v>
      </c>
      <c r="AM1523" s="1">
        <v>440.0</v>
      </c>
      <c r="AN1523" s="1">
        <v>2018.0</v>
      </c>
      <c r="AQ1523" s="3">
        <v>45087.0</v>
      </c>
      <c r="AR1523" s="1" t="s">
        <v>1019</v>
      </c>
      <c r="AS1523" s="1" t="s">
        <v>6698</v>
      </c>
      <c r="AT1523" s="1" t="s">
        <v>31</v>
      </c>
      <c r="AX1523" s="1">
        <v>0.0</v>
      </c>
      <c r="AY1523" s="1">
        <v>0.0</v>
      </c>
    </row>
    <row r="1524" spans="20:51" ht="15.75" hidden="1">
      <c r="T1524" s="1">
        <v>1189914.0</v>
      </c>
      <c r="U1524" s="1"/>
      <c r="V1524" s="1"/>
      <c r="W1524" s="1"/>
      <c r="X1524" s="1"/>
      <c r="Y1524" s="1" t="s">
        <v>6699</v>
      </c>
      <c r="Z1524" s="1" t="s">
        <v>6700</v>
      </c>
      <c r="AA1524" s="1" t="s">
        <v>6701</v>
      </c>
      <c r="AB1524" s="1"/>
      <c r="AC1524" s="1"/>
      <c r="AD1524" s="1"/>
      <c r="AE1524" s="1"/>
      <c r="AG1524" s="2" t="str">
        <f>"0349106576"</f>
        <v>0349106576</v>
      </c>
      <c r="AH1524" s="2" t="str">
        <f>"9780349106571"</f>
        <v>9780349106571</v>
      </c>
      <c r="AI1524" s="1">
        <v>0.0</v>
      </c>
      <c r="AJ1524" s="1">
        <v>3.84</v>
      </c>
      <c r="AK1524" s="1" t="s">
        <v>6702</v>
      </c>
      <c r="AL1524" s="1" t="s">
        <v>28</v>
      </c>
      <c r="AM1524" s="1">
        <v>186.0</v>
      </c>
      <c r="AN1524" s="1">
        <v>1997.0</v>
      </c>
      <c r="AO1524" s="1">
        <v>1948.0</v>
      </c>
      <c r="AP1524" s="3">
        <v>41763.0</v>
      </c>
      <c r="AQ1524" s="3">
        <v>41746.0</v>
      </c>
      <c r="AT1524" s="1" t="s">
        <v>127</v>
      </c>
      <c r="AX1524" s="1">
        <v>1.0</v>
      </c>
      <c r="AY1524" s="1">
        <v>0.0</v>
      </c>
    </row>
    <row r="1525" spans="20:51" ht="15.75" hidden="1">
      <c r="T1525" s="1">
        <v>12948.0</v>
      </c>
      <c r="U1525" s="1"/>
      <c r="V1525" s="1"/>
      <c r="W1525" s="1"/>
      <c r="X1525" s="1"/>
      <c r="Y1525" s="1" t="s">
        <v>6703</v>
      </c>
      <c r="Z1525" s="1" t="s">
        <v>6704</v>
      </c>
      <c r="AA1525" s="1" t="s">
        <v>6705</v>
      </c>
      <c r="AB1525" s="1"/>
      <c r="AC1525" s="1"/>
      <c r="AD1525" s="1"/>
      <c r="AE1525" s="1"/>
      <c r="AG1525" s="2" t="str">
        <f>"0140620613"</f>
        <v>0140620613</v>
      </c>
      <c r="AH1525" s="2" t="str">
        <f>"9780140620610"</f>
        <v>9780140620610</v>
      </c>
      <c r="AI1525" s="1">
        <v>0.0</v>
      </c>
      <c r="AJ1525" s="1">
        <v>3.39</v>
      </c>
      <c r="AK1525" s="1" t="s">
        <v>151</v>
      </c>
      <c r="AL1525" s="1" t="s">
        <v>315</v>
      </c>
      <c r="AM1525" s="1">
        <v>121.0</v>
      </c>
      <c r="AN1525" s="1">
        <v>1994.0</v>
      </c>
      <c r="AO1525" s="1">
        <v>1898.0</v>
      </c>
      <c r="AQ1525" s="3">
        <v>41341.0</v>
      </c>
      <c r="AR1525" s="1" t="s">
        <v>31</v>
      </c>
      <c r="AS1525" s="1" t="s">
        <v>6706</v>
      </c>
      <c r="AT1525" s="1" t="s">
        <v>31</v>
      </c>
      <c r="AX1525" s="1">
        <v>0.0</v>
      </c>
      <c r="AY1525" s="1">
        <v>0.0</v>
      </c>
    </row>
    <row r="1526" spans="20:51" ht="15.75" hidden="1">
      <c r="T1526" s="1">
        <v>398337.0</v>
      </c>
      <c r="U1526" s="1"/>
      <c r="V1526" s="1"/>
      <c r="W1526" s="1"/>
      <c r="X1526" s="1"/>
      <c r="Y1526" s="1" t="s">
        <v>6707</v>
      </c>
      <c r="Z1526" s="1" t="s">
        <v>6708</v>
      </c>
      <c r="AA1526" s="1" t="s">
        <v>6709</v>
      </c>
      <c r="AB1526" s="1"/>
      <c r="AC1526" s="1"/>
      <c r="AD1526" s="1"/>
      <c r="AE1526" s="1"/>
      <c r="AF1526" s="1" t="s">
        <v>6710</v>
      </c>
      <c r="AG1526" s="2" t="str">
        <f>"1904634176"</f>
        <v>1904634176</v>
      </c>
      <c r="AH1526" s="2" t="str">
        <f>"9781904634171"</f>
        <v>9781904634171</v>
      </c>
      <c r="AI1526" s="1">
        <v>0.0</v>
      </c>
      <c r="AJ1526" s="1">
        <v>4.15</v>
      </c>
      <c r="AK1526" s="1" t="s">
        <v>6711</v>
      </c>
      <c r="AL1526" s="1" t="s">
        <v>41</v>
      </c>
      <c r="AM1526" s="1">
        <v>144.0</v>
      </c>
      <c r="AN1526" s="1">
        <v>2005.0</v>
      </c>
      <c r="AO1526" s="1">
        <v>1945.0</v>
      </c>
      <c r="AQ1526" s="3">
        <v>43952.0</v>
      </c>
      <c r="AR1526" s="1" t="s">
        <v>31</v>
      </c>
      <c r="AS1526" s="1" t="s">
        <v>6712</v>
      </c>
      <c r="AT1526" s="1" t="s">
        <v>31</v>
      </c>
      <c r="AX1526" s="1">
        <v>0.0</v>
      </c>
      <c r="AY1526" s="1">
        <v>0.0</v>
      </c>
    </row>
    <row r="1527" spans="20:51" ht="15.75" hidden="1">
      <c r="T1527" s="1">
        <v>1.342278E7</v>
      </c>
      <c r="U1527" s="1"/>
      <c r="V1527" s="1"/>
      <c r="W1527" s="1"/>
      <c r="X1527" s="1"/>
      <c r="Y1527" s="1" t="s">
        <v>6713</v>
      </c>
      <c r="Z1527" s="1" t="s">
        <v>6714</v>
      </c>
      <c r="AA1527" s="1" t="s">
        <v>6715</v>
      </c>
      <c r="AB1527" s="1"/>
      <c r="AC1527" s="1"/>
      <c r="AD1527" s="1"/>
      <c r="AE1527" s="1"/>
      <c r="AG1527" s="2" t="str">
        <f t="shared" si="129" ref="AG1527:AH1527">""</f>
        <v/>
      </c>
      <c r="AH1527" s="2" t="str">
        <f t="shared" si="129"/>
        <v/>
      </c>
      <c r="AI1527" s="1">
        <v>0.0</v>
      </c>
      <c r="AJ1527" s="1">
        <v>4.5</v>
      </c>
      <c r="AL1527" s="1" t="s">
        <v>28</v>
      </c>
      <c r="AM1527" s="1">
        <v>272.0</v>
      </c>
      <c r="AN1527" s="1">
        <v>1916.0</v>
      </c>
      <c r="AQ1527" s="3">
        <v>44206.0</v>
      </c>
      <c r="AR1527" s="1" t="s">
        <v>31</v>
      </c>
      <c r="AS1527" s="1" t="s">
        <v>6716</v>
      </c>
      <c r="AT1527" s="1" t="s">
        <v>31</v>
      </c>
      <c r="AX1527" s="1">
        <v>0.0</v>
      </c>
      <c r="AY1527" s="1">
        <v>0.0</v>
      </c>
    </row>
    <row r="1528" spans="20:51" ht="15.75" hidden="1">
      <c r="T1528" s="1">
        <v>2.2056496E7</v>
      </c>
      <c r="U1528" s="1"/>
      <c r="V1528" s="1"/>
      <c r="W1528" s="1"/>
      <c r="X1528" s="1"/>
      <c r="Y1528" s="1" t="s">
        <v>6717</v>
      </c>
      <c r="Z1528" s="1" t="s">
        <v>1139</v>
      </c>
      <c r="AA1528" s="1" t="s">
        <v>1140</v>
      </c>
      <c r="AB1528" s="1"/>
      <c r="AC1528" s="1"/>
      <c r="AD1528" s="1"/>
      <c r="AE1528" s="1"/>
      <c r="AF1528" s="1" t="s">
        <v>6718</v>
      </c>
      <c r="AG1528" s="2" t="str">
        <f>"1590177673"</f>
        <v>1590177673</v>
      </c>
      <c r="AH1528" s="2" t="str">
        <f>"9781590177679"</f>
        <v>9781590177679</v>
      </c>
      <c r="AI1528" s="1">
        <v>0.0</v>
      </c>
      <c r="AJ1528" s="1">
        <v>3.92</v>
      </c>
      <c r="AK1528" s="1" t="s">
        <v>77</v>
      </c>
      <c r="AL1528" s="1" t="s">
        <v>28</v>
      </c>
      <c r="AM1528" s="1">
        <v>354.0</v>
      </c>
      <c r="AN1528" s="1">
        <v>2015.0</v>
      </c>
      <c r="AO1528" s="1">
        <v>1988.0</v>
      </c>
      <c r="AQ1528" s="3">
        <v>45078.0</v>
      </c>
      <c r="AR1528" s="1" t="s">
        <v>31</v>
      </c>
      <c r="AS1528" s="1" t="s">
        <v>6719</v>
      </c>
      <c r="AT1528" s="1" t="s">
        <v>31</v>
      </c>
      <c r="AX1528" s="1">
        <v>0.0</v>
      </c>
      <c r="AY1528" s="1">
        <v>0.0</v>
      </c>
    </row>
    <row r="1529" spans="20:51" ht="15.75" hidden="1">
      <c r="T1529" s="1">
        <v>6135735.0</v>
      </c>
      <c r="U1529" s="1"/>
      <c r="V1529" s="1"/>
      <c r="W1529" s="1"/>
      <c r="X1529" s="1"/>
      <c r="Y1529" s="1" t="s">
        <v>6720</v>
      </c>
      <c r="Z1529" s="1" t="s">
        <v>6721</v>
      </c>
      <c r="AA1529" s="1" t="s">
        <v>6722</v>
      </c>
      <c r="AB1529" s="1"/>
      <c r="AC1529" s="1"/>
      <c r="AD1529" s="1"/>
      <c r="AE1529" s="1"/>
      <c r="AG1529" s="2" t="str">
        <f>"9879334965"</f>
        <v>9879334965</v>
      </c>
      <c r="AH1529" s="2" t="str">
        <f>"9789879334966"</f>
        <v>9789879334966</v>
      </c>
      <c r="AI1529" s="1">
        <v>0.0</v>
      </c>
      <c r="AJ1529" s="1">
        <v>3.85</v>
      </c>
      <c r="AK1529" s="1" t="s">
        <v>6723</v>
      </c>
      <c r="AL1529" s="1" t="s">
        <v>28</v>
      </c>
      <c r="AM1529" s="1">
        <v>140.0</v>
      </c>
      <c r="AN1529" s="1">
        <v>2003.0</v>
      </c>
      <c r="AO1529" s="1">
        <v>2000.0</v>
      </c>
      <c r="AQ1529" s="3">
        <v>44869.0</v>
      </c>
      <c r="AR1529" s="1" t="s">
        <v>31</v>
      </c>
      <c r="AS1529" s="1" t="s">
        <v>6724</v>
      </c>
      <c r="AT1529" s="1" t="s">
        <v>31</v>
      </c>
      <c r="AX1529" s="1">
        <v>0.0</v>
      </c>
      <c r="AY1529" s="1">
        <v>0.0</v>
      </c>
    </row>
    <row r="1530" spans="20:51" ht="15.75" hidden="1">
      <c r="T1530" s="1">
        <v>2.3848148E7</v>
      </c>
      <c r="U1530" s="1"/>
      <c r="V1530" s="1"/>
      <c r="W1530" s="1"/>
      <c r="X1530" s="1"/>
      <c r="Y1530" s="1" t="s">
        <v>6725</v>
      </c>
      <c r="Z1530" s="1" t="s">
        <v>6726</v>
      </c>
      <c r="AA1530" s="1" t="s">
        <v>6727</v>
      </c>
      <c r="AB1530" s="1"/>
      <c r="AC1530" s="1"/>
      <c r="AD1530" s="1"/>
      <c r="AE1530" s="1"/>
      <c r="AF1530" s="1" t="s">
        <v>6728</v>
      </c>
      <c r="AG1530" s="2" t="str">
        <f>"0374248281"</f>
        <v>0374248281</v>
      </c>
      <c r="AH1530" s="2" t="str">
        <f>"9780374248284"</f>
        <v>9780374248284</v>
      </c>
      <c r="AI1530" s="1">
        <v>3.0</v>
      </c>
      <c r="AJ1530" s="1">
        <v>4.0</v>
      </c>
      <c r="AK1530" s="1" t="s">
        <v>89</v>
      </c>
      <c r="AL1530" s="1" t="s">
        <v>41</v>
      </c>
      <c r="AM1530" s="1">
        <v>64.0</v>
      </c>
      <c r="AN1530" s="1">
        <v>2015.0</v>
      </c>
      <c r="AO1530" s="1">
        <v>2015.0</v>
      </c>
      <c r="AP1530" s="3">
        <v>44172.0</v>
      </c>
      <c r="AQ1530" s="3">
        <v>44171.0</v>
      </c>
      <c r="AT1530" s="1" t="s">
        <v>127</v>
      </c>
      <c r="AX1530" s="1">
        <v>2.0</v>
      </c>
      <c r="AY1530" s="1">
        <v>0.0</v>
      </c>
    </row>
    <row r="1531" spans="20:51" ht="15.75" hidden="1">
      <c r="T1531" s="1">
        <v>1.0473365E7</v>
      </c>
      <c r="U1531" s="1"/>
      <c r="V1531" s="1"/>
      <c r="W1531" s="1"/>
      <c r="X1531" s="1"/>
      <c r="Y1531" s="1" t="s">
        <v>6729</v>
      </c>
      <c r="Z1531" s="1" t="s">
        <v>6730</v>
      </c>
      <c r="AA1531" s="1" t="s">
        <v>6731</v>
      </c>
      <c r="AB1531" s="1"/>
      <c r="AC1531" s="1"/>
      <c r="AD1531" s="1"/>
      <c r="AE1531" s="1"/>
      <c r="AG1531" s="2" t="str">
        <f>"1608195198"</f>
        <v>1608195198</v>
      </c>
      <c r="AH1531" s="2" t="str">
        <f>"9781608195190"</f>
        <v>9781608195190</v>
      </c>
      <c r="AI1531" s="1">
        <v>0.0</v>
      </c>
      <c r="AJ1531" s="1">
        <v>3.51</v>
      </c>
      <c r="AK1531" s="1" t="s">
        <v>851</v>
      </c>
      <c r="AL1531" s="1" t="s">
        <v>41</v>
      </c>
      <c r="AM1531" s="1">
        <v>256.0</v>
      </c>
      <c r="AN1531" s="1">
        <v>2011.0</v>
      </c>
      <c r="AO1531" s="1">
        <v>2011.0</v>
      </c>
      <c r="AQ1531" s="3">
        <v>44242.0</v>
      </c>
      <c r="AR1531" s="1" t="s">
        <v>6732</v>
      </c>
      <c r="AS1531" s="1" t="s">
        <v>6733</v>
      </c>
      <c r="AT1531" s="1" t="s">
        <v>31</v>
      </c>
      <c r="AX1531" s="1">
        <v>0.0</v>
      </c>
      <c r="AY1531" s="1">
        <v>0.0</v>
      </c>
    </row>
    <row r="1532" spans="20:51" ht="15.75" hidden="1">
      <c r="T1532" s="1">
        <v>5.6760369E7</v>
      </c>
      <c r="U1532" s="1"/>
      <c r="V1532" s="1"/>
      <c r="W1532" s="1"/>
      <c r="X1532" s="1"/>
      <c r="Y1532" s="1" t="s">
        <v>6734</v>
      </c>
      <c r="Z1532" s="1" t="s">
        <v>638</v>
      </c>
      <c r="AA1532" s="1" t="s">
        <v>639</v>
      </c>
      <c r="AB1532" s="1"/>
      <c r="AC1532" s="1"/>
      <c r="AD1532" s="1"/>
      <c r="AE1532" s="1"/>
      <c r="AG1532" s="2" t="str">
        <f>"0811231232"</f>
        <v>0811231232</v>
      </c>
      <c r="AH1532" s="2" t="str">
        <f>"9780811231237"</f>
        <v>9780811231237</v>
      </c>
      <c r="AI1532" s="1">
        <v>0.0</v>
      </c>
      <c r="AJ1532" s="1">
        <v>4.42</v>
      </c>
      <c r="AK1532" s="1" t="s">
        <v>95</v>
      </c>
      <c r="AL1532" s="1" t="s">
        <v>41</v>
      </c>
      <c r="AM1532" s="1">
        <v>112.0</v>
      </c>
      <c r="AN1532" s="1">
        <v>2021.0</v>
      </c>
      <c r="AO1532" s="1">
        <v>2021.0</v>
      </c>
      <c r="AQ1532" s="3">
        <v>45078.0</v>
      </c>
      <c r="AR1532" s="1" t="s">
        <v>31</v>
      </c>
      <c r="AS1532" s="1" t="s">
        <v>6735</v>
      </c>
      <c r="AT1532" s="1" t="s">
        <v>31</v>
      </c>
      <c r="AX1532" s="1">
        <v>0.0</v>
      </c>
      <c r="AY1532" s="1">
        <v>0.0</v>
      </c>
    </row>
    <row r="1533" spans="20:51" ht="15.75" hidden="1">
      <c r="T1533" s="1">
        <v>195725.0</v>
      </c>
      <c r="U1533" s="1"/>
      <c r="V1533" s="1"/>
      <c r="W1533" s="1"/>
      <c r="X1533" s="1"/>
      <c r="Y1533" s="1" t="s">
        <v>6736</v>
      </c>
      <c r="Z1533" s="1" t="s">
        <v>638</v>
      </c>
      <c r="AA1533" s="1" t="s">
        <v>639</v>
      </c>
      <c r="AB1533" s="1"/>
      <c r="AC1533" s="1"/>
      <c r="AD1533" s="1"/>
      <c r="AE1533" s="1"/>
      <c r="AG1533" s="2" t="str">
        <f>"0375707565"</f>
        <v>0375707565</v>
      </c>
      <c r="AH1533" s="2" t="str">
        <f>"9780375707568"</f>
        <v>9780375707568</v>
      </c>
      <c r="AI1533" s="1">
        <v>0.0</v>
      </c>
      <c r="AJ1533" s="1">
        <v>4.08</v>
      </c>
      <c r="AK1533" s="1" t="s">
        <v>83</v>
      </c>
      <c r="AL1533" s="1" t="s">
        <v>28</v>
      </c>
      <c r="AM1533" s="1">
        <v>176.0</v>
      </c>
      <c r="AN1533" s="1">
        <v>2001.0</v>
      </c>
      <c r="AO1533" s="1">
        <v>2000.0</v>
      </c>
      <c r="AQ1533" s="3">
        <v>43922.0</v>
      </c>
      <c r="AR1533" s="1" t="s">
        <v>31</v>
      </c>
      <c r="AS1533" s="1" t="s">
        <v>6737</v>
      </c>
      <c r="AT1533" s="1" t="s">
        <v>31</v>
      </c>
      <c r="AX1533" s="1">
        <v>0.0</v>
      </c>
      <c r="AY1533" s="1">
        <v>0.0</v>
      </c>
    </row>
    <row r="1534" spans="20:51" ht="15.75" hidden="1">
      <c r="T1534" s="1">
        <v>1.5797355E7</v>
      </c>
      <c r="U1534" s="1"/>
      <c r="V1534" s="1"/>
      <c r="W1534" s="1"/>
      <c r="X1534" s="1"/>
      <c r="Y1534" s="1" t="s">
        <v>6738</v>
      </c>
      <c r="Z1534" s="1" t="s">
        <v>638</v>
      </c>
      <c r="AA1534" s="1" t="s">
        <v>639</v>
      </c>
      <c r="AB1534" s="1"/>
      <c r="AC1534" s="1"/>
      <c r="AD1534" s="1"/>
      <c r="AE1534" s="1"/>
      <c r="AG1534" s="2" t="str">
        <f>"0307960587"</f>
        <v>0307960587</v>
      </c>
      <c r="AH1534" s="2" t="str">
        <f>"9780307960580"</f>
        <v>9780307960580</v>
      </c>
      <c r="AI1534" s="1">
        <v>0.0</v>
      </c>
      <c r="AJ1534" s="1">
        <v>4.1</v>
      </c>
      <c r="AK1534" s="1" t="s">
        <v>1736</v>
      </c>
      <c r="AL1534" s="1" t="s">
        <v>41</v>
      </c>
      <c r="AM1534" s="1">
        <v>171.0</v>
      </c>
      <c r="AN1534" s="1">
        <v>2013.0</v>
      </c>
      <c r="AO1534" s="1">
        <v>2013.0</v>
      </c>
      <c r="AQ1534" s="4">
        <v>44152.0</v>
      </c>
      <c r="AR1534" s="1" t="s">
        <v>31</v>
      </c>
      <c r="AS1534" s="1" t="s">
        <v>6739</v>
      </c>
      <c r="AT1534" s="1" t="s">
        <v>31</v>
      </c>
      <c r="AX1534" s="1">
        <v>0.0</v>
      </c>
      <c r="AY1534" s="1">
        <v>0.0</v>
      </c>
    </row>
    <row r="1535" spans="20:51" ht="15.75" hidden="1">
      <c r="T1535" s="1">
        <v>7694071.0</v>
      </c>
      <c r="U1535" s="1"/>
      <c r="V1535" s="1"/>
      <c r="W1535" s="1"/>
      <c r="X1535" s="1"/>
      <c r="Y1535" s="1" t="s">
        <v>6740</v>
      </c>
      <c r="Z1535" s="1" t="s">
        <v>1256</v>
      </c>
      <c r="AA1535" s="1" t="s">
        <v>1257</v>
      </c>
      <c r="AB1535" s="1"/>
      <c r="AC1535" s="1"/>
      <c r="AD1535" s="1"/>
      <c r="AE1535" s="1"/>
      <c r="AF1535" s="1" t="s">
        <v>6741</v>
      </c>
      <c r="AG1535" s="2" t="str">
        <f>"0143105736"</f>
        <v>0143105736</v>
      </c>
      <c r="AH1535" s="2" t="str">
        <f>"9780143105732"</f>
        <v>9780143105732</v>
      </c>
      <c r="AI1535" s="1">
        <v>0.0</v>
      </c>
      <c r="AJ1535" s="1">
        <v>3.72</v>
      </c>
      <c r="AK1535" s="1" t="s">
        <v>232</v>
      </c>
      <c r="AL1535" s="1" t="s">
        <v>28</v>
      </c>
      <c r="AM1535" s="1">
        <v>192.0</v>
      </c>
      <c r="AN1535" s="1">
        <v>2010.0</v>
      </c>
      <c r="AO1535" s="1">
        <v>2010.0</v>
      </c>
      <c r="AQ1535" s="3">
        <v>42162.0</v>
      </c>
      <c r="AR1535" s="1" t="s">
        <v>31</v>
      </c>
      <c r="AS1535" s="1" t="s">
        <v>6742</v>
      </c>
      <c r="AT1535" s="1" t="s">
        <v>31</v>
      </c>
      <c r="AX1535" s="1">
        <v>0.0</v>
      </c>
      <c r="AY1535" s="1">
        <v>0.0</v>
      </c>
    </row>
    <row r="1536" spans="20:51" ht="15.75" hidden="1">
      <c r="T1536" s="1">
        <v>4.9079377E7</v>
      </c>
      <c r="U1536" s="1"/>
      <c r="V1536" s="1"/>
      <c r="W1536" s="1"/>
      <c r="X1536" s="1"/>
      <c r="Y1536" s="1" t="s">
        <v>6743</v>
      </c>
      <c r="Z1536" s="1" t="s">
        <v>1209</v>
      </c>
      <c r="AA1536" s="1" t="s">
        <v>1210</v>
      </c>
      <c r="AB1536" s="1"/>
      <c r="AC1536" s="1"/>
      <c r="AD1536" s="1"/>
      <c r="AE1536" s="1"/>
      <c r="AG1536" s="2" t="str">
        <f>"9569667362"</f>
        <v>9569667362</v>
      </c>
      <c r="AH1536" s="2" t="str">
        <f>"9789569667367"</f>
        <v>9789569667367</v>
      </c>
      <c r="AI1536" s="1">
        <v>0.0</v>
      </c>
      <c r="AJ1536" s="1">
        <v>4.13</v>
      </c>
      <c r="AK1536" s="1" t="s">
        <v>6744</v>
      </c>
      <c r="AL1536" s="1" t="s">
        <v>28</v>
      </c>
      <c r="AM1536" s="1">
        <v>86.0</v>
      </c>
      <c r="AN1536" s="1">
        <v>2019.0</v>
      </c>
      <c r="AQ1536" s="3">
        <v>44284.0</v>
      </c>
      <c r="AR1536" s="1" t="s">
        <v>31</v>
      </c>
      <c r="AS1536" s="1" t="s">
        <v>6745</v>
      </c>
      <c r="AT1536" s="1" t="s">
        <v>31</v>
      </c>
      <c r="AX1536" s="1">
        <v>0.0</v>
      </c>
      <c r="AY1536" s="1">
        <v>0.0</v>
      </c>
    </row>
    <row r="1537" spans="20:51" ht="15.75" hidden="1">
      <c r="T1537" s="1">
        <v>53411.0</v>
      </c>
      <c r="U1537" s="1"/>
      <c r="V1537" s="1"/>
      <c r="W1537" s="1"/>
      <c r="X1537" s="1"/>
      <c r="Y1537" s="1" t="s">
        <v>6746</v>
      </c>
      <c r="Z1537" s="1" t="s">
        <v>3440</v>
      </c>
      <c r="AA1537" s="1" t="s">
        <v>3441</v>
      </c>
      <c r="AB1537" s="1"/>
      <c r="AC1537" s="1"/>
      <c r="AD1537" s="1"/>
      <c r="AE1537" s="1"/>
      <c r="AF1537" s="1" t="s">
        <v>1897</v>
      </c>
      <c r="AG1537" s="2" t="str">
        <f>"9681903110"</f>
        <v>9681903110</v>
      </c>
      <c r="AH1537" s="2" t="str">
        <f>"9789681903114"</f>
        <v>9789681903114</v>
      </c>
      <c r="AI1537" s="1">
        <v>0.0</v>
      </c>
      <c r="AJ1537" s="1">
        <v>4.6</v>
      </c>
      <c r="AK1537" s="1" t="s">
        <v>6747</v>
      </c>
      <c r="AL1537" s="1" t="s">
        <v>28</v>
      </c>
      <c r="AM1537" s="1">
        <v>606.0</v>
      </c>
      <c r="AN1537" s="1">
        <v>2002.0</v>
      </c>
      <c r="AO1537" s="1">
        <v>1996.0</v>
      </c>
      <c r="AQ1537" s="3">
        <v>44814.0</v>
      </c>
      <c r="AR1537" s="1" t="s">
        <v>31</v>
      </c>
      <c r="AS1537" s="1" t="s">
        <v>6748</v>
      </c>
      <c r="AT1537" s="1" t="s">
        <v>31</v>
      </c>
      <c r="AX1537" s="1">
        <v>0.0</v>
      </c>
      <c r="AY1537" s="1">
        <v>0.0</v>
      </c>
    </row>
    <row r="1538" spans="20:51" ht="15.75" hidden="1">
      <c r="T1538" s="1">
        <v>1.7707709E7</v>
      </c>
      <c r="U1538" s="1"/>
      <c r="V1538" s="1"/>
      <c r="W1538" s="1"/>
      <c r="X1538" s="1"/>
      <c r="Y1538" s="1" t="s">
        <v>6749</v>
      </c>
      <c r="Z1538" s="1" t="s">
        <v>6750</v>
      </c>
      <c r="AA1538" s="1" t="s">
        <v>6751</v>
      </c>
      <c r="AB1538" s="1"/>
      <c r="AC1538" s="1"/>
      <c r="AD1538" s="1"/>
      <c r="AE1538" s="1"/>
      <c r="AG1538" s="2" t="str">
        <f>"1594631719"</f>
        <v>1594631719</v>
      </c>
      <c r="AH1538" s="2" t="str">
        <f>"9781594631719"</f>
        <v>9781594631719</v>
      </c>
      <c r="AI1538" s="1">
        <v>0.0</v>
      </c>
      <c r="AJ1538" s="1">
        <v>3.61</v>
      </c>
      <c r="AK1538" s="1" t="s">
        <v>387</v>
      </c>
      <c r="AL1538" s="1" t="s">
        <v>41</v>
      </c>
      <c r="AM1538" s="1">
        <v>384.0</v>
      </c>
      <c r="AN1538" s="1">
        <v>2013.0</v>
      </c>
      <c r="AO1538" s="1">
        <v>2013.0</v>
      </c>
      <c r="AQ1538" s="3">
        <v>42372.0</v>
      </c>
      <c r="AR1538" s="1" t="s">
        <v>31</v>
      </c>
      <c r="AS1538" s="1" t="s">
        <v>6752</v>
      </c>
      <c r="AT1538" s="1" t="s">
        <v>31</v>
      </c>
      <c r="AX1538" s="1">
        <v>0.0</v>
      </c>
      <c r="AY1538" s="1">
        <v>0.0</v>
      </c>
    </row>
    <row r="1539" spans="20:51" ht="15.75" hidden="1">
      <c r="T1539" s="1">
        <v>1207644.0</v>
      </c>
      <c r="U1539" s="1"/>
      <c r="V1539" s="1"/>
      <c r="W1539" s="1"/>
      <c r="X1539" s="1"/>
      <c r="Y1539" s="1" t="s">
        <v>6753</v>
      </c>
      <c r="Z1539" s="1" t="s">
        <v>6754</v>
      </c>
      <c r="AA1539" s="1" t="s">
        <v>6755</v>
      </c>
      <c r="AB1539" s="1"/>
      <c r="AC1539" s="1"/>
      <c r="AD1539" s="1"/>
      <c r="AE1539" s="1"/>
      <c r="AG1539" s="2" t="str">
        <f>"950515352X"</f>
        <v>950515352X</v>
      </c>
      <c r="AH1539" s="2" t="str">
        <f>"9789505153527"</f>
        <v>9789505153527</v>
      </c>
      <c r="AI1539" s="1">
        <v>0.0</v>
      </c>
      <c r="AJ1539" s="1">
        <v>4.22</v>
      </c>
      <c r="AK1539" s="1" t="s">
        <v>6756</v>
      </c>
      <c r="AL1539" s="1" t="s">
        <v>28</v>
      </c>
      <c r="AM1539" s="1">
        <v>213.0</v>
      </c>
      <c r="AN1539" s="1">
        <v>1972.0</v>
      </c>
      <c r="AO1539" s="1">
        <v>1957.0</v>
      </c>
      <c r="AQ1539" s="4">
        <v>44132.0</v>
      </c>
      <c r="AR1539" s="1" t="s">
        <v>31</v>
      </c>
      <c r="AS1539" s="1" t="s">
        <v>6757</v>
      </c>
      <c r="AT1539" s="1" t="s">
        <v>31</v>
      </c>
      <c r="AX1539" s="1">
        <v>0.0</v>
      </c>
      <c r="AY1539" s="1">
        <v>0.0</v>
      </c>
    </row>
    <row r="1540" spans="20:51" ht="15.75" hidden="1">
      <c r="T1540" s="1">
        <v>18840.0</v>
      </c>
      <c r="U1540" s="1"/>
      <c r="V1540" s="1"/>
      <c r="W1540" s="1"/>
      <c r="X1540" s="1"/>
      <c r="Y1540" s="1" t="s">
        <v>6758</v>
      </c>
      <c r="Z1540" s="1" t="s">
        <v>4157</v>
      </c>
      <c r="AA1540" s="1" t="s">
        <v>4158</v>
      </c>
      <c r="AB1540" s="1"/>
      <c r="AC1540" s="1"/>
      <c r="AD1540" s="1"/>
      <c r="AE1540" s="1"/>
      <c r="AG1540" s="2" t="str">
        <f>"015602778X"</f>
        <v>015602778X</v>
      </c>
      <c r="AH1540" s="2" t="str">
        <f>"9780156027786"</f>
        <v>9780156027786</v>
      </c>
      <c r="AI1540" s="1">
        <v>0.0</v>
      </c>
      <c r="AJ1540" s="1">
        <v>4.13</v>
      </c>
      <c r="AK1540" s="1" t="s">
        <v>403</v>
      </c>
      <c r="AL1540" s="1" t="s">
        <v>28</v>
      </c>
      <c r="AM1540" s="1">
        <v>272.0</v>
      </c>
      <c r="AN1540" s="1">
        <v>2002.0</v>
      </c>
      <c r="AO1540" s="1">
        <v>1925.0</v>
      </c>
      <c r="AQ1540" s="3">
        <v>43919.0</v>
      </c>
      <c r="AR1540" s="1" t="s">
        <v>31</v>
      </c>
      <c r="AS1540" s="1" t="s">
        <v>6759</v>
      </c>
      <c r="AT1540" s="1" t="s">
        <v>31</v>
      </c>
      <c r="AX1540" s="1">
        <v>0.0</v>
      </c>
      <c r="AY1540" s="1">
        <v>0.0</v>
      </c>
    </row>
    <row r="1541" spans="20:51" ht="15.75" hidden="1">
      <c r="T1541" s="1">
        <v>6301511.0</v>
      </c>
      <c r="U1541" s="1"/>
      <c r="V1541" s="1"/>
      <c r="W1541" s="1"/>
      <c r="X1541" s="1"/>
      <c r="Y1541" s="1" t="s">
        <v>6760</v>
      </c>
      <c r="Z1541" s="1" t="s">
        <v>6761</v>
      </c>
      <c r="AA1541" s="1" t="s">
        <v>6762</v>
      </c>
      <c r="AB1541" s="1"/>
      <c r="AC1541" s="1"/>
      <c r="AD1541" s="1"/>
      <c r="AE1541" s="1"/>
      <c r="AG1541" s="2" t="str">
        <f>"8478441182"</f>
        <v>8478441182</v>
      </c>
      <c r="AH1541" s="2" t="str">
        <f>"9788478441181"</f>
        <v>9788478441181</v>
      </c>
      <c r="AI1541" s="1">
        <v>0.0</v>
      </c>
      <c r="AJ1541" s="1">
        <v>3.89</v>
      </c>
      <c r="AK1541" s="1" t="s">
        <v>6763</v>
      </c>
      <c r="AL1541" s="1" t="s">
        <v>28</v>
      </c>
      <c r="AM1541" s="1">
        <v>153.0</v>
      </c>
      <c r="AN1541" s="1">
        <v>1992.0</v>
      </c>
      <c r="AO1541" s="1">
        <v>1992.0</v>
      </c>
      <c r="AQ1541" s="3">
        <v>43976.0</v>
      </c>
      <c r="AR1541" s="1" t="s">
        <v>31</v>
      </c>
      <c r="AS1541" s="1" t="s">
        <v>6764</v>
      </c>
      <c r="AT1541" s="1" t="s">
        <v>31</v>
      </c>
      <c r="AX1541" s="1">
        <v>0.0</v>
      </c>
      <c r="AY1541" s="1">
        <v>0.0</v>
      </c>
    </row>
    <row r="1542" spans="20:51" ht="15.75" hidden="1">
      <c r="T1542" s="1">
        <v>1254348.0</v>
      </c>
      <c r="U1542" s="1"/>
      <c r="V1542" s="1"/>
      <c r="W1542" s="1"/>
      <c r="X1542" s="1"/>
      <c r="Y1542" s="1" t="s">
        <v>6765</v>
      </c>
      <c r="Z1542" s="1" t="s">
        <v>6761</v>
      </c>
      <c r="AA1542" s="1" t="s">
        <v>6762</v>
      </c>
      <c r="AB1542" s="1"/>
      <c r="AC1542" s="1"/>
      <c r="AD1542" s="1"/>
      <c r="AE1542" s="1"/>
      <c r="AF1542" s="1" t="s">
        <v>6766</v>
      </c>
      <c r="AG1542" s="2" t="str">
        <f>"9681611241"</f>
        <v>9681611241</v>
      </c>
      <c r="AH1542" s="2" t="str">
        <f>"9789681611248"</f>
        <v>9789681611248</v>
      </c>
      <c r="AI1542" s="1">
        <v>0.0</v>
      </c>
      <c r="AJ1542" s="1">
        <v>4.18</v>
      </c>
      <c r="AK1542" s="1" t="s">
        <v>5487</v>
      </c>
      <c r="AL1542" s="1" t="s">
        <v>28</v>
      </c>
      <c r="AM1542" s="1">
        <v>412.0</v>
      </c>
      <c r="AN1542" s="1">
        <v>2013.0</v>
      </c>
      <c r="AO1542" s="1">
        <v>1992.0</v>
      </c>
      <c r="AQ1542" s="3">
        <v>43976.0</v>
      </c>
      <c r="AR1542" s="1" t="s">
        <v>31</v>
      </c>
      <c r="AS1542" s="1" t="s">
        <v>6767</v>
      </c>
      <c r="AT1542" s="1" t="s">
        <v>31</v>
      </c>
      <c r="AX1542" s="1">
        <v>0.0</v>
      </c>
      <c r="AY1542" s="1">
        <v>0.0</v>
      </c>
    </row>
    <row r="1543" spans="20:51" ht="15.75" hidden="1">
      <c r="T1543" s="1">
        <v>3.0970019E7</v>
      </c>
      <c r="U1543" s="1"/>
      <c r="V1543" s="1"/>
      <c r="W1543" s="1"/>
      <c r="X1543" s="1"/>
      <c r="Y1543" s="1" t="s">
        <v>6768</v>
      </c>
      <c r="Z1543" s="1" t="s">
        <v>6769</v>
      </c>
      <c r="AA1543" s="1" t="s">
        <v>6770</v>
      </c>
      <c r="AB1543" s="1"/>
      <c r="AC1543" s="1"/>
      <c r="AD1543" s="1"/>
      <c r="AE1543" s="1"/>
      <c r="AG1543" s="2" t="str">
        <f>"8439731299"</f>
        <v>8439731299</v>
      </c>
      <c r="AH1543" s="2" t="str">
        <f>"9788439731290"</f>
        <v>9788439731290</v>
      </c>
      <c r="AI1543" s="1">
        <v>0.0</v>
      </c>
      <c r="AJ1543" s="1">
        <v>4.05</v>
      </c>
      <c r="AK1543" s="1" t="s">
        <v>6771</v>
      </c>
      <c r="AL1543" s="1" t="s">
        <v>28</v>
      </c>
      <c r="AM1543" s="1">
        <v>196.0</v>
      </c>
      <c r="AN1543" s="1">
        <v>2016.0</v>
      </c>
      <c r="AO1543" s="1">
        <v>1999.0</v>
      </c>
      <c r="AQ1543" s="3">
        <v>44109.0</v>
      </c>
      <c r="AR1543" s="1" t="s">
        <v>31</v>
      </c>
      <c r="AS1543" s="1" t="s">
        <v>6772</v>
      </c>
      <c r="AT1543" s="1" t="s">
        <v>31</v>
      </c>
      <c r="AX1543" s="1">
        <v>0.0</v>
      </c>
      <c r="AY1543" s="1">
        <v>0.0</v>
      </c>
    </row>
    <row r="1544" spans="20:51" ht="15.75" hidden="1">
      <c r="T1544" s="1">
        <v>6713015.0</v>
      </c>
      <c r="U1544" s="1"/>
      <c r="V1544" s="1"/>
      <c r="W1544" s="1"/>
      <c r="X1544" s="1"/>
      <c r="Y1544" s="1" t="s">
        <v>6773</v>
      </c>
      <c r="Z1544" s="1" t="s">
        <v>6774</v>
      </c>
      <c r="AA1544" s="1" t="s">
        <v>6775</v>
      </c>
      <c r="AB1544" s="1"/>
      <c r="AC1544" s="1"/>
      <c r="AD1544" s="1"/>
      <c r="AE1544" s="1"/>
      <c r="AF1544" s="1" t="s">
        <v>6776</v>
      </c>
      <c r="AG1544" s="2" t="str">
        <f>"0312425244"</f>
        <v>0312425244</v>
      </c>
      <c r="AH1544" s="2" t="str">
        <f>"9780312425241"</f>
        <v>9780312425241</v>
      </c>
      <c r="AI1544" s="1">
        <v>0.0</v>
      </c>
      <c r="AJ1544" s="1">
        <v>3.32</v>
      </c>
      <c r="AK1544" s="1" t="s">
        <v>945</v>
      </c>
      <c r="AL1544" s="1" t="s">
        <v>28</v>
      </c>
      <c r="AM1544" s="1">
        <v>164.0</v>
      </c>
      <c r="AN1544" s="1">
        <v>2010.0</v>
      </c>
      <c r="AO1544" s="1">
        <v>1996.0</v>
      </c>
      <c r="AQ1544" s="3">
        <v>44340.0</v>
      </c>
      <c r="AR1544" s="1" t="s">
        <v>31</v>
      </c>
      <c r="AS1544" s="1" t="s">
        <v>6777</v>
      </c>
      <c r="AT1544" s="1" t="s">
        <v>31</v>
      </c>
      <c r="AX1544" s="1">
        <v>0.0</v>
      </c>
      <c r="AY1544" s="1">
        <v>0.0</v>
      </c>
    </row>
    <row r="1545" spans="20:51" ht="15.75" hidden="1">
      <c r="T1545" s="1">
        <v>222046.0</v>
      </c>
      <c r="U1545" s="1"/>
      <c r="V1545" s="1"/>
      <c r="W1545" s="1"/>
      <c r="X1545" s="1"/>
      <c r="Y1545" s="1" t="s">
        <v>6778</v>
      </c>
      <c r="Z1545" s="1" t="s">
        <v>6779</v>
      </c>
      <c r="AA1545" s="1" t="s">
        <v>6780</v>
      </c>
      <c r="AB1545" s="1"/>
      <c r="AC1545" s="1"/>
      <c r="AD1545" s="1"/>
      <c r="AE1545" s="1"/>
      <c r="AG1545" s="2" t="str">
        <f>"0811200612"</f>
        <v>0811200612</v>
      </c>
      <c r="AH1545" s="2" t="str">
        <f>"9780811200615"</f>
        <v>9780811200615</v>
      </c>
      <c r="AI1545" s="1">
        <v>0.0</v>
      </c>
      <c r="AJ1545" s="1">
        <v>3.65</v>
      </c>
      <c r="AK1545" s="1" t="s">
        <v>95</v>
      </c>
      <c r="AL1545" s="1" t="s">
        <v>28</v>
      </c>
      <c r="AM1545" s="1">
        <v>271.0</v>
      </c>
      <c r="AN1545" s="1">
        <v>1972.0</v>
      </c>
      <c r="AO1545" s="1">
        <v>1971.0</v>
      </c>
      <c r="AQ1545" s="3">
        <v>42029.0</v>
      </c>
      <c r="AR1545" s="1" t="s">
        <v>31</v>
      </c>
      <c r="AS1545" s="1" t="s">
        <v>6781</v>
      </c>
      <c r="AT1545" s="1" t="s">
        <v>31</v>
      </c>
      <c r="AX1545" s="1">
        <v>0.0</v>
      </c>
      <c r="AY1545" s="1">
        <v>0.0</v>
      </c>
    </row>
    <row r="1546" spans="20:51" ht="15.75" hidden="1">
      <c r="T1546" s="1">
        <v>48987.0</v>
      </c>
      <c r="U1546" s="1"/>
      <c r="V1546" s="1"/>
      <c r="W1546" s="1"/>
      <c r="X1546" s="1"/>
      <c r="Y1546" s="1" t="s">
        <v>6782</v>
      </c>
      <c r="Z1546" s="1" t="s">
        <v>6783</v>
      </c>
      <c r="AA1546" s="1" t="s">
        <v>6784</v>
      </c>
      <c r="AB1546" s="1"/>
      <c r="AC1546" s="1"/>
      <c r="AD1546" s="1"/>
      <c r="AE1546" s="1"/>
      <c r="AG1546" s="2" t="str">
        <f>"0679738045"</f>
        <v>0679738045</v>
      </c>
      <c r="AH1546" s="2" t="str">
        <f>"9780679738046"</f>
        <v>9780679738046</v>
      </c>
      <c r="AI1546" s="1">
        <v>0.0</v>
      </c>
      <c r="AJ1546" s="1">
        <v>3.56</v>
      </c>
      <c r="AK1546" s="1" t="s">
        <v>83</v>
      </c>
      <c r="AL1546" s="1" t="s">
        <v>28</v>
      </c>
      <c r="AM1546" s="1">
        <v>240.0</v>
      </c>
      <c r="AN1546" s="1">
        <v>1992.0</v>
      </c>
      <c r="AO1546" s="1">
        <v>1945.0</v>
      </c>
      <c r="AQ1546" s="3">
        <v>41049.0</v>
      </c>
      <c r="AR1546" s="1" t="s">
        <v>31</v>
      </c>
      <c r="AS1546" s="1" t="s">
        <v>6785</v>
      </c>
      <c r="AT1546" s="1" t="s">
        <v>31</v>
      </c>
      <c r="AX1546" s="1">
        <v>0.0</v>
      </c>
      <c r="AY1546" s="1">
        <v>0.0</v>
      </c>
    </row>
    <row r="1547" spans="20:51" ht="15.75" hidden="1">
      <c r="T1547" s="1">
        <v>436806.0</v>
      </c>
      <c r="U1547" s="1"/>
      <c r="V1547" s="1"/>
      <c r="W1547" s="1"/>
      <c r="X1547" s="1"/>
      <c r="Y1547" s="1" t="s">
        <v>6786</v>
      </c>
      <c r="Z1547" s="1" t="s">
        <v>6060</v>
      </c>
      <c r="AA1547" s="1" t="s">
        <v>6061</v>
      </c>
      <c r="AB1547" s="1"/>
      <c r="AC1547" s="1"/>
      <c r="AD1547" s="1"/>
      <c r="AE1547" s="1"/>
      <c r="AF1547" s="1" t="s">
        <v>6787</v>
      </c>
      <c r="AG1547" s="2" t="str">
        <f>"0872862097"</f>
        <v>0872862097</v>
      </c>
      <c r="AH1547" s="2" t="str">
        <f>"9780872862098"</f>
        <v>9780872862098</v>
      </c>
      <c r="AI1547" s="1">
        <v>0.0</v>
      </c>
      <c r="AJ1547" s="1">
        <v>3.66</v>
      </c>
      <c r="AK1547" s="1" t="s">
        <v>6788</v>
      </c>
      <c r="AL1547" s="1" t="s">
        <v>28</v>
      </c>
      <c r="AM1547" s="1">
        <v>103.0</v>
      </c>
      <c r="AN1547" s="1">
        <v>2001.0</v>
      </c>
      <c r="AO1547" s="1">
        <v>1928.0</v>
      </c>
      <c r="AQ1547" s="3">
        <v>41035.0</v>
      </c>
      <c r="AR1547" s="1" t="s">
        <v>31</v>
      </c>
      <c r="AS1547" s="1" t="s">
        <v>6789</v>
      </c>
      <c r="AT1547" s="1" t="s">
        <v>31</v>
      </c>
      <c r="AX1547" s="1">
        <v>0.0</v>
      </c>
      <c r="AY1547" s="1">
        <v>0.0</v>
      </c>
    </row>
    <row r="1548" spans="20:51" ht="15.75" hidden="1">
      <c r="T1548" s="1">
        <v>1.99768E7</v>
      </c>
      <c r="U1548" s="1"/>
      <c r="V1548" s="1"/>
      <c r="W1548" s="1"/>
      <c r="X1548" s="1"/>
      <c r="Y1548" s="1" t="s">
        <v>6790</v>
      </c>
      <c r="Z1548" s="1" t="s">
        <v>6791</v>
      </c>
      <c r="AA1548" s="1" t="s">
        <v>6792</v>
      </c>
      <c r="AB1548" s="1"/>
      <c r="AC1548" s="1"/>
      <c r="AD1548" s="1"/>
      <c r="AE1548" s="1"/>
      <c r="AG1548" s="2" t="str">
        <f>"4861522471"</f>
        <v>4861522471</v>
      </c>
      <c r="AH1548" s="2" t="str">
        <f>"9784861522475"</f>
        <v>9784861522475</v>
      </c>
      <c r="AI1548" s="1">
        <v>0.0</v>
      </c>
      <c r="AJ1548" s="1">
        <v>4.67</v>
      </c>
      <c r="AK1548" s="1" t="s">
        <v>6793</v>
      </c>
      <c r="AL1548" s="1" t="s">
        <v>28</v>
      </c>
      <c r="AM1548" s="1">
        <v>256.0</v>
      </c>
      <c r="AN1548" s="1">
        <v>2010.0</v>
      </c>
      <c r="AO1548" s="1">
        <v>2011.0</v>
      </c>
      <c r="AQ1548" s="3">
        <v>44444.0</v>
      </c>
      <c r="AR1548" s="1" t="s">
        <v>2539</v>
      </c>
      <c r="AS1548" s="1" t="s">
        <v>6794</v>
      </c>
      <c r="AT1548" s="1" t="s">
        <v>31</v>
      </c>
      <c r="AX1548" s="1">
        <v>0.0</v>
      </c>
      <c r="AY1548" s="1">
        <v>0.0</v>
      </c>
    </row>
    <row r="1549" spans="20:51" ht="15.75" hidden="1">
      <c r="T1549" s="1">
        <v>2.0587905E7</v>
      </c>
      <c r="U1549" s="1"/>
      <c r="V1549" s="1"/>
      <c r="W1549" s="1"/>
      <c r="X1549" s="1"/>
      <c r="Y1549" s="1" t="s">
        <v>6795</v>
      </c>
      <c r="Z1549" s="1" t="s">
        <v>6796</v>
      </c>
      <c r="AA1549" s="1" t="s">
        <v>6797</v>
      </c>
      <c r="AB1549" s="1"/>
      <c r="AC1549" s="1"/>
      <c r="AD1549" s="1"/>
      <c r="AE1549" s="1"/>
      <c r="AG1549" s="2" t="str">
        <f>"0385531206"</f>
        <v>0385531206</v>
      </c>
      <c r="AH1549" s="2" t="str">
        <f>"9780385531207"</f>
        <v>9780385531207</v>
      </c>
      <c r="AI1549" s="1">
        <v>0.0</v>
      </c>
      <c r="AJ1549" s="1">
        <v>3.45</v>
      </c>
      <c r="AK1549" s="1" t="s">
        <v>686</v>
      </c>
      <c r="AL1549" s="1" t="s">
        <v>41</v>
      </c>
      <c r="AM1549" s="1">
        <v>382.0</v>
      </c>
      <c r="AN1549" s="1">
        <v>2014.0</v>
      </c>
      <c r="AO1549" s="1">
        <v>2014.0</v>
      </c>
      <c r="AQ1549" s="3">
        <v>45082.0</v>
      </c>
      <c r="AR1549" s="1" t="s">
        <v>5998</v>
      </c>
      <c r="AS1549" s="1" t="s">
        <v>6798</v>
      </c>
      <c r="AT1549" s="1" t="s">
        <v>31</v>
      </c>
      <c r="AX1549" s="1">
        <v>0.0</v>
      </c>
      <c r="AY1549" s="1">
        <v>0.0</v>
      </c>
    </row>
    <row r="1550" spans="20:51" ht="15.75" hidden="1">
      <c r="T1550" s="1">
        <v>1398304.0</v>
      </c>
      <c r="U1550" s="1"/>
      <c r="V1550" s="1"/>
      <c r="W1550" s="1"/>
      <c r="X1550" s="1"/>
      <c r="Y1550" s="1" t="s">
        <v>6799</v>
      </c>
      <c r="Z1550" s="1" t="s">
        <v>6800</v>
      </c>
      <c r="AA1550" s="1" t="s">
        <v>6801</v>
      </c>
      <c r="AB1550" s="1"/>
      <c r="AC1550" s="1"/>
      <c r="AD1550" s="1"/>
      <c r="AE1550" s="1"/>
      <c r="AF1550" s="1" t="s">
        <v>6802</v>
      </c>
      <c r="AG1550" s="2" t="str">
        <f>"1840680563"</f>
        <v>1840680563</v>
      </c>
      <c r="AH1550" s="2" t="str">
        <f>"9781840680560"</f>
        <v>9781840680560</v>
      </c>
      <c r="AI1550" s="1">
        <v>0.0</v>
      </c>
      <c r="AJ1550" s="1">
        <v>3.64</v>
      </c>
      <c r="AK1550" s="1" t="s">
        <v>6803</v>
      </c>
      <c r="AL1550" s="1" t="s">
        <v>28</v>
      </c>
      <c r="AM1550" s="1">
        <v>102.0</v>
      </c>
      <c r="AN1550" s="1">
        <v>2000.0</v>
      </c>
      <c r="AO1550" s="1">
        <v>1962.0</v>
      </c>
      <c r="AQ1550" s="3">
        <v>45082.0</v>
      </c>
      <c r="AR1550" s="1" t="s">
        <v>5998</v>
      </c>
      <c r="AS1550" s="1" t="s">
        <v>6804</v>
      </c>
      <c r="AT1550" s="1" t="s">
        <v>31</v>
      </c>
      <c r="AX1550" s="1">
        <v>0.0</v>
      </c>
      <c r="AY1550" s="1">
        <v>0.0</v>
      </c>
    </row>
    <row r="1551" spans="20:51" ht="15.75" hidden="1">
      <c r="T1551" s="1">
        <v>529406.0</v>
      </c>
      <c r="U1551" s="1"/>
      <c r="V1551" s="1"/>
      <c r="W1551" s="1"/>
      <c r="X1551" s="1"/>
      <c r="Y1551" s="1" t="s">
        <v>6805</v>
      </c>
      <c r="Z1551" s="1" t="s">
        <v>6806</v>
      </c>
      <c r="AA1551" s="1" t="s">
        <v>6807</v>
      </c>
      <c r="AB1551" s="1"/>
      <c r="AC1551" s="1"/>
      <c r="AD1551" s="1"/>
      <c r="AE1551" s="1"/>
      <c r="AG1551" s="2" t="str">
        <f>"1559702141"</f>
        <v>1559702141</v>
      </c>
      <c r="AH1551" s="2" t="str">
        <f>"9781559702140"</f>
        <v>9781559702140</v>
      </c>
      <c r="AI1551" s="1">
        <v>0.0</v>
      </c>
      <c r="AJ1551" s="1">
        <v>4.0</v>
      </c>
      <c r="AK1551" s="1" t="s">
        <v>6808</v>
      </c>
      <c r="AL1551" s="1" t="s">
        <v>28</v>
      </c>
      <c r="AM1551" s="1">
        <v>592.0</v>
      </c>
      <c r="AN1551" s="1">
        <v>1993.0</v>
      </c>
      <c r="AO1551" s="1">
        <v>1990.0</v>
      </c>
      <c r="AQ1551" s="3">
        <v>44444.0</v>
      </c>
      <c r="AR1551" s="1" t="s">
        <v>6809</v>
      </c>
      <c r="AS1551" s="1" t="s">
        <v>6810</v>
      </c>
      <c r="AT1551" s="1" t="s">
        <v>31</v>
      </c>
      <c r="AX1551" s="1">
        <v>0.0</v>
      </c>
      <c r="AY1551" s="1">
        <v>0.0</v>
      </c>
    </row>
    <row r="1552" spans="20:51" ht="15.75" hidden="1">
      <c r="T1552" s="1">
        <v>53447.0</v>
      </c>
      <c r="U1552" s="1"/>
      <c r="V1552" s="1"/>
      <c r="W1552" s="1"/>
      <c r="X1552" s="1"/>
      <c r="Y1552" s="1" t="s">
        <v>6811</v>
      </c>
      <c r="Z1552" s="1" t="s">
        <v>6812</v>
      </c>
      <c r="AA1552" s="1" t="s">
        <v>6813</v>
      </c>
      <c r="AB1552" s="1"/>
      <c r="AC1552" s="1"/>
      <c r="AD1552" s="1"/>
      <c r="AE1552" s="1"/>
      <c r="AF1552" s="1" t="s">
        <v>6814</v>
      </c>
      <c r="AG1552" s="2" t="str">
        <f>"9871144261"</f>
        <v>9871144261</v>
      </c>
      <c r="AH1552" s="2" t="str">
        <f>"9789871144266"</f>
        <v>9789871144266</v>
      </c>
      <c r="AI1552" s="1">
        <v>0.0</v>
      </c>
      <c r="AJ1552" s="1">
        <v>4.03</v>
      </c>
      <c r="AK1552" s="1" t="s">
        <v>6815</v>
      </c>
      <c r="AL1552" s="1" t="s">
        <v>28</v>
      </c>
      <c r="AM1552" s="1">
        <v>158.0</v>
      </c>
      <c r="AN1552" s="1">
        <v>2003.0</v>
      </c>
      <c r="AO1552" s="1">
        <v>1948.0</v>
      </c>
      <c r="AQ1552" s="3">
        <v>42542.0</v>
      </c>
      <c r="AR1552" s="1" t="s">
        <v>31</v>
      </c>
      <c r="AS1552" s="1" t="s">
        <v>6816</v>
      </c>
      <c r="AT1552" s="1" t="s">
        <v>31</v>
      </c>
      <c r="AX1552" s="1">
        <v>0.0</v>
      </c>
      <c r="AY1552" s="1">
        <v>0.0</v>
      </c>
    </row>
    <row r="1553" spans="20:51" ht="15.75" hidden="1">
      <c r="T1553" s="1">
        <v>152058.0</v>
      </c>
      <c r="U1553" s="1"/>
      <c r="V1553" s="1"/>
      <c r="W1553" s="1"/>
      <c r="X1553" s="1"/>
      <c r="Y1553" s="1" t="s">
        <v>6817</v>
      </c>
      <c r="Z1553" s="1" t="s">
        <v>6818</v>
      </c>
      <c r="AA1553" s="1" t="s">
        <v>6819</v>
      </c>
      <c r="AB1553" s="1"/>
      <c r="AC1553" s="1"/>
      <c r="AD1553" s="1"/>
      <c r="AE1553" s="1"/>
      <c r="AG1553" s="2" t="str">
        <f>"0060520604"</f>
        <v>0060520604</v>
      </c>
      <c r="AH1553" s="2" t="str">
        <f>"9780060520601"</f>
        <v>9780060520601</v>
      </c>
      <c r="AI1553" s="1">
        <v>0.0</v>
      </c>
      <c r="AJ1553" s="1">
        <v>4.14</v>
      </c>
      <c r="AK1553" s="1" t="s">
        <v>474</v>
      </c>
      <c r="AL1553" s="1" t="s">
        <v>28</v>
      </c>
      <c r="AM1553" s="1">
        <v>464.0</v>
      </c>
      <c r="AN1553" s="1">
        <v>2006.0</v>
      </c>
      <c r="AO1553" s="1">
        <v>2005.0</v>
      </c>
      <c r="AQ1553" s="3">
        <v>44242.0</v>
      </c>
      <c r="AR1553" s="1" t="s">
        <v>1019</v>
      </c>
      <c r="AS1553" s="1" t="s">
        <v>6820</v>
      </c>
      <c r="AT1553" s="1" t="s">
        <v>31</v>
      </c>
      <c r="AX1553" s="1">
        <v>0.0</v>
      </c>
      <c r="AY1553" s="1">
        <v>0.0</v>
      </c>
    </row>
    <row r="1554" spans="20:51" ht="15.75" hidden="1">
      <c r="T1554" s="1">
        <v>49256.0</v>
      </c>
      <c r="U1554" s="1"/>
      <c r="V1554" s="1"/>
      <c r="W1554" s="1"/>
      <c r="X1554" s="1"/>
      <c r="Y1554" s="1" t="s">
        <v>6821</v>
      </c>
      <c r="Z1554" s="1" t="s">
        <v>6822</v>
      </c>
      <c r="AA1554" s="1" t="s">
        <v>6823</v>
      </c>
      <c r="AB1554" s="1"/>
      <c r="AC1554" s="1"/>
      <c r="AD1554" s="1"/>
      <c r="AE1554" s="1"/>
      <c r="AF1554" s="1" t="s">
        <v>6824</v>
      </c>
      <c r="AG1554" s="2" t="str">
        <f>"0820324019"</f>
        <v>0820324019</v>
      </c>
      <c r="AH1554" s="2" t="str">
        <f>"9780820324012"</f>
        <v>9780820324012</v>
      </c>
      <c r="AI1554" s="1">
        <v>0.0</v>
      </c>
      <c r="AJ1554" s="1">
        <v>4.05</v>
      </c>
      <c r="AK1554" s="1" t="s">
        <v>6825</v>
      </c>
      <c r="AL1554" s="1" t="s">
        <v>28</v>
      </c>
      <c r="AM1554" s="1">
        <v>404.0</v>
      </c>
      <c r="AN1554" s="1">
        <v>2002.0</v>
      </c>
      <c r="AO1554" s="1">
        <v>1911.0</v>
      </c>
      <c r="AQ1554" s="3">
        <v>43934.0</v>
      </c>
      <c r="AR1554" s="1" t="s">
        <v>2539</v>
      </c>
      <c r="AS1554" s="1" t="s">
        <v>6826</v>
      </c>
      <c r="AT1554" s="1" t="s">
        <v>31</v>
      </c>
      <c r="AX1554" s="1">
        <v>0.0</v>
      </c>
      <c r="AY1554" s="1">
        <v>0.0</v>
      </c>
    </row>
    <row r="1555" spans="20:51" ht="15.75" hidden="1">
      <c r="T1555" s="1">
        <v>653352.0</v>
      </c>
      <c r="U1555" s="1"/>
      <c r="V1555" s="1"/>
      <c r="W1555" s="1"/>
      <c r="X1555" s="1"/>
      <c r="Y1555" s="1" t="s">
        <v>6827</v>
      </c>
      <c r="Z1555" s="1" t="s">
        <v>4704</v>
      </c>
      <c r="AA1555" s="1" t="s">
        <v>4705</v>
      </c>
      <c r="AB1555" s="1"/>
      <c r="AC1555" s="1"/>
      <c r="AD1555" s="1"/>
      <c r="AE1555" s="1"/>
      <c r="AG1555" s="2" t="str">
        <f>"0631194789"</f>
        <v>0631194789</v>
      </c>
      <c r="AH1555" s="2" t="str">
        <f>"9780631194781"</f>
        <v>9780631194781</v>
      </c>
      <c r="AI1555" s="1">
        <v>0.0</v>
      </c>
      <c r="AJ1555" s="1">
        <v>3.94</v>
      </c>
      <c r="AK1555" s="1" t="s">
        <v>1315</v>
      </c>
      <c r="AL1555" s="1" t="s">
        <v>28</v>
      </c>
      <c r="AM1555" s="1">
        <v>544.0</v>
      </c>
      <c r="AN1555" s="1">
        <v>1994.0</v>
      </c>
      <c r="AO1555" s="1">
        <v>1992.0</v>
      </c>
      <c r="AQ1555" s="3">
        <v>44444.0</v>
      </c>
      <c r="AR1555" s="1" t="s">
        <v>2539</v>
      </c>
      <c r="AS1555" s="1" t="s">
        <v>6828</v>
      </c>
      <c r="AT1555" s="1" t="s">
        <v>31</v>
      </c>
      <c r="AX1555" s="1">
        <v>0.0</v>
      </c>
      <c r="AY1555" s="1">
        <v>0.0</v>
      </c>
    </row>
    <row r="1556" spans="20:51" ht="15.75" hidden="1">
      <c r="T1556" s="1">
        <v>15681.0</v>
      </c>
      <c r="U1556" s="1"/>
      <c r="V1556" s="1"/>
      <c r="W1556" s="1"/>
      <c r="X1556" s="1"/>
      <c r="Y1556" s="1" t="s">
        <v>6829</v>
      </c>
      <c r="Z1556" s="1" t="s">
        <v>6830</v>
      </c>
      <c r="AA1556" s="1" t="s">
        <v>6831</v>
      </c>
      <c r="AB1556" s="1"/>
      <c r="AC1556" s="1"/>
      <c r="AD1556" s="1"/>
      <c r="AE1556" s="1"/>
      <c r="AG1556" s="2" t="str">
        <f>"0786707399"</f>
        <v>0786707399</v>
      </c>
      <c r="AH1556" s="2" t="str">
        <f>"9780786707393"</f>
        <v>9780786707393</v>
      </c>
      <c r="AI1556" s="1">
        <v>0.0</v>
      </c>
      <c r="AJ1556" s="1">
        <v>4.01</v>
      </c>
      <c r="AK1556" s="1" t="s">
        <v>304</v>
      </c>
      <c r="AL1556" s="1" t="s">
        <v>28</v>
      </c>
      <c r="AM1556" s="1">
        <v>448.0</v>
      </c>
      <c r="AN1556" s="1">
        <v>2000.0</v>
      </c>
      <c r="AO1556" s="1">
        <v>1996.0</v>
      </c>
      <c r="AQ1556" s="3">
        <v>41364.0</v>
      </c>
      <c r="AR1556" s="1" t="s">
        <v>1019</v>
      </c>
      <c r="AS1556" s="1" t="s">
        <v>6832</v>
      </c>
      <c r="AT1556" s="1" t="s">
        <v>31</v>
      </c>
      <c r="AX1556" s="1">
        <v>0.0</v>
      </c>
      <c r="AY1556" s="1">
        <v>0.0</v>
      </c>
    </row>
    <row r="1557" spans="20:51" ht="15.75" hidden="1">
      <c r="T1557" s="1">
        <v>526076.0</v>
      </c>
      <c r="U1557" s="1"/>
      <c r="V1557" s="1"/>
      <c r="W1557" s="1"/>
      <c r="X1557" s="1"/>
      <c r="Y1557" s="1" t="s">
        <v>6833</v>
      </c>
      <c r="Z1557" s="1" t="s">
        <v>6834</v>
      </c>
      <c r="AA1557" s="1" t="s">
        <v>6835</v>
      </c>
      <c r="AB1557" s="1"/>
      <c r="AC1557" s="1"/>
      <c r="AD1557" s="1"/>
      <c r="AE1557" s="1"/>
      <c r="AG1557" s="2" t="str">
        <f>"081120197X"</f>
        <v>081120197X</v>
      </c>
      <c r="AH1557" s="2" t="str">
        <f>"9780811201971"</f>
        <v>9780811201971</v>
      </c>
      <c r="AI1557" s="1">
        <v>0.0</v>
      </c>
      <c r="AJ1557" s="1">
        <v>4.22</v>
      </c>
      <c r="AK1557" s="1" t="s">
        <v>95</v>
      </c>
      <c r="AL1557" s="1" t="s">
        <v>28</v>
      </c>
      <c r="AM1557" s="1">
        <v>491.0</v>
      </c>
      <c r="AN1557" s="1">
        <v>1962.0</v>
      </c>
      <c r="AO1557" s="1">
        <v>1961.0</v>
      </c>
      <c r="AQ1557" s="3">
        <v>44250.0</v>
      </c>
      <c r="AR1557" s="1" t="s">
        <v>1019</v>
      </c>
      <c r="AS1557" s="1" t="s">
        <v>6836</v>
      </c>
      <c r="AT1557" s="1" t="s">
        <v>31</v>
      </c>
      <c r="AX1557" s="1">
        <v>0.0</v>
      </c>
      <c r="AY1557" s="1">
        <v>0.0</v>
      </c>
    </row>
    <row r="1558" spans="20:51" ht="15.75" hidden="1">
      <c r="T1558" s="1">
        <v>1444151.0</v>
      </c>
      <c r="U1558" s="1"/>
      <c r="V1558" s="1"/>
      <c r="W1558" s="1"/>
      <c r="X1558" s="1"/>
      <c r="Y1558" s="1" t="s">
        <v>6837</v>
      </c>
      <c r="Z1558" s="1" t="s">
        <v>6838</v>
      </c>
      <c r="AA1558" s="1" t="s">
        <v>6839</v>
      </c>
      <c r="AB1558" s="1"/>
      <c r="AC1558" s="1"/>
      <c r="AD1558" s="1"/>
      <c r="AE1558" s="1"/>
      <c r="AG1558" s="2" t="str">
        <f>"0199210659"</f>
        <v>0199210659</v>
      </c>
      <c r="AH1558" s="2" t="str">
        <f>"9780199210657"</f>
        <v>9780199210657</v>
      </c>
      <c r="AI1558" s="1">
        <v>0.0</v>
      </c>
      <c r="AJ1558" s="1">
        <v>3.95</v>
      </c>
      <c r="AK1558" s="1" t="s">
        <v>214</v>
      </c>
      <c r="AL1558" s="1" t="s">
        <v>28</v>
      </c>
      <c r="AM1558" s="1">
        <v>528.0</v>
      </c>
      <c r="AN1558" s="1">
        <v>2007.0</v>
      </c>
      <c r="AO1558" s="1">
        <v>1999.0</v>
      </c>
      <c r="AQ1558" s="3">
        <v>44444.0</v>
      </c>
      <c r="AR1558" s="1" t="s">
        <v>2539</v>
      </c>
      <c r="AS1558" s="1" t="s">
        <v>6840</v>
      </c>
      <c r="AT1558" s="1" t="s">
        <v>31</v>
      </c>
      <c r="AX1558" s="1">
        <v>0.0</v>
      </c>
      <c r="AY1558" s="1">
        <v>0.0</v>
      </c>
    </row>
    <row r="1559" spans="20:51" ht="15.75" hidden="1">
      <c r="T1559" s="1">
        <v>7916776.0</v>
      </c>
      <c r="U1559" s="1"/>
      <c r="V1559" s="1"/>
      <c r="W1559" s="1"/>
      <c r="X1559" s="1"/>
      <c r="Y1559" s="1" t="s">
        <v>6841</v>
      </c>
      <c r="Z1559" s="1" t="s">
        <v>6842</v>
      </c>
      <c r="AA1559" s="1" t="s">
        <v>6843</v>
      </c>
      <c r="AB1559" s="1"/>
      <c r="AC1559" s="1"/>
      <c r="AD1559" s="1"/>
      <c r="AE1559" s="1"/>
      <c r="AF1559" s="1" t="s">
        <v>6844</v>
      </c>
      <c r="AG1559" s="2" t="str">
        <f>"9879395174"</f>
        <v>9879395174</v>
      </c>
      <c r="AH1559" s="2" t="str">
        <f>"9789879395172"</f>
        <v>9789879395172</v>
      </c>
      <c r="AI1559" s="1">
        <v>0.0</v>
      </c>
      <c r="AJ1559" s="1">
        <v>0.0</v>
      </c>
      <c r="AK1559" s="1" t="s">
        <v>6845</v>
      </c>
      <c r="AL1559" s="1" t="s">
        <v>41</v>
      </c>
      <c r="AM1559" s="1">
        <v>136.0</v>
      </c>
      <c r="AN1559" s="1">
        <v>2015.0</v>
      </c>
      <c r="AO1559" s="1">
        <v>2004.0</v>
      </c>
      <c r="AQ1559" s="3">
        <v>44065.0</v>
      </c>
      <c r="AR1559" s="1" t="s">
        <v>6732</v>
      </c>
      <c r="AS1559" s="1" t="s">
        <v>6846</v>
      </c>
      <c r="AT1559" s="1" t="s">
        <v>31</v>
      </c>
      <c r="AX1559" s="1">
        <v>0.0</v>
      </c>
      <c r="AY1559" s="1">
        <v>0.0</v>
      </c>
    </row>
    <row r="1560" spans="20:51" ht="15.75" hidden="1">
      <c r="T1560" s="1">
        <v>1.58942E7</v>
      </c>
      <c r="U1560" s="1"/>
      <c r="V1560" s="1"/>
      <c r="W1560" s="1"/>
      <c r="X1560" s="1"/>
      <c r="Y1560" s="1" t="s">
        <v>6847</v>
      </c>
      <c r="Z1560" s="1" t="s">
        <v>6848</v>
      </c>
      <c r="AA1560" s="1" t="s">
        <v>6849</v>
      </c>
      <c r="AB1560" s="1"/>
      <c r="AC1560" s="1"/>
      <c r="AD1560" s="1"/>
      <c r="AE1560" s="1"/>
      <c r="AF1560" s="1" t="s">
        <v>6850</v>
      </c>
      <c r="AG1560" s="2" t="str">
        <f>"1597111759"</f>
        <v>1597111759</v>
      </c>
      <c r="AH1560" s="2" t="str">
        <f>"9781597111751"</f>
        <v>9781597111751</v>
      </c>
      <c r="AI1560" s="1">
        <v>0.0</v>
      </c>
      <c r="AJ1560" s="1">
        <v>4.03</v>
      </c>
      <c r="AK1560" s="1" t="s">
        <v>6851</v>
      </c>
      <c r="AL1560" s="1" t="s">
        <v>28</v>
      </c>
      <c r="AM1560" s="1">
        <v>184.0</v>
      </c>
      <c r="AN1560" s="1">
        <v>2012.0</v>
      </c>
      <c r="AO1560" s="1">
        <v>1972.0</v>
      </c>
      <c r="AQ1560" s="3">
        <v>44018.0</v>
      </c>
      <c r="AR1560" s="1" t="s">
        <v>6244</v>
      </c>
      <c r="AS1560" s="1" t="s">
        <v>6852</v>
      </c>
      <c r="AT1560" s="1" t="s">
        <v>31</v>
      </c>
      <c r="AX1560" s="1">
        <v>0.0</v>
      </c>
      <c r="AY1560" s="1">
        <v>0.0</v>
      </c>
    </row>
    <row r="1561" spans="20:51" ht="15.75" hidden="1">
      <c r="T1561" s="1">
        <v>134359.0</v>
      </c>
      <c r="U1561" s="1"/>
      <c r="V1561" s="1"/>
      <c r="W1561" s="1"/>
      <c r="X1561" s="1"/>
      <c r="Y1561" s="1" t="s">
        <v>6853</v>
      </c>
      <c r="Z1561" s="1" t="s">
        <v>6848</v>
      </c>
      <c r="AA1561" s="1" t="s">
        <v>6849</v>
      </c>
      <c r="AB1561" s="1"/>
      <c r="AC1561" s="1"/>
      <c r="AD1561" s="1"/>
      <c r="AE1561" s="1"/>
      <c r="AG1561" s="2" t="str">
        <f>"0375506209"</f>
        <v>0375506209</v>
      </c>
      <c r="AH1561" s="2" t="str">
        <f>"9780375506208"</f>
        <v>9780375506208</v>
      </c>
      <c r="AI1561" s="1">
        <v>0.0</v>
      </c>
      <c r="AJ1561" s="1">
        <v>4.27</v>
      </c>
      <c r="AK1561" s="1" t="s">
        <v>988</v>
      </c>
      <c r="AL1561" s="1" t="s">
        <v>41</v>
      </c>
      <c r="AM1561" s="1">
        <v>352.0</v>
      </c>
      <c r="AN1561" s="1">
        <v>2003.0</v>
      </c>
      <c r="AO1561" s="1">
        <v>2003.0</v>
      </c>
      <c r="AQ1561" s="3">
        <v>44065.0</v>
      </c>
      <c r="AR1561" s="1" t="s">
        <v>6244</v>
      </c>
      <c r="AS1561" s="1" t="s">
        <v>6854</v>
      </c>
      <c r="AT1561" s="1" t="s">
        <v>31</v>
      </c>
      <c r="AX1561" s="1">
        <v>0.0</v>
      </c>
      <c r="AY1561" s="1">
        <v>0.0</v>
      </c>
    </row>
    <row r="1562" spans="20:51" ht="15.75" hidden="1">
      <c r="T1562" s="1">
        <v>215485.0</v>
      </c>
      <c r="U1562" s="1"/>
      <c r="V1562" s="1"/>
      <c r="W1562" s="1"/>
      <c r="X1562" s="1"/>
      <c r="Y1562" s="1" t="s">
        <v>6855</v>
      </c>
      <c r="Z1562" s="1" t="s">
        <v>6856</v>
      </c>
      <c r="AA1562" s="1" t="s">
        <v>6857</v>
      </c>
      <c r="AB1562" s="1"/>
      <c r="AC1562" s="1"/>
      <c r="AD1562" s="1"/>
      <c r="AE1562" s="1"/>
      <c r="AF1562" s="1" t="s">
        <v>6858</v>
      </c>
      <c r="AG1562" s="2" t="str">
        <f>"1590170172"</f>
        <v>1590170172</v>
      </c>
      <c r="AH1562" s="2" t="str">
        <f>"9781590170175"</f>
        <v>9781590170175</v>
      </c>
      <c r="AI1562" s="1">
        <v>0.0</v>
      </c>
      <c r="AJ1562" s="1">
        <v>3.91</v>
      </c>
      <c r="AK1562" s="1" t="s">
        <v>77</v>
      </c>
      <c r="AL1562" s="1" t="s">
        <v>28</v>
      </c>
      <c r="AM1562" s="1">
        <v>224.0</v>
      </c>
      <c r="AN1562" s="1">
        <v>2002.0</v>
      </c>
      <c r="AO1562" s="1">
        <v>1954.0</v>
      </c>
      <c r="AQ1562" s="3">
        <v>45078.0</v>
      </c>
      <c r="AR1562" s="1" t="s">
        <v>31</v>
      </c>
      <c r="AS1562" s="1" t="s">
        <v>6859</v>
      </c>
      <c r="AT1562" s="1" t="s">
        <v>31</v>
      </c>
      <c r="AX1562" s="1">
        <v>0.0</v>
      </c>
      <c r="AY1562" s="1">
        <v>0.0</v>
      </c>
    </row>
    <row r="1563" spans="20:51" ht="15.75" hidden="1">
      <c r="T1563" s="1">
        <v>47096.0</v>
      </c>
      <c r="U1563" s="1"/>
      <c r="V1563" s="1"/>
      <c r="W1563" s="1"/>
      <c r="X1563" s="1"/>
      <c r="Y1563" s="1" t="s">
        <v>6860</v>
      </c>
      <c r="Z1563" s="1" t="s">
        <v>6861</v>
      </c>
      <c r="AA1563" s="1" t="s">
        <v>6862</v>
      </c>
      <c r="AB1563" s="1"/>
      <c r="AC1563" s="1"/>
      <c r="AD1563" s="1"/>
      <c r="AE1563" s="1"/>
      <c r="AG1563" s="2" t="str">
        <f>"0060977663"</f>
        <v>0060977663</v>
      </c>
      <c r="AH1563" s="2" t="str">
        <f>"9780060977665"</f>
        <v>9780060977665</v>
      </c>
      <c r="AI1563" s="1">
        <v>0.0</v>
      </c>
      <c r="AJ1563" s="1">
        <v>3.91</v>
      </c>
      <c r="AK1563" s="1" t="s">
        <v>6863</v>
      </c>
      <c r="AL1563" s="1" t="s">
        <v>28</v>
      </c>
      <c r="AM1563" s="1">
        <v>416.0</v>
      </c>
      <c r="AN1563" s="1">
        <v>1999.0</v>
      </c>
      <c r="AO1563" s="1">
        <v>1997.0</v>
      </c>
      <c r="AQ1563" s="3">
        <v>45078.0</v>
      </c>
      <c r="AR1563" s="1" t="s">
        <v>31</v>
      </c>
      <c r="AS1563" s="1" t="s">
        <v>6864</v>
      </c>
      <c r="AT1563" s="1" t="s">
        <v>31</v>
      </c>
      <c r="AX1563" s="1">
        <v>0.0</v>
      </c>
      <c r="AY1563" s="1">
        <v>0.0</v>
      </c>
    </row>
    <row r="1564" spans="20:51" ht="15.75" hidden="1">
      <c r="T1564" s="1">
        <v>5.0922731E7</v>
      </c>
      <c r="U1564" s="1"/>
      <c r="V1564" s="1"/>
      <c r="W1564" s="1"/>
      <c r="X1564" s="1"/>
      <c r="Y1564" s="1" t="s">
        <v>6865</v>
      </c>
      <c r="Z1564" s="1" t="s">
        <v>6866</v>
      </c>
      <c r="AA1564" s="1" t="s">
        <v>6867</v>
      </c>
      <c r="AB1564" s="1"/>
      <c r="AC1564" s="1"/>
      <c r="AD1564" s="1"/>
      <c r="AE1564" s="1"/>
      <c r="AF1564" s="1" t="s">
        <v>6868</v>
      </c>
      <c r="AG1564" s="2" t="str">
        <f>"0811229866"</f>
        <v>0811229866</v>
      </c>
      <c r="AH1564" s="2" t="str">
        <f>"9780811229869"</f>
        <v>9780811229869</v>
      </c>
      <c r="AI1564" s="1">
        <v>0.0</v>
      </c>
      <c r="AJ1564" s="1">
        <v>4.17</v>
      </c>
      <c r="AK1564" s="1" t="s">
        <v>95</v>
      </c>
      <c r="AL1564" s="1" t="s">
        <v>41</v>
      </c>
      <c r="AM1564" s="1">
        <v>160.0</v>
      </c>
      <c r="AN1564" s="1">
        <v>2020.0</v>
      </c>
      <c r="AO1564" s="1">
        <v>2020.0</v>
      </c>
      <c r="AQ1564" s="3">
        <v>45078.0</v>
      </c>
      <c r="AR1564" s="1" t="s">
        <v>31</v>
      </c>
      <c r="AS1564" s="1" t="s">
        <v>6869</v>
      </c>
      <c r="AT1564" s="1" t="s">
        <v>31</v>
      </c>
      <c r="AX1564" s="1">
        <v>0.0</v>
      </c>
      <c r="AY1564" s="1">
        <v>0.0</v>
      </c>
    </row>
    <row r="1565" spans="20:51" ht="15.75" hidden="1">
      <c r="T1565" s="1">
        <v>603632.0</v>
      </c>
      <c r="U1565" s="1"/>
      <c r="V1565" s="1"/>
      <c r="W1565" s="1"/>
      <c r="X1565" s="1"/>
      <c r="Y1565" s="1" t="s">
        <v>6870</v>
      </c>
      <c r="Z1565" s="1" t="s">
        <v>6871</v>
      </c>
      <c r="AA1565" s="1" t="s">
        <v>6872</v>
      </c>
      <c r="AB1565" s="1"/>
      <c r="AC1565" s="1"/>
      <c r="AD1565" s="1"/>
      <c r="AE1565" s="1"/>
      <c r="AG1565" s="2" t="str">
        <f>"9505157258"</f>
        <v>9505157258</v>
      </c>
      <c r="AH1565" s="2" t="str">
        <f>"9789505157259"</f>
        <v>9789505157259</v>
      </c>
      <c r="AI1565" s="1">
        <v>0.0</v>
      </c>
      <c r="AJ1565" s="1">
        <v>4.31</v>
      </c>
      <c r="AK1565" s="1" t="s">
        <v>6873</v>
      </c>
      <c r="AL1565" s="1" t="s">
        <v>28</v>
      </c>
      <c r="AM1565" s="1">
        <v>126.0</v>
      </c>
      <c r="AN1565" s="1">
        <v>2009.0</v>
      </c>
      <c r="AO1565" s="1">
        <v>1996.0</v>
      </c>
      <c r="AQ1565" s="3">
        <v>45072.0</v>
      </c>
      <c r="AR1565" s="1" t="s">
        <v>1983</v>
      </c>
      <c r="AS1565" s="1" t="s">
        <v>6874</v>
      </c>
      <c r="AT1565" s="1" t="s">
        <v>1983</v>
      </c>
      <c r="AX1565" s="1">
        <v>1.0</v>
      </c>
      <c r="AY1565" s="1">
        <v>0.0</v>
      </c>
    </row>
    <row r="1566" spans="20:51" ht="15.75" hidden="1">
      <c r="T1566" s="1">
        <v>6.0784815E7</v>
      </c>
      <c r="U1566" s="1"/>
      <c r="V1566" s="1"/>
      <c r="W1566" s="1"/>
      <c r="X1566" s="1"/>
      <c r="Y1566" s="1" t="s">
        <v>6875</v>
      </c>
      <c r="Z1566" s="1" t="s">
        <v>6876</v>
      </c>
      <c r="AA1566" s="1" t="s">
        <v>6877</v>
      </c>
      <c r="AB1566" s="1"/>
      <c r="AC1566" s="1"/>
      <c r="AD1566" s="1"/>
      <c r="AE1566" s="1"/>
      <c r="AG1566" s="2" t="str">
        <f>"0374607958"</f>
        <v>0374607958</v>
      </c>
      <c r="AH1566" s="2" t="str">
        <f>"9780374607951"</f>
        <v>9780374607951</v>
      </c>
      <c r="AI1566" s="1">
        <v>0.0</v>
      </c>
      <c r="AJ1566" s="1">
        <v>3.81</v>
      </c>
      <c r="AK1566" s="1" t="s">
        <v>89</v>
      </c>
      <c r="AL1566" s="1" t="s">
        <v>41</v>
      </c>
      <c r="AM1566" s="1">
        <v>128.0</v>
      </c>
      <c r="AN1566" s="1">
        <v>2023.0</v>
      </c>
      <c r="AO1566" s="1">
        <v>2023.0</v>
      </c>
      <c r="AQ1566" s="3">
        <v>45071.0</v>
      </c>
      <c r="AR1566" s="1" t="s">
        <v>31</v>
      </c>
      <c r="AS1566" s="1" t="s">
        <v>6878</v>
      </c>
      <c r="AT1566" s="1" t="s">
        <v>31</v>
      </c>
      <c r="AX1566" s="1">
        <v>0.0</v>
      </c>
      <c r="AY1566" s="1">
        <v>0.0</v>
      </c>
    </row>
    <row r="1567" spans="20:51" ht="15.75" hidden="1">
      <c r="T1567" s="1">
        <v>3.5132783E7</v>
      </c>
      <c r="U1567" s="1"/>
      <c r="V1567" s="1"/>
      <c r="W1567" s="1"/>
      <c r="X1567" s="1"/>
      <c r="Y1567" s="1" t="s">
        <v>6879</v>
      </c>
      <c r="Z1567" s="1" t="s">
        <v>2879</v>
      </c>
      <c r="AA1567" s="1" t="s">
        <v>2880</v>
      </c>
      <c r="AB1567" s="1"/>
      <c r="AC1567" s="1"/>
      <c r="AD1567" s="1"/>
      <c r="AE1567" s="1"/>
      <c r="AG1567" s="2" t="str">
        <f>"1546563504"</f>
        <v>1546563504</v>
      </c>
      <c r="AH1567" s="2" t="str">
        <f>"9781546563501"</f>
        <v>9781546563501</v>
      </c>
      <c r="AI1567" s="1">
        <v>0.0</v>
      </c>
      <c r="AJ1567" s="1">
        <v>4.45</v>
      </c>
      <c r="AK1567" s="1" t="s">
        <v>6880</v>
      </c>
      <c r="AL1567" s="1" t="s">
        <v>28</v>
      </c>
      <c r="AM1567" s="1">
        <v>342.0</v>
      </c>
      <c r="AN1567" s="1">
        <v>2017.0</v>
      </c>
      <c r="AO1567" s="1">
        <v>1862.0</v>
      </c>
      <c r="AQ1567" s="3">
        <v>45070.0</v>
      </c>
      <c r="AR1567" s="1" t="s">
        <v>31</v>
      </c>
      <c r="AS1567" s="1" t="s">
        <v>6881</v>
      </c>
      <c r="AT1567" s="1" t="s">
        <v>31</v>
      </c>
      <c r="AX1567" s="1">
        <v>0.0</v>
      </c>
      <c r="AY1567" s="1">
        <v>0.0</v>
      </c>
    </row>
    <row r="1568" spans="20:51" ht="15.75" hidden="1">
      <c r="T1568" s="1">
        <v>771091.0</v>
      </c>
      <c r="U1568" s="1"/>
      <c r="V1568" s="1"/>
      <c r="W1568" s="1"/>
      <c r="X1568" s="1"/>
      <c r="Y1568" s="1" t="s">
        <v>6882</v>
      </c>
      <c r="Z1568" s="1" t="s">
        <v>6883</v>
      </c>
      <c r="AA1568" s="1" t="s">
        <v>6884</v>
      </c>
      <c r="AB1568" s="1"/>
      <c r="AC1568" s="1"/>
      <c r="AD1568" s="1"/>
      <c r="AE1568" s="1"/>
      <c r="AF1568" s="1" t="s">
        <v>6885</v>
      </c>
      <c r="AG1568" s="2" t="str">
        <f>"0486228029"</f>
        <v>0486228029</v>
      </c>
      <c r="AH1568" s="2" t="str">
        <f>"9780486228020"</f>
        <v>9780486228020</v>
      </c>
      <c r="AI1568" s="1">
        <v>0.0</v>
      </c>
      <c r="AJ1568" s="1">
        <v>3.2</v>
      </c>
      <c r="AK1568" s="1" t="s">
        <v>3684</v>
      </c>
      <c r="AL1568" s="1" t="s">
        <v>28</v>
      </c>
      <c r="AM1568" s="1">
        <v>323.0</v>
      </c>
      <c r="AN1568" s="1">
        <v>1971.0</v>
      </c>
      <c r="AO1568" s="1">
        <v>1485.0</v>
      </c>
      <c r="AQ1568" s="3">
        <v>45070.0</v>
      </c>
      <c r="AR1568" s="1" t="s">
        <v>31</v>
      </c>
      <c r="AS1568" s="1" t="s">
        <v>6886</v>
      </c>
      <c r="AT1568" s="1" t="s">
        <v>31</v>
      </c>
      <c r="AX1568" s="1">
        <v>0.0</v>
      </c>
      <c r="AY1568" s="1">
        <v>0.0</v>
      </c>
    </row>
    <row r="1569" spans="20:51" ht="15.75" hidden="1">
      <c r="T1569" s="1">
        <v>6328153.0</v>
      </c>
      <c r="U1569" s="1"/>
      <c r="V1569" s="1"/>
      <c r="W1569" s="1"/>
      <c r="X1569" s="1"/>
      <c r="Y1569" s="1" t="s">
        <v>6887</v>
      </c>
      <c r="Z1569" s="1" t="s">
        <v>471</v>
      </c>
      <c r="AA1569" s="1" t="s">
        <v>472</v>
      </c>
      <c r="AB1569" s="1"/>
      <c r="AC1569" s="1"/>
      <c r="AD1569" s="1"/>
      <c r="AE1569" s="1"/>
      <c r="AF1569" s="1" t="s">
        <v>6888</v>
      </c>
      <c r="AG1569" s="2" t="str">
        <f>"0199538360"</f>
        <v>0199538360</v>
      </c>
      <c r="AH1569" s="2" t="str">
        <f>"9780199538362"</f>
        <v>9780199538362</v>
      </c>
      <c r="AI1569" s="1">
        <v>0.0</v>
      </c>
      <c r="AJ1569" s="1">
        <v>4.0</v>
      </c>
      <c r="AK1569" s="1" t="s">
        <v>214</v>
      </c>
      <c r="AL1569" s="1" t="s">
        <v>28</v>
      </c>
      <c r="AM1569" s="1">
        <v>348.0</v>
      </c>
      <c r="AN1569" s="1">
        <v>2009.0</v>
      </c>
      <c r="AO1569" s="1">
        <v>1989.0</v>
      </c>
      <c r="AQ1569" s="3">
        <v>45070.0</v>
      </c>
      <c r="AR1569" s="1" t="s">
        <v>31</v>
      </c>
      <c r="AS1569" s="1" t="s">
        <v>6889</v>
      </c>
      <c r="AT1569" s="1" t="s">
        <v>31</v>
      </c>
      <c r="AX1569" s="1">
        <v>0.0</v>
      </c>
      <c r="AY1569" s="1">
        <v>0.0</v>
      </c>
    </row>
    <row r="1570" spans="20:51" ht="15.75" hidden="1">
      <c r="T1570" s="1">
        <v>533074.0</v>
      </c>
      <c r="U1570" s="1"/>
      <c r="V1570" s="1"/>
      <c r="W1570" s="1"/>
      <c r="X1570" s="1"/>
      <c r="Y1570" s="1" t="s">
        <v>6890</v>
      </c>
      <c r="Z1570" s="1" t="s">
        <v>6891</v>
      </c>
      <c r="AA1570" s="1" t="s">
        <v>6892</v>
      </c>
      <c r="AB1570" s="1"/>
      <c r="AC1570" s="1"/>
      <c r="AD1570" s="1"/>
      <c r="AE1570" s="1"/>
      <c r="AF1570" s="1" t="s">
        <v>6893</v>
      </c>
      <c r="AG1570" s="2" t="str">
        <f>"1578632595"</f>
        <v>1578632595</v>
      </c>
      <c r="AH1570" s="2" t="str">
        <f>"0824297632597"</f>
        <v>0824297632597</v>
      </c>
      <c r="AI1570" s="1">
        <v>0.0</v>
      </c>
      <c r="AJ1570" s="1">
        <v>3.99</v>
      </c>
      <c r="AK1570" s="1" t="s">
        <v>6894</v>
      </c>
      <c r="AL1570" s="1" t="s">
        <v>28</v>
      </c>
      <c r="AM1570" s="1">
        <v>140.0</v>
      </c>
      <c r="AN1570" s="1">
        <v>2003.0</v>
      </c>
      <c r="AO1570" s="1">
        <v>-300.0</v>
      </c>
      <c r="AQ1570" s="3">
        <v>45070.0</v>
      </c>
      <c r="AR1570" s="1" t="s">
        <v>31</v>
      </c>
      <c r="AS1570" s="1" t="s">
        <v>6895</v>
      </c>
      <c r="AT1570" s="1" t="s">
        <v>31</v>
      </c>
      <c r="AX1570" s="1">
        <v>0.0</v>
      </c>
      <c r="AY1570" s="1">
        <v>0.0</v>
      </c>
    </row>
    <row r="1571" spans="20:51" ht="15.75" hidden="1">
      <c r="T1571" s="1">
        <v>681667.0</v>
      </c>
      <c r="U1571" s="1"/>
      <c r="V1571" s="1"/>
      <c r="W1571" s="1"/>
      <c r="X1571" s="1"/>
      <c r="Y1571" s="1" t="s">
        <v>6896</v>
      </c>
      <c r="Z1571" s="1" t="s">
        <v>6897</v>
      </c>
      <c r="AA1571" s="1" t="s">
        <v>6898</v>
      </c>
      <c r="AB1571" s="1"/>
      <c r="AC1571" s="1"/>
      <c r="AD1571" s="1"/>
      <c r="AE1571" s="1"/>
      <c r="AF1571" s="1" t="s">
        <v>2292</v>
      </c>
      <c r="AG1571" s="2" t="str">
        <f>"0521425433"</f>
        <v>0521425433</v>
      </c>
      <c r="AH1571" s="2" t="str">
        <f>"9780521425438"</f>
        <v>9780521425438</v>
      </c>
      <c r="AI1571" s="1">
        <v>0.0</v>
      </c>
      <c r="AJ1571" s="1">
        <v>4.4</v>
      </c>
      <c r="AK1571" s="1" t="s">
        <v>605</v>
      </c>
      <c r="AL1571" s="1" t="s">
        <v>28</v>
      </c>
      <c r="AM1571" s="1">
        <v>408.0</v>
      </c>
      <c r="AN1571" s="1">
        <v>1995.0</v>
      </c>
      <c r="AO1571" s="1">
        <v>-300.0</v>
      </c>
      <c r="AQ1571" s="3">
        <v>45070.0</v>
      </c>
      <c r="AR1571" s="1" t="s">
        <v>31</v>
      </c>
      <c r="AS1571" s="1" t="s">
        <v>6899</v>
      </c>
      <c r="AT1571" s="1" t="s">
        <v>31</v>
      </c>
      <c r="AX1571" s="1">
        <v>0.0</v>
      </c>
      <c r="AY1571" s="1">
        <v>0.0</v>
      </c>
    </row>
    <row r="1572" spans="20:51" ht="15.75" hidden="1">
      <c r="T1572" s="1">
        <v>302604.0</v>
      </c>
      <c r="U1572" s="1"/>
      <c r="V1572" s="1"/>
      <c r="W1572" s="1"/>
      <c r="X1572" s="1"/>
      <c r="Y1572" s="1" t="s">
        <v>6900</v>
      </c>
      <c r="Z1572" s="1" t="s">
        <v>2879</v>
      </c>
      <c r="AA1572" s="1" t="s">
        <v>2880</v>
      </c>
      <c r="AB1572" s="1"/>
      <c r="AC1572" s="1"/>
      <c r="AD1572" s="1"/>
      <c r="AE1572" s="1"/>
      <c r="AF1572" s="1" t="s">
        <v>6901</v>
      </c>
      <c r="AG1572" s="2" t="str">
        <f>"0877289298"</f>
        <v>0877289298</v>
      </c>
      <c r="AH1572" s="2" t="str">
        <f>"9780877289296"</f>
        <v>9780877289296</v>
      </c>
      <c r="AI1572" s="1">
        <v>0.0</v>
      </c>
      <c r="AJ1572" s="1">
        <v>3.8</v>
      </c>
      <c r="AK1572" s="1" t="s">
        <v>5032</v>
      </c>
      <c r="AL1572" s="1" t="s">
        <v>28</v>
      </c>
      <c r="AM1572" s="1">
        <v>392.0</v>
      </c>
      <c r="AN1572" s="1">
        <v>1999.0</v>
      </c>
      <c r="AO1572" s="1">
        <v>1860.0</v>
      </c>
      <c r="AQ1572" s="3">
        <v>45070.0</v>
      </c>
      <c r="AR1572" s="1" t="s">
        <v>31</v>
      </c>
      <c r="AS1572" s="1" t="s">
        <v>6902</v>
      </c>
      <c r="AT1572" s="1" t="s">
        <v>31</v>
      </c>
      <c r="AX1572" s="1">
        <v>0.0</v>
      </c>
      <c r="AY1572" s="1">
        <v>0.0</v>
      </c>
    </row>
    <row r="1573" spans="20:51" ht="15.75" hidden="1">
      <c r="T1573" s="1">
        <v>743049.0</v>
      </c>
      <c r="U1573" s="1"/>
      <c r="V1573" s="1"/>
      <c r="W1573" s="1"/>
      <c r="X1573" s="1"/>
      <c r="Y1573" s="1" t="s">
        <v>6903</v>
      </c>
      <c r="Z1573" s="1" t="s">
        <v>6904</v>
      </c>
      <c r="AA1573" s="1" t="s">
        <v>6905</v>
      </c>
      <c r="AB1573" s="1"/>
      <c r="AC1573" s="1"/>
      <c r="AD1573" s="1"/>
      <c r="AE1573" s="1"/>
      <c r="AF1573" s="1" t="s">
        <v>6906</v>
      </c>
      <c r="AG1573" s="2" t="str">
        <f>"0060669357"</f>
        <v>0060669357</v>
      </c>
      <c r="AH1573" s="2" t="str">
        <f>"9780060669355"</f>
        <v>9780060669355</v>
      </c>
      <c r="AI1573" s="1">
        <v>0.0</v>
      </c>
      <c r="AJ1573" s="1">
        <v>4.22</v>
      </c>
      <c r="AK1573" s="1" t="s">
        <v>194</v>
      </c>
      <c r="AL1573" s="1" t="s">
        <v>28</v>
      </c>
      <c r="AM1573" s="1">
        <v>576.0</v>
      </c>
      <c r="AN1573" s="1">
        <v>1990.0</v>
      </c>
      <c r="AO1573" s="1">
        <v>400.0</v>
      </c>
      <c r="AQ1573" s="3">
        <v>45070.0</v>
      </c>
      <c r="AR1573" s="1" t="s">
        <v>31</v>
      </c>
      <c r="AS1573" s="1" t="s">
        <v>6907</v>
      </c>
      <c r="AT1573" s="1" t="s">
        <v>31</v>
      </c>
      <c r="AX1573" s="1">
        <v>0.0</v>
      </c>
      <c r="AY1573" s="1">
        <v>0.0</v>
      </c>
    </row>
    <row r="1574" spans="20:51" ht="15.75" hidden="1">
      <c r="T1574" s="1">
        <v>65145.0</v>
      </c>
      <c r="U1574" s="1"/>
      <c r="V1574" s="1"/>
      <c r="W1574" s="1"/>
      <c r="X1574" s="1"/>
      <c r="Y1574" s="1" t="s">
        <v>6908</v>
      </c>
      <c r="Z1574" s="1" t="s">
        <v>6909</v>
      </c>
      <c r="AA1574" s="1" t="s">
        <v>6910</v>
      </c>
      <c r="AB1574" s="1"/>
      <c r="AC1574" s="1"/>
      <c r="AD1574" s="1"/>
      <c r="AE1574" s="1"/>
      <c r="AF1574" s="1" t="s">
        <v>6911</v>
      </c>
      <c r="AG1574" s="2" t="str">
        <f>"0226356795"</f>
        <v>0226356795</v>
      </c>
      <c r="AH1574" s="2" t="str">
        <f>"9780226356792"</f>
        <v>9780226356792</v>
      </c>
      <c r="AI1574" s="1">
        <v>0.0</v>
      </c>
      <c r="AJ1574" s="1">
        <v>3.86</v>
      </c>
      <c r="AK1574" s="1" t="s">
        <v>224</v>
      </c>
      <c r="AL1574" s="1" t="s">
        <v>28</v>
      </c>
      <c r="AM1574" s="1">
        <v>166.0</v>
      </c>
      <c r="AN1574" s="1">
        <v>1981.0</v>
      </c>
      <c r="AO1574" s="1">
        <v>1899.0</v>
      </c>
      <c r="AQ1574" s="3">
        <v>45070.0</v>
      </c>
      <c r="AR1574" s="1" t="s">
        <v>31</v>
      </c>
      <c r="AS1574" s="1" t="s">
        <v>6912</v>
      </c>
      <c r="AT1574" s="1" t="s">
        <v>31</v>
      </c>
      <c r="AX1574" s="1">
        <v>0.0</v>
      </c>
      <c r="AY1574" s="1">
        <v>0.0</v>
      </c>
    </row>
    <row r="1575" spans="20:51" ht="15.75" hidden="1">
      <c r="T1575" s="1">
        <v>4.0672036E7</v>
      </c>
      <c r="U1575" s="1"/>
      <c r="V1575" s="1"/>
      <c r="W1575" s="1"/>
      <c r="X1575" s="1"/>
      <c r="Y1575" s="1" t="s">
        <v>6913</v>
      </c>
      <c r="Z1575" s="1" t="s">
        <v>6914</v>
      </c>
      <c r="AA1575" s="1" t="s">
        <v>6915</v>
      </c>
      <c r="AB1575" s="1"/>
      <c r="AC1575" s="1"/>
      <c r="AD1575" s="1"/>
      <c r="AE1575" s="1"/>
      <c r="AG1575" s="2" t="str">
        <f>"052553654X"</f>
        <v>052553654X</v>
      </c>
      <c r="AH1575" s="2" t="str">
        <f>""</f>
        <v/>
      </c>
      <c r="AI1575" s="1">
        <v>0.0</v>
      </c>
      <c r="AJ1575" s="1">
        <v>4.06</v>
      </c>
      <c r="AK1575" s="1" t="s">
        <v>6916</v>
      </c>
      <c r="AL1575" s="1" t="s">
        <v>59</v>
      </c>
      <c r="AM1575" s="1">
        <v>302.0</v>
      </c>
      <c r="AN1575" s="1">
        <v>2019.0</v>
      </c>
      <c r="AO1575" s="1">
        <v>2019.0</v>
      </c>
      <c r="AQ1575" s="3">
        <v>45068.0</v>
      </c>
      <c r="AR1575" s="1" t="s">
        <v>31</v>
      </c>
      <c r="AS1575" s="1" t="s">
        <v>6917</v>
      </c>
      <c r="AT1575" s="1" t="s">
        <v>31</v>
      </c>
      <c r="AX1575" s="1">
        <v>0.0</v>
      </c>
      <c r="AY1575" s="1">
        <v>0.0</v>
      </c>
    </row>
    <row r="1576" spans="20:51" ht="15.75" hidden="1">
      <c r="T1576" s="1">
        <v>5.9808037E7</v>
      </c>
      <c r="U1576" s="1"/>
      <c r="V1576" s="1"/>
      <c r="W1576" s="1"/>
      <c r="X1576" s="1"/>
      <c r="Y1576" s="1" t="s">
        <v>6918</v>
      </c>
      <c r="Z1576" s="1" t="s">
        <v>6919</v>
      </c>
      <c r="AA1576" s="1" t="s">
        <v>6920</v>
      </c>
      <c r="AB1576" s="1"/>
      <c r="AC1576" s="1"/>
      <c r="AD1576" s="1"/>
      <c r="AE1576" s="1"/>
      <c r="AG1576" s="2" t="str">
        <f>"1250208459"</f>
        <v>1250208459</v>
      </c>
      <c r="AH1576" s="2" t="str">
        <f>"9781250208453"</f>
        <v>9781250208453</v>
      </c>
      <c r="AI1576" s="1">
        <v>0.0</v>
      </c>
      <c r="AJ1576" s="1">
        <v>3.91</v>
      </c>
      <c r="AK1576" s="1" t="s">
        <v>6921</v>
      </c>
      <c r="AL1576" s="1" t="s">
        <v>41</v>
      </c>
      <c r="AM1576" s="1">
        <v>195.0</v>
      </c>
      <c r="AN1576" s="1">
        <v>2022.0</v>
      </c>
      <c r="AO1576" s="1">
        <v>2022.0</v>
      </c>
      <c r="AQ1576" s="3">
        <v>45065.0</v>
      </c>
      <c r="AR1576" s="1" t="s">
        <v>31</v>
      </c>
      <c r="AS1576" s="1" t="s">
        <v>6922</v>
      </c>
      <c r="AT1576" s="1" t="s">
        <v>31</v>
      </c>
      <c r="AX1576" s="1">
        <v>0.0</v>
      </c>
      <c r="AY1576" s="1">
        <v>0.0</v>
      </c>
    </row>
    <row r="1577" spans="20:51" ht="15.75" hidden="1">
      <c r="T1577" s="1">
        <v>4.1335205E7</v>
      </c>
      <c r="U1577" s="1"/>
      <c r="V1577" s="1"/>
      <c r="W1577" s="1"/>
      <c r="X1577" s="1"/>
      <c r="Y1577" s="1" t="s">
        <v>6923</v>
      </c>
      <c r="Z1577" s="1" t="s">
        <v>6924</v>
      </c>
      <c r="AA1577" s="1" t="s">
        <v>6925</v>
      </c>
      <c r="AB1577" s="1"/>
      <c r="AC1577" s="1"/>
      <c r="AD1577" s="1"/>
      <c r="AE1577" s="1"/>
      <c r="AG1577" s="2" t="str">
        <f>"8497619382"</f>
        <v>8497619382</v>
      </c>
      <c r="AH1577" s="2" t="str">
        <f>"9788497619387"</f>
        <v>9788497619387</v>
      </c>
      <c r="AI1577" s="1">
        <v>0.0</v>
      </c>
      <c r="AJ1577" s="1">
        <v>3.96</v>
      </c>
      <c r="AK1577" s="1" t="s">
        <v>6926</v>
      </c>
      <c r="AL1577" s="1" t="s">
        <v>28</v>
      </c>
      <c r="AM1577" s="1">
        <v>600.0</v>
      </c>
      <c r="AN1577" s="1">
        <v>2011.0</v>
      </c>
      <c r="AO1577" s="1">
        <v>1818.0</v>
      </c>
      <c r="AQ1577" s="3">
        <v>44802.0</v>
      </c>
      <c r="AR1577" s="1" t="s">
        <v>31</v>
      </c>
      <c r="AS1577" s="1" t="s">
        <v>6927</v>
      </c>
      <c r="AT1577" s="1" t="s">
        <v>31</v>
      </c>
      <c r="AX1577" s="1">
        <v>0.0</v>
      </c>
      <c r="AY1577" s="1">
        <v>0.0</v>
      </c>
    </row>
    <row r="1578" spans="20:51" ht="15.75" hidden="1">
      <c r="T1578" s="1">
        <v>123656.0</v>
      </c>
      <c r="U1578" s="1"/>
      <c r="V1578" s="1"/>
      <c r="W1578" s="1"/>
      <c r="X1578" s="1"/>
      <c r="Y1578" s="1" t="s">
        <v>6928</v>
      </c>
      <c r="Z1578" s="1" t="s">
        <v>2881</v>
      </c>
      <c r="AA1578" s="1" t="s">
        <v>5035</v>
      </c>
      <c r="AB1578" s="1"/>
      <c r="AC1578" s="1"/>
      <c r="AD1578" s="1"/>
      <c r="AE1578" s="1"/>
      <c r="AG1578" s="2" t="str">
        <f>"0877285160"</f>
        <v>0877285160</v>
      </c>
      <c r="AH1578" s="2" t="str">
        <f>"9780877285168"</f>
        <v>9780877285168</v>
      </c>
      <c r="AI1578" s="1">
        <v>0.0</v>
      </c>
      <c r="AJ1578" s="1">
        <v>3.82</v>
      </c>
      <c r="AK1578" s="1" t="s">
        <v>6929</v>
      </c>
      <c r="AL1578" s="1" t="s">
        <v>28</v>
      </c>
      <c r="AM1578" s="1">
        <v>196.0</v>
      </c>
      <c r="AN1578" s="1">
        <v>2010.0</v>
      </c>
      <c r="AO1578" s="1">
        <v>1913.0</v>
      </c>
      <c r="AQ1578" s="3">
        <v>45059.0</v>
      </c>
      <c r="AR1578" s="1" t="s">
        <v>31</v>
      </c>
      <c r="AS1578" s="1" t="s">
        <v>6930</v>
      </c>
      <c r="AT1578" s="1" t="s">
        <v>31</v>
      </c>
      <c r="AX1578" s="1">
        <v>0.0</v>
      </c>
      <c r="AY1578" s="1">
        <v>0.0</v>
      </c>
    </row>
    <row r="1579" spans="20:51" ht="15.75" hidden="1">
      <c r="T1579" s="1">
        <v>4.4100994E7</v>
      </c>
      <c r="U1579" s="1"/>
      <c r="V1579" s="1"/>
      <c r="W1579" s="1"/>
      <c r="X1579" s="1"/>
      <c r="Y1579" s="1" t="s">
        <v>6931</v>
      </c>
      <c r="Z1579" s="1" t="s">
        <v>948</v>
      </c>
      <c r="AA1579" s="1" t="s">
        <v>949</v>
      </c>
      <c r="AB1579" s="1"/>
      <c r="AC1579" s="1"/>
      <c r="AD1579" s="1"/>
      <c r="AE1579" s="1"/>
      <c r="AG1579" s="2" t="str">
        <f t="shared" si="130" ref="AG1579:AH1579">""</f>
        <v/>
      </c>
      <c r="AH1579" s="2" t="str">
        <f t="shared" si="130"/>
        <v/>
      </c>
      <c r="AI1579" s="1">
        <v>0.0</v>
      </c>
      <c r="AJ1579" s="1">
        <v>4.06</v>
      </c>
      <c r="AK1579" s="1" t="s">
        <v>671</v>
      </c>
      <c r="AL1579" s="1" t="s">
        <v>59</v>
      </c>
      <c r="AM1579" s="1">
        <v>301.0</v>
      </c>
      <c r="AN1579" s="1">
        <v>2019.0</v>
      </c>
      <c r="AO1579" s="1">
        <v>2019.0</v>
      </c>
      <c r="AQ1579" s="3">
        <v>45059.0</v>
      </c>
      <c r="AR1579" s="1" t="s">
        <v>31</v>
      </c>
      <c r="AS1579" s="1" t="s">
        <v>6932</v>
      </c>
      <c r="AT1579" s="1" t="s">
        <v>31</v>
      </c>
      <c r="AX1579" s="1">
        <v>0.0</v>
      </c>
      <c r="AY1579" s="1">
        <v>0.0</v>
      </c>
    </row>
    <row r="1580" spans="20:51" ht="15.75" hidden="1">
      <c r="T1580" s="1">
        <v>438025.0</v>
      </c>
      <c r="U1580" s="1"/>
      <c r="V1580" s="1"/>
      <c r="W1580" s="1"/>
      <c r="X1580" s="1"/>
      <c r="Y1580" s="1" t="s">
        <v>6933</v>
      </c>
      <c r="Z1580" s="1" t="s">
        <v>6934</v>
      </c>
      <c r="AA1580" s="1" t="s">
        <v>6935</v>
      </c>
      <c r="AB1580" s="1"/>
      <c r="AC1580" s="1"/>
      <c r="AD1580" s="1"/>
      <c r="AE1580" s="1"/>
      <c r="AF1580" s="1" t="s">
        <v>6936</v>
      </c>
      <c r="AG1580" s="2" t="str">
        <f>"0715630008"</f>
        <v>0715630008</v>
      </c>
      <c r="AH1580" s="2" t="str">
        <f>"9780715630006"</f>
        <v>9780715630006</v>
      </c>
      <c r="AI1580" s="1">
        <v>0.0</v>
      </c>
      <c r="AJ1580" s="1">
        <v>4.19</v>
      </c>
      <c r="AK1580" s="1" t="s">
        <v>6937</v>
      </c>
      <c r="AL1580" s="1" t="s">
        <v>28</v>
      </c>
      <c r="AM1580" s="1">
        <v>240.0</v>
      </c>
      <c r="AN1580" s="1">
        <v>2000.0</v>
      </c>
      <c r="AO1580" s="1">
        <v>1947.0</v>
      </c>
      <c r="AQ1580" s="3">
        <v>45059.0</v>
      </c>
      <c r="AR1580" s="1" t="s">
        <v>31</v>
      </c>
      <c r="AS1580" s="1" t="s">
        <v>6938</v>
      </c>
      <c r="AT1580" s="1" t="s">
        <v>31</v>
      </c>
      <c r="AX1580" s="1">
        <v>0.0</v>
      </c>
      <c r="AY1580" s="1">
        <v>0.0</v>
      </c>
    </row>
    <row r="1581" spans="20:51" ht="15.75" hidden="1">
      <c r="T1581" s="1">
        <v>5.7693608E7</v>
      </c>
      <c r="U1581" s="1"/>
      <c r="V1581" s="1"/>
      <c r="W1581" s="1"/>
      <c r="X1581" s="1"/>
      <c r="Y1581" s="1" t="s">
        <v>6939</v>
      </c>
      <c r="Z1581" s="1" t="s">
        <v>6940</v>
      </c>
      <c r="AA1581" s="1" t="s">
        <v>6941</v>
      </c>
      <c r="AB1581" s="1"/>
      <c r="AC1581" s="1"/>
      <c r="AD1581" s="1"/>
      <c r="AE1581" s="1"/>
      <c r="AF1581" s="1" t="s">
        <v>6942</v>
      </c>
      <c r="AG1581" s="2" t="str">
        <f>"1644450801"</f>
        <v>1644450801</v>
      </c>
      <c r="AH1581" s="2" t="str">
        <f>"9781644450802"</f>
        <v>9781644450802</v>
      </c>
      <c r="AI1581" s="1">
        <v>0.0</v>
      </c>
      <c r="AJ1581" s="1">
        <v>4.26</v>
      </c>
      <c r="AK1581" s="1" t="s">
        <v>971</v>
      </c>
      <c r="AL1581" s="1" t="s">
        <v>28</v>
      </c>
      <c r="AM1581" s="1">
        <v>216.0</v>
      </c>
      <c r="AN1581" s="1">
        <v>2022.0</v>
      </c>
      <c r="AO1581" s="1">
        <v>2019.0</v>
      </c>
      <c r="AQ1581" s="3">
        <v>45059.0</v>
      </c>
      <c r="AR1581" s="1" t="s">
        <v>31</v>
      </c>
      <c r="AS1581" s="1" t="s">
        <v>6943</v>
      </c>
      <c r="AT1581" s="1" t="s">
        <v>31</v>
      </c>
      <c r="AX1581" s="1">
        <v>0.0</v>
      </c>
      <c r="AY1581" s="1">
        <v>0.0</v>
      </c>
    </row>
    <row r="1582" spans="20:51" ht="15.75" hidden="1">
      <c r="T1582" s="1">
        <v>4.1815317E7</v>
      </c>
      <c r="U1582" s="1"/>
      <c r="V1582" s="1"/>
      <c r="W1582" s="1"/>
      <c r="X1582" s="1"/>
      <c r="Y1582" s="1" t="s">
        <v>6944</v>
      </c>
      <c r="Z1582" s="1" t="s">
        <v>6945</v>
      </c>
      <c r="AA1582" s="1" t="s">
        <v>6946</v>
      </c>
      <c r="AB1582" s="1"/>
      <c r="AC1582" s="1"/>
      <c r="AD1582" s="1"/>
      <c r="AE1582" s="1"/>
      <c r="AF1582" s="1" t="s">
        <v>6947</v>
      </c>
      <c r="AG1582" s="2" t="str">
        <f>""</f>
        <v/>
      </c>
      <c r="AH1582" s="2" t="str">
        <f>"9781943813742"</f>
        <v>9781943813742</v>
      </c>
      <c r="AI1582" s="1">
        <v>0.0</v>
      </c>
      <c r="AJ1582" s="1">
        <v>3.81</v>
      </c>
      <c r="AK1582" s="1" t="s">
        <v>6948</v>
      </c>
      <c r="AL1582" s="1" t="s">
        <v>28</v>
      </c>
      <c r="AM1582" s="1">
        <v>100.0</v>
      </c>
      <c r="AN1582" s="1">
        <v>2018.0</v>
      </c>
      <c r="AO1582" s="1">
        <v>1998.0</v>
      </c>
      <c r="AQ1582" s="3">
        <v>45059.0</v>
      </c>
      <c r="AR1582" s="1" t="s">
        <v>31</v>
      </c>
      <c r="AS1582" s="1" t="s">
        <v>6949</v>
      </c>
      <c r="AT1582" s="1" t="s">
        <v>31</v>
      </c>
      <c r="AX1582" s="1">
        <v>0.0</v>
      </c>
      <c r="AY1582" s="1">
        <v>0.0</v>
      </c>
    </row>
    <row r="1583" spans="20:51" ht="15.75" hidden="1">
      <c r="T1583" s="1">
        <v>373319.0</v>
      </c>
      <c r="U1583" s="1"/>
      <c r="V1583" s="1"/>
      <c r="W1583" s="1"/>
      <c r="X1583" s="1"/>
      <c r="Y1583" s="1" t="s">
        <v>6950</v>
      </c>
      <c r="Z1583" s="1" t="s">
        <v>6951</v>
      </c>
      <c r="AA1583" s="1" t="s">
        <v>6952</v>
      </c>
      <c r="AB1583" s="1"/>
      <c r="AC1583" s="1"/>
      <c r="AD1583" s="1"/>
      <c r="AE1583" s="1"/>
      <c r="AF1583" s="1" t="s">
        <v>6953</v>
      </c>
      <c r="AG1583" s="2" t="str">
        <f>"0253210798"</f>
        <v>0253210798</v>
      </c>
      <c r="AH1583" s="2" t="str">
        <f>"9780253210791"</f>
        <v>9780253210791</v>
      </c>
      <c r="AI1583" s="1">
        <v>0.0</v>
      </c>
      <c r="AJ1583" s="1">
        <v>4.14</v>
      </c>
      <c r="AK1583" s="1" t="s">
        <v>6092</v>
      </c>
      <c r="AL1583" s="1" t="s">
        <v>28</v>
      </c>
      <c r="AM1583" s="1">
        <v>224.0</v>
      </c>
      <c r="AN1583" s="1">
        <v>2008.0</v>
      </c>
      <c r="AO1583" s="1">
        <v>1996.0</v>
      </c>
      <c r="AQ1583" s="3">
        <v>45046.0</v>
      </c>
      <c r="AR1583" s="1" t="s">
        <v>31</v>
      </c>
      <c r="AS1583" s="1" t="s">
        <v>6954</v>
      </c>
      <c r="AT1583" s="1" t="s">
        <v>31</v>
      </c>
      <c r="AX1583" s="1">
        <v>0.0</v>
      </c>
      <c r="AY1583" s="1">
        <v>0.0</v>
      </c>
    </row>
    <row r="1584" spans="20:51" ht="15.75" hidden="1">
      <c r="T1584" s="1">
        <v>5.5856548E7</v>
      </c>
      <c r="U1584" s="1"/>
      <c r="V1584" s="1"/>
      <c r="W1584" s="1"/>
      <c r="X1584" s="1"/>
      <c r="Y1584" s="1" t="s">
        <v>6955</v>
      </c>
      <c r="Z1584" s="1" t="s">
        <v>1741</v>
      </c>
      <c r="AA1584" s="1" t="s">
        <v>6956</v>
      </c>
      <c r="AB1584" s="1"/>
      <c r="AC1584" s="1"/>
      <c r="AD1584" s="1"/>
      <c r="AE1584" s="1"/>
      <c r="AG1584" s="2" t="str">
        <f>"1913097501"</f>
        <v>1913097501</v>
      </c>
      <c r="AH1584" s="2" t="str">
        <f>"9781913097509"</f>
        <v>9781913097509</v>
      </c>
      <c r="AI1584" s="1">
        <v>0.0</v>
      </c>
      <c r="AJ1584" s="1">
        <v>4.18</v>
      </c>
      <c r="AK1584" s="1" t="s">
        <v>138</v>
      </c>
      <c r="AL1584" s="1" t="s">
        <v>28</v>
      </c>
      <c r="AM1584" s="1">
        <v>345.0</v>
      </c>
      <c r="AN1584" s="1">
        <v>2021.0</v>
      </c>
      <c r="AO1584" s="1">
        <v>2021.0</v>
      </c>
      <c r="AQ1584" s="3">
        <v>45046.0</v>
      </c>
      <c r="AR1584" s="1" t="s">
        <v>31</v>
      </c>
      <c r="AS1584" s="1" t="s">
        <v>6957</v>
      </c>
      <c r="AT1584" s="1" t="s">
        <v>31</v>
      </c>
      <c r="AX1584" s="1">
        <v>0.0</v>
      </c>
      <c r="AY1584" s="1">
        <v>0.0</v>
      </c>
    </row>
    <row r="1585" spans="20:51" ht="15.75" hidden="1">
      <c r="T1585" s="1">
        <v>6.1889842E7</v>
      </c>
      <c r="U1585" s="1"/>
      <c r="V1585" s="1"/>
      <c r="W1585" s="1"/>
      <c r="X1585" s="1"/>
      <c r="Y1585" s="1" t="s">
        <v>6958</v>
      </c>
      <c r="Z1585" s="1" t="s">
        <v>1741</v>
      </c>
      <c r="AA1585" s="1" t="s">
        <v>6956</v>
      </c>
      <c r="AB1585" s="1"/>
      <c r="AC1585" s="1"/>
      <c r="AD1585" s="1"/>
      <c r="AE1585" s="1"/>
      <c r="AG1585" s="2" t="str">
        <f>"1804270407"</f>
        <v>1804270407</v>
      </c>
      <c r="AH1585" s="2" t="str">
        <f>"9781804270400"</f>
        <v>9781804270400</v>
      </c>
      <c r="AI1585" s="1">
        <v>0.0</v>
      </c>
      <c r="AJ1585" s="1">
        <v>3.45</v>
      </c>
      <c r="AK1585" s="1" t="s">
        <v>138</v>
      </c>
      <c r="AL1585" s="1" t="s">
        <v>28</v>
      </c>
      <c r="AM1585" s="1">
        <v>368.0</v>
      </c>
      <c r="AN1585" s="1">
        <v>2024.0</v>
      </c>
      <c r="AO1585" s="1">
        <v>2023.0</v>
      </c>
      <c r="AQ1585" s="3">
        <v>45046.0</v>
      </c>
      <c r="AR1585" s="1" t="s">
        <v>31</v>
      </c>
      <c r="AS1585" s="1" t="s">
        <v>6959</v>
      </c>
      <c r="AT1585" s="1" t="s">
        <v>31</v>
      </c>
      <c r="AX1585" s="1">
        <v>0.0</v>
      </c>
      <c r="AY1585" s="1">
        <v>0.0</v>
      </c>
    </row>
    <row r="1586" spans="20:51" ht="15.75" hidden="1">
      <c r="T1586" s="1">
        <v>502740.0</v>
      </c>
      <c r="U1586" s="1"/>
      <c r="V1586" s="1"/>
      <c r="W1586" s="1"/>
      <c r="X1586" s="1"/>
      <c r="Y1586" s="1" t="s">
        <v>6960</v>
      </c>
      <c r="Z1586" s="1" t="s">
        <v>6961</v>
      </c>
      <c r="AA1586" s="1" t="s">
        <v>6962</v>
      </c>
      <c r="AB1586" s="1"/>
      <c r="AC1586" s="1"/>
      <c r="AD1586" s="1"/>
      <c r="AE1586" s="1"/>
      <c r="AF1586" s="1" t="s">
        <v>6963</v>
      </c>
      <c r="AG1586" s="2" t="str">
        <f>"0553087258"</f>
        <v>0553087258</v>
      </c>
      <c r="AH1586" s="2" t="str">
        <f>"9780553087253"</f>
        <v>9780553087253</v>
      </c>
      <c r="AI1586" s="1">
        <v>0.0</v>
      </c>
      <c r="AJ1586" s="1">
        <v>4.2</v>
      </c>
      <c r="AK1586" s="1" t="s">
        <v>2550</v>
      </c>
      <c r="AL1586" s="1" t="s">
        <v>28</v>
      </c>
      <c r="AM1586" s="1">
        <v>212.0</v>
      </c>
      <c r="AN1586" s="1">
        <v>1974.0</v>
      </c>
      <c r="AO1586" s="1">
        <v>1972.0</v>
      </c>
      <c r="AQ1586" s="3">
        <v>45032.0</v>
      </c>
      <c r="AR1586" s="1" t="s">
        <v>31</v>
      </c>
      <c r="AS1586" s="1" t="s">
        <v>6964</v>
      </c>
      <c r="AT1586" s="1" t="s">
        <v>31</v>
      </c>
      <c r="AX1586" s="1">
        <v>0.0</v>
      </c>
      <c r="AY1586" s="1">
        <v>0.0</v>
      </c>
    </row>
    <row r="1587" spans="20:51" ht="15.75" hidden="1">
      <c r="T1587" s="1">
        <v>5.0358154E7</v>
      </c>
      <c r="U1587" s="1"/>
      <c r="V1587" s="1"/>
      <c r="W1587" s="1"/>
      <c r="X1587" s="1"/>
      <c r="Y1587" s="1" t="s">
        <v>6965</v>
      </c>
      <c r="Z1587" s="1" t="s">
        <v>6966</v>
      </c>
      <c r="AA1587" s="1" t="s">
        <v>6967</v>
      </c>
      <c r="AB1587" s="1"/>
      <c r="AC1587" s="1"/>
      <c r="AD1587" s="1"/>
      <c r="AE1587" s="1"/>
      <c r="AG1587" s="2" t="str">
        <f>"0711248834"</f>
        <v>0711248834</v>
      </c>
      <c r="AH1587" s="2" t="str">
        <f>"9780711248830"</f>
        <v>9780711248830</v>
      </c>
      <c r="AI1587" s="1">
        <v>0.0</v>
      </c>
      <c r="AJ1587" s="1">
        <v>4.32</v>
      </c>
      <c r="AK1587" s="1" t="s">
        <v>5687</v>
      </c>
      <c r="AL1587" s="1" t="s">
        <v>41</v>
      </c>
      <c r="AM1587" s="1">
        <v>240.0</v>
      </c>
      <c r="AN1587" s="1">
        <v>2020.0</v>
      </c>
      <c r="AQ1587" s="3">
        <v>45023.0</v>
      </c>
      <c r="AR1587" s="1" t="s">
        <v>31</v>
      </c>
      <c r="AS1587" s="1" t="s">
        <v>6968</v>
      </c>
      <c r="AT1587" s="1" t="s">
        <v>31</v>
      </c>
      <c r="AX1587" s="1">
        <v>0.0</v>
      </c>
      <c r="AY1587" s="1">
        <v>0.0</v>
      </c>
    </row>
    <row r="1588" spans="20:51" ht="15.75" hidden="1">
      <c r="T1588" s="1">
        <v>7243116.0</v>
      </c>
      <c r="U1588" s="1"/>
      <c r="V1588" s="1"/>
      <c r="W1588" s="1"/>
      <c r="X1588" s="1"/>
      <c r="Y1588" s="1" t="s">
        <v>6969</v>
      </c>
      <c r="Z1588" s="1" t="s">
        <v>6970</v>
      </c>
      <c r="AA1588" s="1" t="s">
        <v>6971</v>
      </c>
      <c r="AB1588" s="1"/>
      <c r="AC1588" s="1"/>
      <c r="AD1588" s="1"/>
      <c r="AE1588" s="1"/>
      <c r="AG1588" s="2" t="str">
        <f>"081302482X"</f>
        <v>081302482X</v>
      </c>
      <c r="AH1588" s="2" t="str">
        <f>"9780813024820"</f>
        <v>9780813024820</v>
      </c>
      <c r="AI1588" s="1">
        <v>0.0</v>
      </c>
      <c r="AJ1588" s="1">
        <v>0.0</v>
      </c>
      <c r="AK1588" s="1" t="s">
        <v>6972</v>
      </c>
      <c r="AL1588" s="1" t="s">
        <v>41</v>
      </c>
      <c r="AM1588" s="1">
        <v>224.0</v>
      </c>
      <c r="AN1588" s="1">
        <v>2002.0</v>
      </c>
      <c r="AO1588" s="1">
        <v>2002.0</v>
      </c>
      <c r="AQ1588" s="3">
        <v>45023.0</v>
      </c>
      <c r="AR1588" s="1" t="s">
        <v>31</v>
      </c>
      <c r="AS1588" s="1" t="s">
        <v>6973</v>
      </c>
      <c r="AT1588" s="1" t="s">
        <v>31</v>
      </c>
      <c r="AX1588" s="1">
        <v>0.0</v>
      </c>
      <c r="AY1588" s="1">
        <v>0.0</v>
      </c>
    </row>
    <row r="1589" spans="20:51" ht="15.75" hidden="1">
      <c r="T1589" s="1">
        <v>16690.0</v>
      </c>
      <c r="U1589" s="1"/>
      <c r="V1589" s="1"/>
      <c r="W1589" s="1"/>
      <c r="X1589" s="1"/>
      <c r="Y1589" s="1" t="s">
        <v>6974</v>
      </c>
      <c r="Z1589" s="1" t="s">
        <v>6975</v>
      </c>
      <c r="AA1589" s="1" t="s">
        <v>6976</v>
      </c>
      <c r="AB1589" s="1"/>
      <c r="AC1589" s="1"/>
      <c r="AD1589" s="1"/>
      <c r="AE1589" s="1"/>
      <c r="AG1589" s="2" t="str">
        <f>"0340837942"</f>
        <v>0340837942</v>
      </c>
      <c r="AH1589" s="2" t="str">
        <f>"9780340837948"</f>
        <v>9780340837948</v>
      </c>
      <c r="AI1589" s="1">
        <v>0.0</v>
      </c>
      <c r="AJ1589" s="1">
        <v>4.16</v>
      </c>
      <c r="AK1589" s="1" t="s">
        <v>6977</v>
      </c>
      <c r="AL1589" s="1" t="s">
        <v>28</v>
      </c>
      <c r="AM1589" s="1">
        <v>288.0</v>
      </c>
      <c r="AN1589" s="1">
        <v>2005.0</v>
      </c>
      <c r="AO1589" s="1">
        <v>1966.0</v>
      </c>
      <c r="AQ1589" s="3">
        <v>45021.0</v>
      </c>
      <c r="AR1589" s="1" t="s">
        <v>31</v>
      </c>
      <c r="AS1589" s="1" t="s">
        <v>6978</v>
      </c>
      <c r="AT1589" s="1" t="s">
        <v>31</v>
      </c>
      <c r="AX1589" s="1">
        <v>0.0</v>
      </c>
      <c r="AY1589" s="1">
        <v>0.0</v>
      </c>
    </row>
    <row r="1590" spans="20:51" ht="15.75" hidden="1">
      <c r="T1590" s="1">
        <v>823647.0</v>
      </c>
      <c r="U1590" s="1"/>
      <c r="V1590" s="1"/>
      <c r="W1590" s="1"/>
      <c r="X1590" s="1"/>
      <c r="Y1590" s="1" t="s">
        <v>6979</v>
      </c>
      <c r="Z1590" s="1" t="s">
        <v>6980</v>
      </c>
      <c r="AA1590" s="1" t="s">
        <v>6981</v>
      </c>
      <c r="AB1590" s="1"/>
      <c r="AC1590" s="1"/>
      <c r="AD1590" s="1"/>
      <c r="AE1590" s="1"/>
      <c r="AF1590" s="1" t="s">
        <v>6982</v>
      </c>
      <c r="AG1590" s="2" t="str">
        <f>"0231073054"</f>
        <v>0231073054</v>
      </c>
      <c r="AH1590" s="2" t="str">
        <f>"9780231073059"</f>
        <v>9780231073059</v>
      </c>
      <c r="AI1590" s="1">
        <v>0.0</v>
      </c>
      <c r="AJ1590" s="1">
        <v>3.48</v>
      </c>
      <c r="AK1590" s="1" t="s">
        <v>6983</v>
      </c>
      <c r="AL1590" s="1" t="s">
        <v>28</v>
      </c>
      <c r="AM1590" s="1">
        <v>228.0</v>
      </c>
      <c r="AN1590" s="1">
        <v>1990.0</v>
      </c>
      <c r="AO1590" s="1">
        <v>1186.0</v>
      </c>
      <c r="AQ1590" s="3">
        <v>45020.0</v>
      </c>
      <c r="AR1590" s="1" t="s">
        <v>31</v>
      </c>
      <c r="AS1590" s="1" t="s">
        <v>6984</v>
      </c>
      <c r="AT1590" s="1" t="s">
        <v>31</v>
      </c>
      <c r="AX1590" s="1">
        <v>0.0</v>
      </c>
      <c r="AY1590" s="1">
        <v>0.0</v>
      </c>
    </row>
    <row r="1591" spans="20:51" ht="15.75" hidden="1">
      <c r="T1591" s="1">
        <v>6282753.0</v>
      </c>
      <c r="U1591" s="1"/>
      <c r="V1591" s="1"/>
      <c r="W1591" s="1"/>
      <c r="X1591" s="1"/>
      <c r="Y1591" s="1" t="s">
        <v>6985</v>
      </c>
      <c r="Z1591" s="1" t="s">
        <v>6986</v>
      </c>
      <c r="AA1591" s="1" t="s">
        <v>6987</v>
      </c>
      <c r="AB1591" s="1"/>
      <c r="AC1591" s="1"/>
      <c r="AD1591" s="1"/>
      <c r="AE1591" s="1"/>
      <c r="AF1591" s="1" t="s">
        <v>6988</v>
      </c>
      <c r="AG1591" s="2" t="str">
        <f>"0307266761"</f>
        <v>0307266761</v>
      </c>
      <c r="AH1591" s="2" t="str">
        <f>"9780307266767"</f>
        <v>9780307266767</v>
      </c>
      <c r="AI1591" s="1">
        <v>0.0</v>
      </c>
      <c r="AJ1591" s="1">
        <v>3.77</v>
      </c>
      <c r="AK1591" s="1" t="s">
        <v>634</v>
      </c>
      <c r="AL1591" s="1" t="s">
        <v>41</v>
      </c>
      <c r="AM1591" s="1">
        <v>536.0</v>
      </c>
      <c r="AN1591" s="1">
        <v>2009.0</v>
      </c>
      <c r="AO1591" s="1">
        <v>2008.0</v>
      </c>
      <c r="AQ1591" s="3">
        <v>45017.0</v>
      </c>
      <c r="AR1591" s="1" t="s">
        <v>31</v>
      </c>
      <c r="AS1591" s="1" t="s">
        <v>6989</v>
      </c>
      <c r="AT1591" s="1" t="s">
        <v>31</v>
      </c>
      <c r="AX1591" s="1">
        <v>0.0</v>
      </c>
      <c r="AY1591" s="1">
        <v>0.0</v>
      </c>
    </row>
    <row r="1592" spans="20:51" ht="15.75" hidden="1">
      <c r="T1592" s="1">
        <v>6.115374E7</v>
      </c>
      <c r="U1592" s="1"/>
      <c r="V1592" s="1"/>
      <c r="W1592" s="1"/>
      <c r="X1592" s="1"/>
      <c r="Y1592" s="1" t="s">
        <v>6990</v>
      </c>
      <c r="Z1592" s="1" t="s">
        <v>6991</v>
      </c>
      <c r="AA1592" s="1" t="s">
        <v>6992</v>
      </c>
      <c r="AB1592" s="1"/>
      <c r="AC1592" s="1"/>
      <c r="AD1592" s="1"/>
      <c r="AE1592" s="1"/>
      <c r="AG1592" s="2" t="str">
        <f>"0593242173"</f>
        <v>0593242173</v>
      </c>
      <c r="AH1592" s="2" t="str">
        <f>"9780593242179"</f>
        <v>9780593242179</v>
      </c>
      <c r="AI1592" s="1">
        <v>0.0</v>
      </c>
      <c r="AJ1592" s="1">
        <v>3.9</v>
      </c>
      <c r="AK1592" s="1" t="s">
        <v>6993</v>
      </c>
      <c r="AL1592" s="1" t="s">
        <v>41</v>
      </c>
      <c r="AM1592" s="1">
        <v>240.0</v>
      </c>
      <c r="AN1592" s="1">
        <v>2023.0</v>
      </c>
      <c r="AO1592" s="1">
        <v>2023.0</v>
      </c>
      <c r="AQ1592" s="3">
        <v>45015.0</v>
      </c>
      <c r="AR1592" s="1" t="s">
        <v>31</v>
      </c>
      <c r="AS1592" s="1" t="s">
        <v>6994</v>
      </c>
      <c r="AT1592" s="1" t="s">
        <v>31</v>
      </c>
      <c r="AX1592" s="1">
        <v>0.0</v>
      </c>
      <c r="AY1592" s="1">
        <v>0.0</v>
      </c>
    </row>
    <row r="1593" spans="20:51" ht="15.75" hidden="1">
      <c r="T1593" s="1">
        <v>5.6649293E7</v>
      </c>
      <c r="U1593" s="1"/>
      <c r="V1593" s="1"/>
      <c r="W1593" s="1"/>
      <c r="X1593" s="1"/>
      <c r="Y1593" s="1" t="s">
        <v>6995</v>
      </c>
      <c r="Z1593" s="1" t="s">
        <v>6996</v>
      </c>
      <c r="AA1593" s="1" t="s">
        <v>6997</v>
      </c>
      <c r="AB1593" s="1"/>
      <c r="AC1593" s="1"/>
      <c r="AD1593" s="1"/>
      <c r="AE1593" s="1"/>
      <c r="AF1593" s="1" t="s">
        <v>6998</v>
      </c>
      <c r="AG1593" s="2" t="str">
        <f>"1913097307"</f>
        <v>1913097307</v>
      </c>
      <c r="AH1593" s="2" t="str">
        <f>"9781913097301"</f>
        <v>9781913097301</v>
      </c>
      <c r="AI1593" s="1">
        <v>0.0</v>
      </c>
      <c r="AJ1593" s="1">
        <v>3.79</v>
      </c>
      <c r="AK1593" s="1" t="s">
        <v>138</v>
      </c>
      <c r="AL1593" s="1" t="s">
        <v>28</v>
      </c>
      <c r="AM1593" s="1">
        <v>488.0</v>
      </c>
      <c r="AN1593" s="1">
        <v>2021.0</v>
      </c>
      <c r="AO1593" s="1">
        <v>2018.0</v>
      </c>
      <c r="AQ1593" s="3">
        <v>45008.0</v>
      </c>
      <c r="AR1593" s="1" t="s">
        <v>31</v>
      </c>
      <c r="AS1593" s="1" t="s">
        <v>6999</v>
      </c>
      <c r="AT1593" s="1" t="s">
        <v>31</v>
      </c>
      <c r="AX1593" s="1">
        <v>0.0</v>
      </c>
      <c r="AY1593" s="1">
        <v>0.0</v>
      </c>
    </row>
    <row r="1594" spans="20:51" ht="15.75" hidden="1">
      <c r="T1594" s="1">
        <v>637045.0</v>
      </c>
      <c r="U1594" s="1"/>
      <c r="V1594" s="1"/>
      <c r="W1594" s="1"/>
      <c r="X1594" s="1"/>
      <c r="Y1594" s="1" t="s">
        <v>7000</v>
      </c>
      <c r="Z1594" s="1" t="s">
        <v>7001</v>
      </c>
      <c r="AA1594" s="1" t="s">
        <v>7002</v>
      </c>
      <c r="AB1594" s="1"/>
      <c r="AC1594" s="1"/>
      <c r="AD1594" s="1"/>
      <c r="AE1594" s="1"/>
      <c r="AG1594" s="2" t="str">
        <f>"0907871542"</f>
        <v>0907871542</v>
      </c>
      <c r="AH1594" s="2" t="str">
        <f>"9780907871545"</f>
        <v>9780907871545</v>
      </c>
      <c r="AI1594" s="1">
        <v>0.0</v>
      </c>
      <c r="AJ1594" s="1">
        <v>4.07</v>
      </c>
      <c r="AK1594" s="1" t="s">
        <v>7003</v>
      </c>
      <c r="AL1594" s="1" t="s">
        <v>28</v>
      </c>
      <c r="AM1594" s="1">
        <v>340.0</v>
      </c>
      <c r="AN1594" s="1">
        <v>2005.0</v>
      </c>
      <c r="AO1594" s="1">
        <v>1968.0</v>
      </c>
      <c r="AQ1594" s="3">
        <v>44987.0</v>
      </c>
      <c r="AR1594" s="1" t="s">
        <v>31</v>
      </c>
      <c r="AS1594" s="1" t="s">
        <v>7004</v>
      </c>
      <c r="AT1594" s="1" t="s">
        <v>31</v>
      </c>
      <c r="AX1594" s="1">
        <v>0.0</v>
      </c>
      <c r="AY1594" s="1">
        <v>0.0</v>
      </c>
    </row>
    <row r="1595" spans="20:51" ht="15.75" hidden="1">
      <c r="T1595" s="1">
        <v>2.5330189E7</v>
      </c>
      <c r="U1595" s="1"/>
      <c r="V1595" s="1"/>
      <c r="W1595" s="1"/>
      <c r="X1595" s="1"/>
      <c r="Y1595" s="1" t="s">
        <v>7005</v>
      </c>
      <c r="Z1595" s="1" t="s">
        <v>6537</v>
      </c>
      <c r="AA1595" s="1" t="s">
        <v>6538</v>
      </c>
      <c r="AB1595" s="1"/>
      <c r="AC1595" s="1"/>
      <c r="AD1595" s="1"/>
      <c r="AE1595" s="1"/>
      <c r="AG1595" s="2" t="str">
        <f>"1566894131"</f>
        <v>1566894131</v>
      </c>
      <c r="AH1595" s="2" t="str">
        <f>"9781566894135"</f>
        <v>9781566894135</v>
      </c>
      <c r="AI1595" s="1">
        <v>0.0</v>
      </c>
      <c r="AJ1595" s="1">
        <v>4.02</v>
      </c>
      <c r="AK1595" s="1" t="s">
        <v>4008</v>
      </c>
      <c r="AL1595" s="1" t="s">
        <v>28</v>
      </c>
      <c r="AM1595" s="1">
        <v>220.0</v>
      </c>
      <c r="AN1595" s="1">
        <v>2016.0</v>
      </c>
      <c r="AO1595" s="1">
        <v>2016.0</v>
      </c>
      <c r="AQ1595" s="3">
        <v>44987.0</v>
      </c>
      <c r="AR1595" s="1" t="s">
        <v>31</v>
      </c>
      <c r="AS1595" s="1" t="s">
        <v>7006</v>
      </c>
      <c r="AT1595" s="1" t="s">
        <v>31</v>
      </c>
      <c r="AX1595" s="1">
        <v>0.0</v>
      </c>
      <c r="AY1595" s="1">
        <v>0.0</v>
      </c>
    </row>
    <row r="1596" spans="20:51" ht="15.75" hidden="1">
      <c r="T1596" s="1">
        <v>1850994.0</v>
      </c>
      <c r="U1596" s="1"/>
      <c r="V1596" s="1"/>
      <c r="W1596" s="1"/>
      <c r="X1596" s="1"/>
      <c r="Y1596" s="1" t="s">
        <v>7007</v>
      </c>
      <c r="Z1596" s="1" t="s">
        <v>7008</v>
      </c>
      <c r="AA1596" s="1" t="s">
        <v>7009</v>
      </c>
      <c r="AB1596" s="1"/>
      <c r="AC1596" s="1"/>
      <c r="AD1596" s="1"/>
      <c r="AE1596" s="1"/>
      <c r="AG1596" s="2" t="str">
        <f>"0807610526"</f>
        <v>0807610526</v>
      </c>
      <c r="AH1596" s="2" t="str">
        <f>"9780807610527"</f>
        <v>9780807610527</v>
      </c>
      <c r="AI1596" s="1">
        <v>0.0</v>
      </c>
      <c r="AJ1596" s="1">
        <v>4.27</v>
      </c>
      <c r="AK1596" s="1" t="s">
        <v>5505</v>
      </c>
      <c r="AL1596" s="1" t="s">
        <v>28</v>
      </c>
      <c r="AM1596" s="1">
        <v>175.0</v>
      </c>
      <c r="AN1596" s="1">
        <v>1982.0</v>
      </c>
      <c r="AO1596" s="1">
        <v>1930.0</v>
      </c>
      <c r="AQ1596" s="3">
        <v>44986.0</v>
      </c>
      <c r="AR1596" s="1" t="s">
        <v>31</v>
      </c>
      <c r="AS1596" s="1" t="s">
        <v>7010</v>
      </c>
      <c r="AT1596" s="1" t="s">
        <v>31</v>
      </c>
      <c r="AX1596" s="1">
        <v>0.0</v>
      </c>
      <c r="AY1596" s="1">
        <v>0.0</v>
      </c>
    </row>
    <row r="1597" spans="20:51" ht="15.75" hidden="1">
      <c r="T1597" s="1">
        <v>7701560.0</v>
      </c>
      <c r="U1597" s="1"/>
      <c r="V1597" s="1"/>
      <c r="W1597" s="1"/>
      <c r="X1597" s="1"/>
      <c r="Y1597" s="1" t="s">
        <v>7011</v>
      </c>
      <c r="Z1597" s="1" t="s">
        <v>7012</v>
      </c>
      <c r="AA1597" s="1" t="s">
        <v>7013</v>
      </c>
      <c r="AB1597" s="1"/>
      <c r="AC1597" s="1"/>
      <c r="AD1597" s="1"/>
      <c r="AE1597" s="1"/>
      <c r="AG1597" s="2" t="str">
        <f>"0982237634"</f>
        <v>0982237634</v>
      </c>
      <c r="AH1597" s="2" t="str">
        <f>"9780982237632"</f>
        <v>9780982237632</v>
      </c>
      <c r="AI1597" s="1">
        <v>0.0</v>
      </c>
      <c r="AJ1597" s="1">
        <v>4.17</v>
      </c>
      <c r="AK1597" s="1" t="s">
        <v>7014</v>
      </c>
      <c r="AL1597" s="1" t="s">
        <v>28</v>
      </c>
      <c r="AM1597" s="1">
        <v>104.0</v>
      </c>
      <c r="AN1597" s="1">
        <v>2010.0</v>
      </c>
      <c r="AO1597" s="1">
        <v>2010.0</v>
      </c>
      <c r="AQ1597" s="3">
        <v>44980.0</v>
      </c>
      <c r="AR1597" s="1" t="s">
        <v>31</v>
      </c>
      <c r="AS1597" s="1" t="s">
        <v>7015</v>
      </c>
      <c r="AT1597" s="1" t="s">
        <v>31</v>
      </c>
      <c r="AX1597" s="1">
        <v>0.0</v>
      </c>
      <c r="AY1597" s="1">
        <v>0.0</v>
      </c>
    </row>
    <row r="1598" spans="20:51" ht="15.75" hidden="1">
      <c r="T1598" s="1">
        <v>6.1490425E7</v>
      </c>
      <c r="U1598" s="1"/>
      <c r="V1598" s="1"/>
      <c r="W1598" s="1"/>
      <c r="X1598" s="1"/>
      <c r="Y1598" s="1" t="s">
        <v>7016</v>
      </c>
      <c r="Z1598" s="1" t="s">
        <v>7017</v>
      </c>
      <c r="AA1598" s="1" t="s">
        <v>7018</v>
      </c>
      <c r="AB1598" s="1"/>
      <c r="AC1598" s="1"/>
      <c r="AD1598" s="1"/>
      <c r="AE1598" s="1"/>
      <c r="AF1598" s="1" t="s">
        <v>7019</v>
      </c>
      <c r="AG1598" s="2" t="str">
        <f>"1628974443"</f>
        <v>1628974443</v>
      </c>
      <c r="AH1598" s="2" t="str">
        <f>"9781628974447"</f>
        <v>9781628974447</v>
      </c>
      <c r="AI1598" s="1">
        <v>0.0</v>
      </c>
      <c r="AJ1598" s="1">
        <v>4.04</v>
      </c>
      <c r="AK1598" s="1" t="s">
        <v>27</v>
      </c>
      <c r="AL1598" s="1" t="s">
        <v>28</v>
      </c>
      <c r="AM1598" s="1">
        <v>598.0</v>
      </c>
      <c r="AN1598" s="1">
        <v>2023.0</v>
      </c>
      <c r="AO1598" s="1">
        <v>2004.0</v>
      </c>
      <c r="AQ1598" s="3">
        <v>44961.0</v>
      </c>
      <c r="AR1598" s="1" t="s">
        <v>31</v>
      </c>
      <c r="AS1598" s="1" t="s">
        <v>7020</v>
      </c>
      <c r="AT1598" s="1" t="s">
        <v>31</v>
      </c>
      <c r="AX1598" s="1">
        <v>0.0</v>
      </c>
      <c r="AY1598" s="1">
        <v>0.0</v>
      </c>
    </row>
    <row r="1599" spans="20:51" ht="15.75" hidden="1">
      <c r="T1599" s="1">
        <v>3997923.0</v>
      </c>
      <c r="U1599" s="1"/>
      <c r="V1599" s="1"/>
      <c r="W1599" s="1"/>
      <c r="X1599" s="1"/>
      <c r="Y1599" s="1" t="s">
        <v>7021</v>
      </c>
      <c r="Z1599" s="1" t="s">
        <v>7022</v>
      </c>
      <c r="AA1599" s="1" t="s">
        <v>7023</v>
      </c>
      <c r="AB1599" s="1"/>
      <c r="AC1599" s="1"/>
      <c r="AD1599" s="1"/>
      <c r="AE1599" s="1"/>
      <c r="AG1599" s="2" t="str">
        <f>"0810337800"</f>
        <v>0810337800</v>
      </c>
      <c r="AH1599" s="2" t="str">
        <f>"9780810337800"</f>
        <v>9780810337800</v>
      </c>
      <c r="AI1599" s="1">
        <v>0.0</v>
      </c>
      <c r="AJ1599" s="1">
        <v>2.67</v>
      </c>
      <c r="AK1599" s="1" t="s">
        <v>7024</v>
      </c>
      <c r="AL1599" s="1" t="s">
        <v>41</v>
      </c>
      <c r="AM1599" s="1">
        <v>288.0</v>
      </c>
      <c r="AN1599" s="1">
        <v>1976.0</v>
      </c>
      <c r="AO1599" s="1">
        <v>1911.0</v>
      </c>
      <c r="AQ1599" s="3">
        <v>44960.0</v>
      </c>
      <c r="AR1599" s="1" t="s">
        <v>31</v>
      </c>
      <c r="AS1599" s="1" t="s">
        <v>7025</v>
      </c>
      <c r="AT1599" s="1" t="s">
        <v>31</v>
      </c>
      <c r="AX1599" s="1">
        <v>0.0</v>
      </c>
      <c r="AY1599" s="1">
        <v>0.0</v>
      </c>
    </row>
    <row r="1600" spans="20:51" ht="15.75" hidden="1">
      <c r="T1600" s="1">
        <v>9293201.0</v>
      </c>
      <c r="U1600" s="1"/>
      <c r="V1600" s="1"/>
      <c r="W1600" s="1"/>
      <c r="X1600" s="1"/>
      <c r="Y1600" s="1" t="s">
        <v>7026</v>
      </c>
      <c r="Z1600" s="1" t="s">
        <v>7027</v>
      </c>
      <c r="AA1600" s="1" t="s">
        <v>7028</v>
      </c>
      <c r="AB1600" s="1"/>
      <c r="AC1600" s="1"/>
      <c r="AD1600" s="1"/>
      <c r="AE1600" s="1"/>
      <c r="AG1600" s="2" t="str">
        <f>"0404184650"</f>
        <v>0404184650</v>
      </c>
      <c r="AH1600" s="2" t="str">
        <f>"9780404184650"</f>
        <v>9780404184650</v>
      </c>
      <c r="AI1600" s="1">
        <v>0.0</v>
      </c>
      <c r="AJ1600" s="1">
        <v>0.0</v>
      </c>
      <c r="AK1600" s="1" t="s">
        <v>7029</v>
      </c>
      <c r="AL1600" s="1" t="s">
        <v>41</v>
      </c>
      <c r="AN1600" s="1">
        <v>1979.0</v>
      </c>
      <c r="AO1600" s="1">
        <v>1979.0</v>
      </c>
      <c r="AQ1600" s="3">
        <v>44960.0</v>
      </c>
      <c r="AR1600" s="1" t="s">
        <v>31</v>
      </c>
      <c r="AS1600" s="1" t="s">
        <v>7030</v>
      </c>
      <c r="AT1600" s="1" t="s">
        <v>31</v>
      </c>
      <c r="AX1600" s="1">
        <v>0.0</v>
      </c>
      <c r="AY1600" s="1">
        <v>0.0</v>
      </c>
    </row>
    <row r="1601" spans="20:51" ht="15.75" hidden="1">
      <c r="T1601" s="1">
        <v>786014.0</v>
      </c>
      <c r="U1601" s="1"/>
      <c r="V1601" s="1"/>
      <c r="W1601" s="1"/>
      <c r="X1601" s="1"/>
      <c r="Y1601" s="1" t="s">
        <v>7031</v>
      </c>
      <c r="Z1601" s="1" t="s">
        <v>7032</v>
      </c>
      <c r="AA1601" s="1" t="s">
        <v>7033</v>
      </c>
      <c r="AB1601" s="1"/>
      <c r="AC1601" s="1"/>
      <c r="AD1601" s="1"/>
      <c r="AE1601" s="1"/>
      <c r="AF1601" s="1" t="s">
        <v>7034</v>
      </c>
      <c r="AG1601" s="2" t="str">
        <f>"0874622212"</f>
        <v>0874622212</v>
      </c>
      <c r="AH1601" s="2" t="str">
        <f>"9780874622218"</f>
        <v>9780874622218</v>
      </c>
      <c r="AI1601" s="1">
        <v>0.0</v>
      </c>
      <c r="AJ1601" s="1">
        <v>3.99</v>
      </c>
      <c r="AK1601" s="1" t="s">
        <v>2469</v>
      </c>
      <c r="AL1601" s="1" t="s">
        <v>28</v>
      </c>
      <c r="AM1601" s="1">
        <v>266.0</v>
      </c>
      <c r="AN1601" s="1">
        <v>1980.0</v>
      </c>
      <c r="AO1601" s="1">
        <v>528.0</v>
      </c>
      <c r="AQ1601" s="3">
        <v>44960.0</v>
      </c>
      <c r="AR1601" s="1" t="s">
        <v>31</v>
      </c>
      <c r="AS1601" s="1" t="s">
        <v>7035</v>
      </c>
      <c r="AT1601" s="1" t="s">
        <v>31</v>
      </c>
      <c r="AX1601" s="1">
        <v>0.0</v>
      </c>
      <c r="AY1601" s="1">
        <v>0.0</v>
      </c>
    </row>
    <row r="1602" spans="20:51" ht="15.75" hidden="1">
      <c r="T1602" s="1">
        <v>6891386.0</v>
      </c>
      <c r="U1602" s="1"/>
      <c r="V1602" s="1"/>
      <c r="W1602" s="1"/>
      <c r="X1602" s="1"/>
      <c r="Y1602" s="1" t="s">
        <v>7036</v>
      </c>
      <c r="Z1602" s="1" t="s">
        <v>7032</v>
      </c>
      <c r="AA1602" s="1" t="s">
        <v>7033</v>
      </c>
      <c r="AB1602" s="1"/>
      <c r="AC1602" s="1"/>
      <c r="AD1602" s="1"/>
      <c r="AE1602" s="1"/>
      <c r="AG1602" s="2" t="str">
        <f>"141915625X"</f>
        <v>141915625X</v>
      </c>
      <c r="AH1602" s="2" t="str">
        <f>"9781419156250"</f>
        <v>9781419156250</v>
      </c>
      <c r="AI1602" s="1">
        <v>0.0</v>
      </c>
      <c r="AJ1602" s="1">
        <v>3.76</v>
      </c>
      <c r="AK1602" s="1" t="s">
        <v>7037</v>
      </c>
      <c r="AL1602" s="1" t="s">
        <v>28</v>
      </c>
      <c r="AM1602" s="1">
        <v>48.0</v>
      </c>
      <c r="AN1602" s="1">
        <v>2004.0</v>
      </c>
      <c r="AO1602" s="1">
        <v>1958.0</v>
      </c>
      <c r="AQ1602" s="3">
        <v>44960.0</v>
      </c>
      <c r="AR1602" s="1" t="s">
        <v>31</v>
      </c>
      <c r="AS1602" s="1" t="s">
        <v>7038</v>
      </c>
      <c r="AT1602" s="1" t="s">
        <v>31</v>
      </c>
      <c r="AX1602" s="1">
        <v>0.0</v>
      </c>
      <c r="AY1602" s="1">
        <v>0.0</v>
      </c>
    </row>
    <row r="1603" spans="20:51" ht="15.75" hidden="1">
      <c r="T1603" s="1">
        <v>6753296.0</v>
      </c>
      <c r="U1603" s="1"/>
      <c r="V1603" s="1"/>
      <c r="W1603" s="1"/>
      <c r="X1603" s="1"/>
      <c r="Y1603" s="1" t="s">
        <v>7039</v>
      </c>
      <c r="Z1603" s="1" t="s">
        <v>7040</v>
      </c>
      <c r="AA1603" s="1" t="s">
        <v>7041</v>
      </c>
      <c r="AB1603" s="1"/>
      <c r="AC1603" s="1"/>
      <c r="AD1603" s="1"/>
      <c r="AE1603" s="1"/>
      <c r="AG1603" s="2" t="str">
        <f>"0819601489"</f>
        <v>0819601489</v>
      </c>
      <c r="AH1603" s="2" t="str">
        <f>"9780819601483"</f>
        <v>9780819601483</v>
      </c>
      <c r="AI1603" s="1">
        <v>0.0</v>
      </c>
      <c r="AJ1603" s="1">
        <v>3.67</v>
      </c>
      <c r="AQ1603" s="3">
        <v>44960.0</v>
      </c>
      <c r="AR1603" s="1" t="s">
        <v>31</v>
      </c>
      <c r="AS1603" s="1" t="s">
        <v>7042</v>
      </c>
      <c r="AT1603" s="1" t="s">
        <v>31</v>
      </c>
      <c r="AX1603" s="1">
        <v>0.0</v>
      </c>
      <c r="AY1603" s="1">
        <v>0.0</v>
      </c>
    </row>
    <row r="1604" spans="20:51" ht="15.75" hidden="1">
      <c r="T1604" s="1">
        <v>4.8659515E7</v>
      </c>
      <c r="U1604" s="1"/>
      <c r="V1604" s="1"/>
      <c r="W1604" s="1"/>
      <c r="X1604" s="1"/>
      <c r="Y1604" s="1" t="s">
        <v>7043</v>
      </c>
      <c r="Z1604" s="1" t="s">
        <v>4315</v>
      </c>
      <c r="AA1604" s="1" t="s">
        <v>4316</v>
      </c>
      <c r="AB1604" s="1"/>
      <c r="AC1604" s="1"/>
      <c r="AD1604" s="1"/>
      <c r="AE1604" s="1"/>
      <c r="AG1604" s="2" t="str">
        <f>"8494972553"</f>
        <v>8494972553</v>
      </c>
      <c r="AH1604" s="2" t="str">
        <f>"9788494972553"</f>
        <v>9788494972553</v>
      </c>
      <c r="AI1604" s="1">
        <v>0.0</v>
      </c>
      <c r="AJ1604" s="1">
        <v>3.59</v>
      </c>
      <c r="AK1604" s="1" t="s">
        <v>7044</v>
      </c>
      <c r="AL1604" s="1" t="s">
        <v>28</v>
      </c>
      <c r="AM1604" s="1">
        <v>88.0</v>
      </c>
      <c r="AN1604" s="1">
        <v>2019.0</v>
      </c>
      <c r="AQ1604" s="3">
        <v>44960.0</v>
      </c>
      <c r="AR1604" s="1" t="s">
        <v>31</v>
      </c>
      <c r="AS1604" s="1" t="s">
        <v>7045</v>
      </c>
      <c r="AT1604" s="1" t="s">
        <v>31</v>
      </c>
      <c r="AX1604" s="1">
        <v>0.0</v>
      </c>
      <c r="AY1604" s="1">
        <v>0.0</v>
      </c>
    </row>
    <row r="1605" spans="20:51" ht="15.75" hidden="1">
      <c r="T1605" s="1">
        <v>7.9927383E7</v>
      </c>
      <c r="U1605" s="1"/>
      <c r="V1605" s="1"/>
      <c r="W1605" s="1"/>
      <c r="X1605" s="1"/>
      <c r="Y1605" s="1" t="s">
        <v>7046</v>
      </c>
      <c r="Z1605" s="1" t="s">
        <v>7047</v>
      </c>
      <c r="AA1605" s="1" t="s">
        <v>7048</v>
      </c>
      <c r="AB1605" s="1"/>
      <c r="AC1605" s="1"/>
      <c r="AD1605" s="1"/>
      <c r="AE1605" s="1"/>
      <c r="AG1605" s="2" t="str">
        <f>"1245971336"</f>
        <v>1245971336</v>
      </c>
      <c r="AH1605" s="2" t="str">
        <f>"9781245971331"</f>
        <v>9781245971331</v>
      </c>
      <c r="AI1605" s="1">
        <v>0.0</v>
      </c>
      <c r="AJ1605" s="1">
        <v>0.0</v>
      </c>
      <c r="AK1605" s="1" t="s">
        <v>7049</v>
      </c>
      <c r="AL1605" s="1" t="s">
        <v>28</v>
      </c>
      <c r="AM1605" s="1">
        <v>558.0</v>
      </c>
      <c r="AN1605" s="1">
        <v>2011.0</v>
      </c>
      <c r="AQ1605" s="3">
        <v>44960.0</v>
      </c>
      <c r="AR1605" s="1" t="s">
        <v>31</v>
      </c>
      <c r="AS1605" s="1" t="s">
        <v>7050</v>
      </c>
      <c r="AT1605" s="1" t="s">
        <v>31</v>
      </c>
      <c r="AX1605" s="1">
        <v>0.0</v>
      </c>
      <c r="AY1605" s="1">
        <v>0.0</v>
      </c>
    </row>
    <row r="1606" spans="20:51" ht="15.75" hidden="1">
      <c r="T1606" s="1">
        <v>2470204.0</v>
      </c>
      <c r="U1606" s="1"/>
      <c r="V1606" s="1"/>
      <c r="W1606" s="1"/>
      <c r="X1606" s="1"/>
      <c r="Y1606" s="1" t="s">
        <v>7051</v>
      </c>
      <c r="Z1606" s="1" t="s">
        <v>7052</v>
      </c>
      <c r="AA1606" s="1" t="s">
        <v>7053</v>
      </c>
      <c r="AB1606" s="1"/>
      <c r="AC1606" s="1"/>
      <c r="AD1606" s="1"/>
      <c r="AE1606" s="1"/>
      <c r="AG1606" s="2" t="str">
        <f>""</f>
        <v/>
      </c>
      <c r="AH1606" s="2" t="str">
        <f>"9789681603007"</f>
        <v>9789681603007</v>
      </c>
      <c r="AI1606" s="1">
        <v>0.0</v>
      </c>
      <c r="AJ1606" s="1">
        <v>3.99</v>
      </c>
      <c r="AK1606" s="1" t="s">
        <v>6050</v>
      </c>
      <c r="AL1606" s="1" t="s">
        <v>28</v>
      </c>
      <c r="AM1606" s="1">
        <v>355.0</v>
      </c>
      <c r="AN1606" s="1">
        <v>2013.0</v>
      </c>
      <c r="AO1606" s="1">
        <v>1944.0</v>
      </c>
      <c r="AQ1606" s="3">
        <v>44960.0</v>
      </c>
      <c r="AR1606" s="1" t="s">
        <v>31</v>
      </c>
      <c r="AS1606" s="1" t="s">
        <v>7054</v>
      </c>
      <c r="AT1606" s="1" t="s">
        <v>31</v>
      </c>
      <c r="AX1606" s="1">
        <v>0.0</v>
      </c>
      <c r="AY1606" s="1">
        <v>0.0</v>
      </c>
    </row>
    <row r="1607" spans="20:51" ht="15.75" hidden="1">
      <c r="T1607" s="1">
        <v>2.6915632E7</v>
      </c>
      <c r="U1607" s="1"/>
      <c r="V1607" s="1"/>
      <c r="W1607" s="1"/>
      <c r="X1607" s="1"/>
      <c r="Y1607" s="1" t="s">
        <v>7055</v>
      </c>
      <c r="Z1607" s="1" t="s">
        <v>6005</v>
      </c>
      <c r="AA1607" s="1" t="s">
        <v>6006</v>
      </c>
      <c r="AB1607" s="1"/>
      <c r="AC1607" s="1"/>
      <c r="AD1607" s="1"/>
      <c r="AE1607" s="1"/>
      <c r="AG1607" s="2" t="str">
        <f>"1330211839"</f>
        <v>1330211839</v>
      </c>
      <c r="AH1607" s="2" t="str">
        <f>"9781330211830"</f>
        <v>9781330211830</v>
      </c>
      <c r="AI1607" s="1">
        <v>0.0</v>
      </c>
      <c r="AJ1607" s="1">
        <v>0.0</v>
      </c>
      <c r="AK1607" s="1" t="s">
        <v>429</v>
      </c>
      <c r="AL1607" s="1" t="s">
        <v>28</v>
      </c>
      <c r="AM1607" s="1">
        <v>484.0</v>
      </c>
      <c r="AN1607" s="1">
        <v>2017.0</v>
      </c>
      <c r="AO1607" s="1">
        <v>2015.0</v>
      </c>
      <c r="AQ1607" s="3">
        <v>44960.0</v>
      </c>
      <c r="AR1607" s="1" t="s">
        <v>31</v>
      </c>
      <c r="AS1607" s="1" t="s">
        <v>7056</v>
      </c>
      <c r="AT1607" s="1" t="s">
        <v>31</v>
      </c>
      <c r="AX1607" s="1">
        <v>0.0</v>
      </c>
      <c r="AY1607" s="1">
        <v>0.0</v>
      </c>
    </row>
    <row r="1608" spans="20:51" ht="15.75" hidden="1">
      <c r="T1608" s="1">
        <v>1230482.0</v>
      </c>
      <c r="U1608" s="1"/>
      <c r="V1608" s="1"/>
      <c r="W1608" s="1"/>
      <c r="X1608" s="1"/>
      <c r="Y1608" s="1" t="s">
        <v>7057</v>
      </c>
      <c r="Z1608" s="1" t="s">
        <v>7058</v>
      </c>
      <c r="AA1608" s="1" t="s">
        <v>7059</v>
      </c>
      <c r="AB1608" s="1"/>
      <c r="AC1608" s="1"/>
      <c r="AD1608" s="1"/>
      <c r="AE1608" s="1"/>
      <c r="AG1608" s="2" t="str">
        <f>"0333082400"</f>
        <v>0333082400</v>
      </c>
      <c r="AH1608" s="2" t="str">
        <f>"9780333082409"</f>
        <v>9780333082409</v>
      </c>
      <c r="AI1608" s="1">
        <v>0.0</v>
      </c>
      <c r="AJ1608" s="1">
        <v>4.42</v>
      </c>
      <c r="AK1608" s="1" t="s">
        <v>7060</v>
      </c>
      <c r="AL1608" s="1" t="s">
        <v>41</v>
      </c>
      <c r="AN1608" s="1">
        <v>1943.0</v>
      </c>
      <c r="AO1608" s="1">
        <v>1967.0</v>
      </c>
      <c r="AQ1608" s="3">
        <v>44960.0</v>
      </c>
      <c r="AR1608" s="1" t="s">
        <v>31</v>
      </c>
      <c r="AS1608" s="1" t="s">
        <v>7061</v>
      </c>
      <c r="AT1608" s="1" t="s">
        <v>31</v>
      </c>
      <c r="AX1608" s="1">
        <v>0.0</v>
      </c>
      <c r="AY1608" s="1">
        <v>0.0</v>
      </c>
    </row>
    <row r="1609" spans="20:51" ht="15.75" hidden="1">
      <c r="T1609" s="1">
        <v>766938.0</v>
      </c>
      <c r="U1609" s="1"/>
      <c r="V1609" s="1"/>
      <c r="W1609" s="1"/>
      <c r="X1609" s="1"/>
      <c r="Y1609" s="1" t="s">
        <v>7062</v>
      </c>
      <c r="Z1609" s="1" t="s">
        <v>7063</v>
      </c>
      <c r="AA1609" s="1" t="s">
        <v>7064</v>
      </c>
      <c r="AB1609" s="1"/>
      <c r="AC1609" s="1"/>
      <c r="AD1609" s="1"/>
      <c r="AE1609" s="1"/>
      <c r="AG1609" s="2" t="str">
        <f>"0877289425"</f>
        <v>0877289425</v>
      </c>
      <c r="AH1609" s="2" t="str">
        <f>"9780877289425"</f>
        <v>9780877289425</v>
      </c>
      <c r="AI1609" s="1">
        <v>0.0</v>
      </c>
      <c r="AJ1609" s="1">
        <v>3.88</v>
      </c>
      <c r="AK1609" s="1" t="s">
        <v>5032</v>
      </c>
      <c r="AL1609" s="1" t="s">
        <v>28</v>
      </c>
      <c r="AM1609" s="1">
        <v>432.0</v>
      </c>
      <c r="AN1609" s="1">
        <v>2000.0</v>
      </c>
      <c r="AO1609" s="1">
        <v>1801.0</v>
      </c>
      <c r="AQ1609" s="3">
        <v>44960.0</v>
      </c>
      <c r="AR1609" s="1" t="s">
        <v>31</v>
      </c>
      <c r="AS1609" s="1" t="s">
        <v>7065</v>
      </c>
      <c r="AT1609" s="1" t="s">
        <v>31</v>
      </c>
      <c r="AX1609" s="1">
        <v>0.0</v>
      </c>
      <c r="AY1609" s="1">
        <v>0.0</v>
      </c>
    </row>
    <row r="1610" spans="20:51" ht="15.75" hidden="1">
      <c r="T1610" s="1">
        <v>3.2627627E7</v>
      </c>
      <c r="U1610" s="1"/>
      <c r="V1610" s="1"/>
      <c r="W1610" s="1"/>
      <c r="X1610" s="1"/>
      <c r="Y1610" s="1" t="s">
        <v>7066</v>
      </c>
      <c r="Z1610" s="1" t="s">
        <v>7063</v>
      </c>
      <c r="AA1610" s="1" t="s">
        <v>7064</v>
      </c>
      <c r="AB1610" s="1"/>
      <c r="AC1610" s="1"/>
      <c r="AD1610" s="1"/>
      <c r="AE1610" s="1"/>
      <c r="AG1610" s="2" t="str">
        <f>"1333947984"</f>
        <v>1333947984</v>
      </c>
      <c r="AH1610" s="2" t="str">
        <f>"9781333947989"</f>
        <v>9781333947989</v>
      </c>
      <c r="AI1610" s="1">
        <v>0.0</v>
      </c>
      <c r="AJ1610" s="1">
        <v>5.0</v>
      </c>
      <c r="AK1610" s="1" t="s">
        <v>429</v>
      </c>
      <c r="AL1610" s="1" t="s">
        <v>28</v>
      </c>
      <c r="AM1610" s="1">
        <v>398.0</v>
      </c>
      <c r="AN1610" s="1">
        <v>2018.0</v>
      </c>
      <c r="AO1610" s="1">
        <v>2015.0</v>
      </c>
      <c r="AQ1610" s="3">
        <v>44960.0</v>
      </c>
      <c r="AR1610" s="1" t="s">
        <v>31</v>
      </c>
      <c r="AS1610" s="1" t="s">
        <v>7067</v>
      </c>
      <c r="AT1610" s="1" t="s">
        <v>31</v>
      </c>
      <c r="AX1610" s="1">
        <v>0.0</v>
      </c>
      <c r="AY1610" s="1">
        <v>0.0</v>
      </c>
    </row>
    <row r="1611" spans="20:51" ht="15.75" hidden="1">
      <c r="T1611" s="1">
        <v>1205517.0</v>
      </c>
      <c r="U1611" s="1"/>
      <c r="V1611" s="1"/>
      <c r="W1611" s="1"/>
      <c r="X1611" s="1"/>
      <c r="Y1611" s="1" t="s">
        <v>7068</v>
      </c>
      <c r="Z1611" s="1" t="s">
        <v>7069</v>
      </c>
      <c r="AA1611" s="1" t="s">
        <v>7070</v>
      </c>
      <c r="AB1611" s="1"/>
      <c r="AC1611" s="1"/>
      <c r="AD1611" s="1"/>
      <c r="AE1611" s="1"/>
      <c r="AF1611" s="1" t="s">
        <v>7071</v>
      </c>
      <c r="AG1611" s="2" t="str">
        <f>"0691029881"</f>
        <v>0691029881</v>
      </c>
      <c r="AH1611" s="2" t="str">
        <f>"9780691029887"</f>
        <v>9780691029887</v>
      </c>
      <c r="AI1611" s="1">
        <v>0.0</v>
      </c>
      <c r="AJ1611" s="1">
        <v>4.2</v>
      </c>
      <c r="AK1611" s="1" t="s">
        <v>141</v>
      </c>
      <c r="AL1611" s="1" t="s">
        <v>28</v>
      </c>
      <c r="AM1611" s="1">
        <v>392.0</v>
      </c>
      <c r="AN1611" s="1">
        <v>1953.0</v>
      </c>
      <c r="AO1611" s="1">
        <v>1940.0</v>
      </c>
      <c r="AQ1611" s="3">
        <v>44959.0</v>
      </c>
      <c r="AR1611" s="1" t="s">
        <v>31</v>
      </c>
      <c r="AS1611" s="1" t="s">
        <v>7072</v>
      </c>
      <c r="AT1611" s="1" t="s">
        <v>31</v>
      </c>
      <c r="AX1611" s="1">
        <v>0.0</v>
      </c>
      <c r="AY1611" s="1">
        <v>0.0</v>
      </c>
    </row>
    <row r="1612" spans="20:51" ht="15.75" hidden="1">
      <c r="T1612" s="1">
        <v>1.4735332E7</v>
      </c>
      <c r="U1612" s="1"/>
      <c r="V1612" s="1"/>
      <c r="W1612" s="1"/>
      <c r="X1612" s="1"/>
      <c r="Y1612" s="1" t="s">
        <v>7073</v>
      </c>
      <c r="Z1612" s="1" t="s">
        <v>7074</v>
      </c>
      <c r="AA1612" s="1" t="s">
        <v>7075</v>
      </c>
      <c r="AB1612" s="1"/>
      <c r="AC1612" s="1"/>
      <c r="AD1612" s="1"/>
      <c r="AE1612" s="1"/>
      <c r="AG1612" s="2" t="str">
        <f>"9681670221"</f>
        <v>9681670221</v>
      </c>
      <c r="AH1612" s="2" t="str">
        <f>"9789681670221"</f>
        <v>9789681670221</v>
      </c>
      <c r="AI1612" s="1">
        <v>0.0</v>
      </c>
      <c r="AJ1612" s="1">
        <v>0.0</v>
      </c>
      <c r="AK1612" s="1" t="s">
        <v>6050</v>
      </c>
      <c r="AL1612" s="1" t="s">
        <v>28</v>
      </c>
      <c r="AM1612" s="1">
        <v>533.0</v>
      </c>
      <c r="AN1612" s="1">
        <v>2005.0</v>
      </c>
      <c r="AO1612" s="1">
        <v>1947.0</v>
      </c>
      <c r="AQ1612" s="3">
        <v>44959.0</v>
      </c>
      <c r="AR1612" s="1" t="s">
        <v>31</v>
      </c>
      <c r="AS1612" s="1" t="s">
        <v>7076</v>
      </c>
      <c r="AT1612" s="1" t="s">
        <v>31</v>
      </c>
      <c r="AX1612" s="1">
        <v>0.0</v>
      </c>
      <c r="AY1612" s="1">
        <v>0.0</v>
      </c>
    </row>
    <row r="1613" spans="20:51" ht="15.75" hidden="1">
      <c r="T1613" s="1">
        <v>114517.0</v>
      </c>
      <c r="U1613" s="1"/>
      <c r="V1613" s="1"/>
      <c r="W1613" s="1"/>
      <c r="X1613" s="1"/>
      <c r="Y1613" s="1" t="s">
        <v>7077</v>
      </c>
      <c r="Z1613" s="1" t="s">
        <v>129</v>
      </c>
      <c r="AA1613" s="1" t="s">
        <v>130</v>
      </c>
      <c r="AB1613" s="1"/>
      <c r="AC1613" s="1"/>
      <c r="AD1613" s="1"/>
      <c r="AE1613" s="1"/>
      <c r="AF1613" s="1" t="s">
        <v>7078</v>
      </c>
      <c r="AG1613" s="2" t="str">
        <f>"0691018154"</f>
        <v>0691018154</v>
      </c>
      <c r="AH1613" s="2" t="str">
        <f>"9780691018157"</f>
        <v>9780691018157</v>
      </c>
      <c r="AI1613" s="1">
        <v>0.0</v>
      </c>
      <c r="AJ1613" s="1">
        <v>4.43</v>
      </c>
      <c r="AK1613" s="1" t="s">
        <v>141</v>
      </c>
      <c r="AL1613" s="1" t="s">
        <v>28</v>
      </c>
      <c r="AM1613" s="1">
        <v>590.0</v>
      </c>
      <c r="AN1613" s="1">
        <v>1977.0</v>
      </c>
      <c r="AO1613" s="1">
        <v>1912.0</v>
      </c>
      <c r="AQ1613" s="3">
        <v>44959.0</v>
      </c>
      <c r="AR1613" s="1" t="s">
        <v>31</v>
      </c>
      <c r="AS1613" s="1" t="s">
        <v>7079</v>
      </c>
      <c r="AT1613" s="1" t="s">
        <v>31</v>
      </c>
      <c r="AX1613" s="1">
        <v>0.0</v>
      </c>
      <c r="AY1613" s="1">
        <v>0.0</v>
      </c>
    </row>
    <row r="1614" spans="20:51" ht="15.75" hidden="1">
      <c r="T1614" s="1">
        <v>156968.0</v>
      </c>
      <c r="U1614" s="1"/>
      <c r="V1614" s="1"/>
      <c r="W1614" s="1"/>
      <c r="X1614" s="1"/>
      <c r="Y1614" s="1" t="s">
        <v>7080</v>
      </c>
      <c r="Z1614" s="1" t="s">
        <v>7081</v>
      </c>
      <c r="AA1614" s="1" t="s">
        <v>7082</v>
      </c>
      <c r="AB1614" s="1"/>
      <c r="AC1614" s="1"/>
      <c r="AD1614" s="1"/>
      <c r="AE1614" s="1"/>
      <c r="AG1614" s="2" t="str">
        <f>"0030184363"</f>
        <v>0030184363</v>
      </c>
      <c r="AH1614" s="2" t="str">
        <f>"9780030184369"</f>
        <v>9780030184369</v>
      </c>
      <c r="AI1614" s="1">
        <v>0.0</v>
      </c>
      <c r="AJ1614" s="1">
        <v>3.82</v>
      </c>
      <c r="AK1614" s="1" t="s">
        <v>7083</v>
      </c>
      <c r="AL1614" s="1" t="s">
        <v>28</v>
      </c>
      <c r="AM1614" s="1">
        <v>263.0</v>
      </c>
      <c r="AN1614" s="1">
        <v>1976.0</v>
      </c>
      <c r="AO1614" s="1">
        <v>1951.0</v>
      </c>
      <c r="AQ1614" s="3">
        <v>44959.0</v>
      </c>
      <c r="AR1614" s="1" t="s">
        <v>31</v>
      </c>
      <c r="AS1614" s="1" t="s">
        <v>7084</v>
      </c>
      <c r="AT1614" s="1" t="s">
        <v>31</v>
      </c>
      <c r="AX1614" s="1">
        <v>0.0</v>
      </c>
      <c r="AY1614" s="1">
        <v>0.0</v>
      </c>
    </row>
    <row r="1615" spans="20:51" ht="15.75" hidden="1">
      <c r="T1615" s="1">
        <v>406896.0</v>
      </c>
      <c r="U1615" s="1"/>
      <c r="V1615" s="1"/>
      <c r="W1615" s="1"/>
      <c r="X1615" s="1"/>
      <c r="Y1615" s="1" t="s">
        <v>7085</v>
      </c>
      <c r="Z1615" s="1" t="s">
        <v>7086</v>
      </c>
      <c r="AA1615" s="1" t="s">
        <v>7087</v>
      </c>
      <c r="AB1615" s="1"/>
      <c r="AC1615" s="1"/>
      <c r="AD1615" s="1"/>
      <c r="AE1615" s="1"/>
      <c r="AF1615" s="1" t="s">
        <v>7088</v>
      </c>
      <c r="AG1615" s="2" t="str">
        <f>"1877727571"</f>
        <v>1877727571</v>
      </c>
      <c r="AH1615" s="2" t="str">
        <f>"9781877727573"</f>
        <v>9781877727573</v>
      </c>
      <c r="AI1615" s="1">
        <v>0.0</v>
      </c>
      <c r="AJ1615" s="1">
        <v>4.54</v>
      </c>
      <c r="AK1615" s="1" t="s">
        <v>2394</v>
      </c>
      <c r="AL1615" s="1" t="s">
        <v>28</v>
      </c>
      <c r="AM1615" s="1">
        <v>265.0</v>
      </c>
      <c r="AN1615" s="1">
        <v>1996.0</v>
      </c>
      <c r="AO1615" s="1">
        <v>1996.0</v>
      </c>
      <c r="AQ1615" s="3">
        <v>44941.0</v>
      </c>
      <c r="AR1615" s="1" t="s">
        <v>31</v>
      </c>
      <c r="AS1615" s="1" t="s">
        <v>7089</v>
      </c>
      <c r="AT1615" s="1" t="s">
        <v>31</v>
      </c>
      <c r="AX1615" s="1">
        <v>0.0</v>
      </c>
      <c r="AY1615" s="1">
        <v>0.0</v>
      </c>
    </row>
    <row r="1616" spans="20:51" ht="15.75" hidden="1">
      <c r="T1616" s="1">
        <v>4.024513E7</v>
      </c>
      <c r="U1616" s="1"/>
      <c r="V1616" s="1"/>
      <c r="W1616" s="1"/>
      <c r="X1616" s="1"/>
      <c r="Y1616" s="1" t="s">
        <v>7090</v>
      </c>
      <c r="Z1616" s="1" t="s">
        <v>7091</v>
      </c>
      <c r="AA1616" s="1" t="s">
        <v>7092</v>
      </c>
      <c r="AB1616" s="1"/>
      <c r="AC1616" s="1"/>
      <c r="AD1616" s="1"/>
      <c r="AE1616" s="1"/>
      <c r="AG1616" s="2" t="str">
        <f>"0525520619"</f>
        <v>0525520619</v>
      </c>
      <c r="AH1616" s="2" t="str">
        <f>""</f>
        <v/>
      </c>
      <c r="AI1616" s="1">
        <v>0.0</v>
      </c>
      <c r="AJ1616" s="1">
        <v>3.81</v>
      </c>
      <c r="AK1616" s="1" t="s">
        <v>634</v>
      </c>
      <c r="AL1616" s="1" t="s">
        <v>41</v>
      </c>
      <c r="AM1616" s="1">
        <v>385.0</v>
      </c>
      <c r="AN1616" s="1">
        <v>2019.0</v>
      </c>
      <c r="AO1616" s="1">
        <v>2019.0</v>
      </c>
      <c r="AQ1616" s="4">
        <v>44920.0</v>
      </c>
      <c r="AR1616" s="1" t="s">
        <v>31</v>
      </c>
      <c r="AS1616" s="1" t="s">
        <v>7093</v>
      </c>
      <c r="AT1616" s="1" t="s">
        <v>31</v>
      </c>
      <c r="AX1616" s="1">
        <v>0.0</v>
      </c>
      <c r="AY1616" s="1">
        <v>0.0</v>
      </c>
    </row>
    <row r="1617" spans="20:51" ht="15.75" hidden="1">
      <c r="T1617" s="1">
        <v>6.389426E7</v>
      </c>
      <c r="U1617" s="1"/>
      <c r="V1617" s="1"/>
      <c r="W1617" s="1"/>
      <c r="X1617" s="1"/>
      <c r="Y1617" s="1" t="s">
        <v>7094</v>
      </c>
      <c r="Z1617" s="1" t="s">
        <v>7095</v>
      </c>
      <c r="AA1617" s="1" t="s">
        <v>7096</v>
      </c>
      <c r="AB1617" s="1"/>
      <c r="AC1617" s="1"/>
      <c r="AD1617" s="1"/>
      <c r="AE1617" s="1"/>
      <c r="AG1617" s="2" t="str">
        <f>"8412466977"</f>
        <v>8412466977</v>
      </c>
      <c r="AH1617" s="2" t="str">
        <f>"9788412466973"</f>
        <v>9788412466973</v>
      </c>
      <c r="AI1617" s="1">
        <v>0.0</v>
      </c>
      <c r="AJ1617" s="1">
        <v>4.5</v>
      </c>
      <c r="AK1617" s="1" t="s">
        <v>7097</v>
      </c>
      <c r="AL1617" s="1" t="s">
        <v>28</v>
      </c>
      <c r="AM1617" s="1">
        <v>286.0</v>
      </c>
      <c r="AN1617" s="1">
        <v>2022.0</v>
      </c>
      <c r="AQ1617" s="4">
        <v>44918.0</v>
      </c>
      <c r="AR1617" s="1" t="s">
        <v>31</v>
      </c>
      <c r="AS1617" s="1" t="s">
        <v>7098</v>
      </c>
      <c r="AT1617" s="1" t="s">
        <v>31</v>
      </c>
      <c r="AX1617" s="1">
        <v>0.0</v>
      </c>
      <c r="AY1617" s="1">
        <v>0.0</v>
      </c>
    </row>
    <row r="1618" spans="20:51" ht="15.75" hidden="1">
      <c r="T1618" s="1">
        <v>543760.0</v>
      </c>
      <c r="U1618" s="1"/>
      <c r="V1618" s="1"/>
      <c r="W1618" s="1"/>
      <c r="X1618" s="1"/>
      <c r="Y1618" s="1" t="s">
        <v>7099</v>
      </c>
      <c r="Z1618" s="1" t="s">
        <v>7100</v>
      </c>
      <c r="AA1618" s="1" t="s">
        <v>7101</v>
      </c>
      <c r="AB1618" s="1"/>
      <c r="AC1618" s="1"/>
      <c r="AD1618" s="1"/>
      <c r="AE1618" s="1"/>
      <c r="AG1618" s="2" t="str">
        <f>"0786708808"</f>
        <v>0786708808</v>
      </c>
      <c r="AH1618" s="2" t="str">
        <f>"9780786708802"</f>
        <v>9780786708802</v>
      </c>
      <c r="AI1618" s="1">
        <v>0.0</v>
      </c>
      <c r="AJ1618" s="1">
        <v>4.4</v>
      </c>
      <c r="AK1618" s="1" t="s">
        <v>7102</v>
      </c>
      <c r="AL1618" s="1" t="s">
        <v>28</v>
      </c>
      <c r="AM1618" s="1">
        <v>416.0</v>
      </c>
      <c r="AN1618" s="1">
        <v>2001.0</v>
      </c>
      <c r="AO1618" s="1">
        <v>1933.0</v>
      </c>
      <c r="AQ1618" s="4">
        <v>44915.0</v>
      </c>
      <c r="AR1618" s="1" t="s">
        <v>31</v>
      </c>
      <c r="AS1618" s="1" t="s">
        <v>7103</v>
      </c>
      <c r="AT1618" s="1" t="s">
        <v>31</v>
      </c>
      <c r="AX1618" s="1">
        <v>0.0</v>
      </c>
      <c r="AY1618" s="1">
        <v>0.0</v>
      </c>
    </row>
    <row r="1619" spans="20:51" ht="15.75" hidden="1">
      <c r="T1619" s="1">
        <v>4.5555393E7</v>
      </c>
      <c r="U1619" s="1"/>
      <c r="V1619" s="1"/>
      <c r="W1619" s="1"/>
      <c r="X1619" s="1"/>
      <c r="Y1619" s="1" t="s">
        <v>7104</v>
      </c>
      <c r="Z1619" s="1" t="s">
        <v>7105</v>
      </c>
      <c r="AA1619" s="1" t="s">
        <v>7106</v>
      </c>
      <c r="AB1619" s="1"/>
      <c r="AC1619" s="1"/>
      <c r="AD1619" s="1"/>
      <c r="AE1619" s="1"/>
      <c r="AF1619" s="1" t="s">
        <v>7107</v>
      </c>
      <c r="AG1619" s="2" t="str">
        <f t="shared" si="131" ref="AG1619:AH1619">""</f>
        <v/>
      </c>
      <c r="AH1619" s="2" t="str">
        <f t="shared" si="131"/>
        <v/>
      </c>
      <c r="AI1619" s="1">
        <v>0.0</v>
      </c>
      <c r="AJ1619" s="1">
        <v>3.74</v>
      </c>
      <c r="AK1619" s="1" t="s">
        <v>7108</v>
      </c>
      <c r="AL1619" s="1" t="s">
        <v>28</v>
      </c>
      <c r="AM1619" s="1">
        <v>124.0</v>
      </c>
      <c r="AN1619" s="1">
        <v>2019.0</v>
      </c>
      <c r="AQ1619" s="4">
        <v>44910.0</v>
      </c>
      <c r="AR1619" s="1" t="s">
        <v>31</v>
      </c>
      <c r="AS1619" s="1" t="s">
        <v>7109</v>
      </c>
      <c r="AT1619" s="1" t="s">
        <v>31</v>
      </c>
      <c r="AX1619" s="1">
        <v>0.0</v>
      </c>
      <c r="AY1619" s="1">
        <v>0.0</v>
      </c>
    </row>
    <row r="1620" spans="20:51" ht="15.75" hidden="1">
      <c r="T1620" s="1">
        <v>1232960.0</v>
      </c>
      <c r="U1620" s="1"/>
      <c r="V1620" s="1"/>
      <c r="W1620" s="1"/>
      <c r="X1620" s="1"/>
      <c r="Y1620" s="1" t="s">
        <v>7110</v>
      </c>
      <c r="Z1620" s="1" t="s">
        <v>2502</v>
      </c>
      <c r="AA1620" s="1" t="s">
        <v>2503</v>
      </c>
      <c r="AB1620" s="1"/>
      <c r="AC1620" s="1"/>
      <c r="AD1620" s="1"/>
      <c r="AE1620" s="1"/>
      <c r="AG1620" s="2" t="str">
        <f>"1573831115"</f>
        <v>1573831115</v>
      </c>
      <c r="AH1620" s="2" t="str">
        <f>"9781573831116"</f>
        <v>9781573831116</v>
      </c>
      <c r="AI1620" s="1">
        <v>0.0</v>
      </c>
      <c r="AJ1620" s="1">
        <v>3.84</v>
      </c>
      <c r="AK1620" s="1" t="s">
        <v>7111</v>
      </c>
      <c r="AL1620" s="1" t="s">
        <v>28</v>
      </c>
      <c r="AM1620" s="1">
        <v>288.0</v>
      </c>
      <c r="AN1620" s="1">
        <v>2003.0</v>
      </c>
      <c r="AO1620" s="1">
        <v>1932.0</v>
      </c>
      <c r="AQ1620" s="4">
        <v>44908.0</v>
      </c>
      <c r="AR1620" s="1" t="s">
        <v>31</v>
      </c>
      <c r="AS1620" s="1" t="s">
        <v>7112</v>
      </c>
      <c r="AT1620" s="1" t="s">
        <v>31</v>
      </c>
      <c r="AX1620" s="1">
        <v>0.0</v>
      </c>
      <c r="AY1620" s="1">
        <v>0.0</v>
      </c>
    </row>
    <row r="1621" spans="20:51" ht="15.75" hidden="1">
      <c r="T1621" s="1">
        <v>7821831.0</v>
      </c>
      <c r="U1621" s="1"/>
      <c r="V1621" s="1"/>
      <c r="W1621" s="1"/>
      <c r="X1621" s="1"/>
      <c r="Y1621" s="1" t="s">
        <v>7113</v>
      </c>
      <c r="Z1621" s="1" t="s">
        <v>7114</v>
      </c>
      <c r="AA1621" s="1" t="s">
        <v>7115</v>
      </c>
      <c r="AB1621" s="1"/>
      <c r="AC1621" s="1"/>
      <c r="AD1621" s="1"/>
      <c r="AE1621" s="1"/>
      <c r="AG1621" s="2" t="str">
        <f>"1594202761"</f>
        <v>1594202761</v>
      </c>
      <c r="AH1621" s="2" t="str">
        <f>"9781594202766"</f>
        <v>9781594202766</v>
      </c>
      <c r="AI1621" s="1">
        <v>0.0</v>
      </c>
      <c r="AJ1621" s="1">
        <v>4.02</v>
      </c>
      <c r="AK1621" s="1" t="s">
        <v>7116</v>
      </c>
      <c r="AL1621" s="1" t="s">
        <v>41</v>
      </c>
      <c r="AM1621" s="1">
        <v>237.0</v>
      </c>
      <c r="AN1621" s="1">
        <v>2010.0</v>
      </c>
      <c r="AO1621" s="1">
        <v>2010.0</v>
      </c>
      <c r="AQ1621" s="4">
        <v>44908.0</v>
      </c>
      <c r="AR1621" s="1" t="s">
        <v>31</v>
      </c>
      <c r="AS1621" s="1" t="s">
        <v>7117</v>
      </c>
      <c r="AT1621" s="1" t="s">
        <v>31</v>
      </c>
      <c r="AX1621" s="1">
        <v>0.0</v>
      </c>
      <c r="AY1621" s="1">
        <v>0.0</v>
      </c>
    </row>
    <row r="1622" spans="20:51" ht="15.75" hidden="1">
      <c r="T1622" s="1">
        <v>32261.0</v>
      </c>
      <c r="U1622" s="1"/>
      <c r="V1622" s="1"/>
      <c r="W1622" s="1"/>
      <c r="X1622" s="1"/>
      <c r="Y1622" s="1" t="s">
        <v>7118</v>
      </c>
      <c r="Z1622" s="1" t="s">
        <v>7119</v>
      </c>
      <c r="AA1622" s="1" t="s">
        <v>7120</v>
      </c>
      <c r="AB1622" s="1"/>
      <c r="AC1622" s="1"/>
      <c r="AD1622" s="1"/>
      <c r="AE1622" s="1"/>
      <c r="AF1622" s="1" t="s">
        <v>7121</v>
      </c>
      <c r="AG1622" s="2" t="str">
        <f t="shared" si="132" ref="AG1622:AH1622">""</f>
        <v/>
      </c>
      <c r="AH1622" s="2" t="str">
        <f t="shared" si="132"/>
        <v/>
      </c>
      <c r="AI1622" s="1">
        <v>0.0</v>
      </c>
      <c r="AJ1622" s="1">
        <v>3.83</v>
      </c>
      <c r="AK1622" s="1" t="s">
        <v>232</v>
      </c>
      <c r="AL1622" s="1" t="s">
        <v>28</v>
      </c>
      <c r="AM1622" s="1">
        <v>518.0</v>
      </c>
      <c r="AN1622" s="1">
        <v>2003.0</v>
      </c>
      <c r="AO1622" s="1">
        <v>1891.0</v>
      </c>
      <c r="AQ1622" s="3">
        <v>44904.0</v>
      </c>
      <c r="AR1622" s="1" t="s">
        <v>31</v>
      </c>
      <c r="AS1622" s="1" t="s">
        <v>7122</v>
      </c>
      <c r="AT1622" s="1" t="s">
        <v>31</v>
      </c>
      <c r="AX1622" s="1">
        <v>0.0</v>
      </c>
      <c r="AY1622" s="1">
        <v>0.0</v>
      </c>
    </row>
    <row r="1623" spans="20:51" ht="15.75" hidden="1">
      <c r="T1623" s="1">
        <v>5.4495292E7</v>
      </c>
      <c r="U1623" s="1"/>
      <c r="V1623" s="1"/>
      <c r="W1623" s="1"/>
      <c r="X1623" s="1"/>
      <c r="Y1623" s="1" t="s">
        <v>7123</v>
      </c>
      <c r="Z1623" s="1" t="s">
        <v>7124</v>
      </c>
      <c r="AA1623" s="1" t="s">
        <v>7125</v>
      </c>
      <c r="AB1623" s="1"/>
      <c r="AC1623" s="1"/>
      <c r="AD1623" s="1"/>
      <c r="AE1623" s="1"/>
      <c r="AG1623" s="2" t="str">
        <f t="shared" si="133" ref="AG1623:AH1623">""</f>
        <v/>
      </c>
      <c r="AH1623" s="2" t="str">
        <f t="shared" si="133"/>
        <v/>
      </c>
      <c r="AI1623" s="1">
        <v>0.0</v>
      </c>
      <c r="AJ1623" s="1">
        <v>3.81</v>
      </c>
      <c r="AK1623" s="1" t="s">
        <v>1973</v>
      </c>
      <c r="AL1623" s="1" t="s">
        <v>59</v>
      </c>
      <c r="AM1623" s="1">
        <v>320.0</v>
      </c>
      <c r="AN1623" s="1">
        <v>2021.0</v>
      </c>
      <c r="AO1623" s="1">
        <v>2021.0</v>
      </c>
      <c r="AQ1623" s="3">
        <v>44873.0</v>
      </c>
      <c r="AR1623" s="1" t="s">
        <v>31</v>
      </c>
      <c r="AS1623" s="1" t="s">
        <v>7126</v>
      </c>
      <c r="AT1623" s="1" t="s">
        <v>31</v>
      </c>
      <c r="AX1623" s="1">
        <v>0.0</v>
      </c>
      <c r="AY1623" s="1">
        <v>0.0</v>
      </c>
    </row>
    <row r="1624" spans="20:51" ht="15.75" hidden="1">
      <c r="T1624" s="1">
        <v>6.0097027E7</v>
      </c>
      <c r="U1624" s="1"/>
      <c r="V1624" s="1"/>
      <c r="W1624" s="1"/>
      <c r="X1624" s="1"/>
      <c r="Y1624" s="1" t="s">
        <v>7127</v>
      </c>
      <c r="Z1624" s="1" t="s">
        <v>6986</v>
      </c>
      <c r="AA1624" s="1" t="s">
        <v>6987</v>
      </c>
      <c r="AB1624" s="1"/>
      <c r="AC1624" s="1"/>
      <c r="AD1624" s="1"/>
      <c r="AE1624" s="1"/>
      <c r="AF1624" s="1" t="s">
        <v>7128</v>
      </c>
      <c r="AG1624" s="2" t="str">
        <f>"0525656898"</f>
        <v>0525656898</v>
      </c>
      <c r="AH1624" s="2" t="str">
        <f>"9780525656890"</f>
        <v>9780525656890</v>
      </c>
      <c r="AI1624" s="1">
        <v>0.0</v>
      </c>
      <c r="AJ1624" s="1">
        <v>3.59</v>
      </c>
      <c r="AK1624" s="1" t="s">
        <v>634</v>
      </c>
      <c r="AL1624" s="1" t="s">
        <v>41</v>
      </c>
      <c r="AM1624" s="1">
        <v>683.0</v>
      </c>
      <c r="AN1624" s="1">
        <v>2022.0</v>
      </c>
      <c r="AO1624" s="1">
        <v>2021.0</v>
      </c>
      <c r="AQ1624" s="3">
        <v>44869.0</v>
      </c>
      <c r="AR1624" s="1" t="s">
        <v>31</v>
      </c>
      <c r="AS1624" s="1" t="s">
        <v>7129</v>
      </c>
      <c r="AT1624" s="1" t="s">
        <v>31</v>
      </c>
      <c r="AX1624" s="1">
        <v>0.0</v>
      </c>
      <c r="AY1624" s="1">
        <v>0.0</v>
      </c>
    </row>
    <row r="1625" spans="20:51" ht="15.75" hidden="1">
      <c r="T1625" s="1">
        <v>6.0809286E7</v>
      </c>
      <c r="U1625" s="1"/>
      <c r="V1625" s="1"/>
      <c r="W1625" s="1"/>
      <c r="X1625" s="1"/>
      <c r="Y1625" s="1" t="s">
        <v>7130</v>
      </c>
      <c r="Z1625" s="1" t="s">
        <v>7131</v>
      </c>
      <c r="AA1625" s="1" t="s">
        <v>7132</v>
      </c>
      <c r="AB1625" s="1"/>
      <c r="AC1625" s="1"/>
      <c r="AD1625" s="1"/>
      <c r="AE1625" s="1"/>
      <c r="AF1625" s="1" t="s">
        <v>7133</v>
      </c>
      <c r="AG1625" s="2" t="str">
        <f>"1914990013"</f>
        <v>1914990013</v>
      </c>
      <c r="AH1625" s="2" t="str">
        <f>"9781914990014"</f>
        <v>9781914990014</v>
      </c>
      <c r="AI1625" s="1">
        <v>0.0</v>
      </c>
      <c r="AJ1625" s="1">
        <v>4.07</v>
      </c>
      <c r="AK1625" s="1" t="s">
        <v>7134</v>
      </c>
      <c r="AL1625" s="1" t="s">
        <v>28</v>
      </c>
      <c r="AM1625" s="1">
        <v>588.0</v>
      </c>
      <c r="AN1625" s="1">
        <v>2021.0</v>
      </c>
      <c r="AO1625" s="1">
        <v>1999.0</v>
      </c>
      <c r="AQ1625" s="3">
        <v>44869.0</v>
      </c>
      <c r="AR1625" s="1" t="s">
        <v>31</v>
      </c>
      <c r="AS1625" s="1" t="s">
        <v>7135</v>
      </c>
      <c r="AT1625" s="1" t="s">
        <v>31</v>
      </c>
      <c r="AX1625" s="1">
        <v>0.0</v>
      </c>
      <c r="AY1625" s="1">
        <v>0.0</v>
      </c>
    </row>
    <row r="1626" spans="20:51" ht="15.75" hidden="1">
      <c r="T1626" s="1">
        <v>669450.0</v>
      </c>
      <c r="U1626" s="1"/>
      <c r="V1626" s="1"/>
      <c r="W1626" s="1"/>
      <c r="X1626" s="1"/>
      <c r="Y1626" s="1" t="s">
        <v>7136</v>
      </c>
      <c r="Z1626" s="1" t="s">
        <v>7137</v>
      </c>
      <c r="AA1626" s="1" t="s">
        <v>7138</v>
      </c>
      <c r="AB1626" s="1"/>
      <c r="AC1626" s="1"/>
      <c r="AD1626" s="1"/>
      <c r="AE1626" s="1"/>
      <c r="AF1626" s="1" t="s">
        <v>7139</v>
      </c>
      <c r="AG1626" s="2" t="str">
        <f>"0374521972"</f>
        <v>0374521972</v>
      </c>
      <c r="AH1626" s="2" t="str">
        <f>"9780374521974"</f>
        <v>9780374521974</v>
      </c>
      <c r="AI1626" s="1">
        <v>0.0</v>
      </c>
      <c r="AJ1626" s="1">
        <v>3.78</v>
      </c>
      <c r="AK1626" s="1" t="s">
        <v>89</v>
      </c>
      <c r="AL1626" s="1" t="s">
        <v>28</v>
      </c>
      <c r="AM1626" s="1">
        <v>186.0</v>
      </c>
      <c r="AN1626" s="1">
        <v>1989.0</v>
      </c>
      <c r="AO1626" s="1">
        <v>1949.0</v>
      </c>
      <c r="AQ1626" s="3">
        <v>44868.0</v>
      </c>
      <c r="AR1626" s="1" t="s">
        <v>31</v>
      </c>
      <c r="AS1626" s="1" t="s">
        <v>7140</v>
      </c>
      <c r="AT1626" s="1" t="s">
        <v>31</v>
      </c>
      <c r="AX1626" s="1">
        <v>0.0</v>
      </c>
      <c r="AY1626" s="1">
        <v>0.0</v>
      </c>
    </row>
    <row r="1627" spans="20:51" ht="15.75" hidden="1">
      <c r="T1627" s="1">
        <v>5.9429424E7</v>
      </c>
      <c r="U1627" s="1"/>
      <c r="V1627" s="1"/>
      <c r="W1627" s="1"/>
      <c r="X1627" s="1"/>
      <c r="Y1627" s="1" t="s">
        <v>7141</v>
      </c>
      <c r="Z1627" s="1" t="s">
        <v>7142</v>
      </c>
      <c r="AA1627" s="1" t="s">
        <v>7143</v>
      </c>
      <c r="AB1627" s="1"/>
      <c r="AC1627" s="1"/>
      <c r="AD1627" s="1"/>
      <c r="AE1627" s="1"/>
      <c r="AG1627" s="2" t="str">
        <f>"0316487228"</f>
        <v>0316487228</v>
      </c>
      <c r="AH1627" s="2" t="str">
        <f>"9780316487221"</f>
        <v>9780316487221</v>
      </c>
      <c r="AI1627" s="1">
        <v>0.0</v>
      </c>
      <c r="AJ1627" s="1">
        <v>3.81</v>
      </c>
      <c r="AK1627" s="1" t="s">
        <v>7144</v>
      </c>
      <c r="AL1627" s="1" t="s">
        <v>59</v>
      </c>
      <c r="AM1627" s="1">
        <v>315.0</v>
      </c>
      <c r="AN1627" s="1">
        <v>2022.0</v>
      </c>
      <c r="AQ1627" s="4">
        <v>44865.0</v>
      </c>
      <c r="AR1627" s="1" t="s">
        <v>31</v>
      </c>
      <c r="AS1627" s="1" t="s">
        <v>7145</v>
      </c>
      <c r="AT1627" s="1" t="s">
        <v>31</v>
      </c>
      <c r="AX1627" s="1">
        <v>0.0</v>
      </c>
      <c r="AY1627" s="1">
        <v>0.0</v>
      </c>
    </row>
    <row r="1628" spans="20:51" ht="15.75" hidden="1">
      <c r="T1628" s="1">
        <v>5.6269269E7</v>
      </c>
      <c r="U1628" s="1"/>
      <c r="V1628" s="1"/>
      <c r="W1628" s="1"/>
      <c r="X1628" s="1"/>
      <c r="Y1628" s="1" t="s">
        <v>7146</v>
      </c>
      <c r="Z1628" s="1" t="s">
        <v>7147</v>
      </c>
      <c r="AA1628" s="1" t="s">
        <v>7148</v>
      </c>
      <c r="AB1628" s="1"/>
      <c r="AC1628" s="1"/>
      <c r="AD1628" s="1"/>
      <c r="AE1628" s="1"/>
      <c r="AG1628" s="2" t="str">
        <f>"0374539235"</f>
        <v>0374539235</v>
      </c>
      <c r="AH1628" s="2" t="str">
        <f>"9780374539238"</f>
        <v>9780374539238</v>
      </c>
      <c r="AI1628" s="1">
        <v>0.0</v>
      </c>
      <c r="AJ1628" s="1">
        <v>3.76</v>
      </c>
      <c r="AK1628" s="1" t="s">
        <v>7149</v>
      </c>
      <c r="AL1628" s="1" t="s">
        <v>28</v>
      </c>
      <c r="AM1628" s="1">
        <v>272.0</v>
      </c>
      <c r="AN1628" s="1">
        <v>2021.0</v>
      </c>
      <c r="AO1628" s="1">
        <v>2021.0</v>
      </c>
      <c r="AQ1628" s="4">
        <v>44863.0</v>
      </c>
      <c r="AR1628" s="1" t="s">
        <v>31</v>
      </c>
      <c r="AS1628" s="1" t="s">
        <v>7150</v>
      </c>
      <c r="AT1628" s="1" t="s">
        <v>31</v>
      </c>
      <c r="AX1628" s="1">
        <v>0.0</v>
      </c>
      <c r="AY1628" s="1">
        <v>0.0</v>
      </c>
    </row>
    <row r="1629" spans="20:51" ht="15.75" hidden="1">
      <c r="T1629" s="1">
        <v>5.8446227E7</v>
      </c>
      <c r="U1629" s="1"/>
      <c r="V1629" s="1"/>
      <c r="W1629" s="1"/>
      <c r="X1629" s="1"/>
      <c r="Y1629" s="1" t="s">
        <v>7151</v>
      </c>
      <c r="Z1629" s="1" t="s">
        <v>7152</v>
      </c>
      <c r="AA1629" s="1" t="s">
        <v>7153</v>
      </c>
      <c r="AB1629" s="1"/>
      <c r="AC1629" s="1"/>
      <c r="AD1629" s="1"/>
      <c r="AE1629" s="1"/>
      <c r="AG1629" s="2" t="str">
        <f>"0593321448"</f>
        <v>0593321448</v>
      </c>
      <c r="AH1629" s="2" t="str">
        <f>"9780593321447"</f>
        <v>9780593321447</v>
      </c>
      <c r="AI1629" s="1">
        <v>0.0</v>
      </c>
      <c r="AJ1629" s="1">
        <v>4.1</v>
      </c>
      <c r="AK1629" s="1" t="s">
        <v>634</v>
      </c>
      <c r="AL1629" s="1" t="s">
        <v>41</v>
      </c>
      <c r="AM1629" s="1">
        <v>259.0</v>
      </c>
      <c r="AN1629" s="1">
        <v>2022.0</v>
      </c>
      <c r="AO1629" s="1">
        <v>2022.0</v>
      </c>
      <c r="AQ1629" s="4">
        <v>44853.0</v>
      </c>
      <c r="AR1629" s="1" t="s">
        <v>31</v>
      </c>
      <c r="AS1629" s="1" t="s">
        <v>7154</v>
      </c>
      <c r="AT1629" s="1" t="s">
        <v>31</v>
      </c>
      <c r="AX1629" s="1">
        <v>0.0</v>
      </c>
      <c r="AY1629" s="1">
        <v>0.0</v>
      </c>
    </row>
    <row r="1630" spans="20:51" ht="15.75" hidden="1">
      <c r="T1630" s="1">
        <v>7194727.0</v>
      </c>
      <c r="U1630" s="1"/>
      <c r="V1630" s="1"/>
      <c r="W1630" s="1"/>
      <c r="X1630" s="1"/>
      <c r="Y1630" s="1" t="s">
        <v>7155</v>
      </c>
      <c r="Z1630" s="1" t="s">
        <v>7156</v>
      </c>
      <c r="AA1630" s="1" t="s">
        <v>7157</v>
      </c>
      <c r="AB1630" s="1"/>
      <c r="AC1630" s="1"/>
      <c r="AD1630" s="1"/>
      <c r="AE1630" s="1"/>
      <c r="AF1630" s="1" t="s">
        <v>7158</v>
      </c>
      <c r="AG1630" s="2" t="str">
        <f>"0977934357"</f>
        <v>0977934357</v>
      </c>
      <c r="AH1630" s="2" t="str">
        <f>"9780977934355"</f>
        <v>9780977934355</v>
      </c>
      <c r="AI1630" s="1">
        <v>0.0</v>
      </c>
      <c r="AJ1630" s="1">
        <v>4.23</v>
      </c>
      <c r="AK1630" s="1" t="s">
        <v>7159</v>
      </c>
      <c r="AL1630" s="1" t="s">
        <v>28</v>
      </c>
      <c r="AM1630" s="1">
        <v>326.0</v>
      </c>
      <c r="AN1630" s="1">
        <v>2010.0</v>
      </c>
      <c r="AO1630" s="1">
        <v>2010.0</v>
      </c>
      <c r="AQ1630" s="4">
        <v>44852.0</v>
      </c>
      <c r="AR1630" s="1" t="s">
        <v>31</v>
      </c>
      <c r="AS1630" s="1" t="s">
        <v>7160</v>
      </c>
      <c r="AT1630" s="1" t="s">
        <v>31</v>
      </c>
      <c r="AX1630" s="1">
        <v>0.0</v>
      </c>
      <c r="AY1630" s="1">
        <v>0.0</v>
      </c>
    </row>
    <row r="1631" spans="20:51" ht="15.75" hidden="1">
      <c r="T1631" s="1">
        <v>6.0708721E7</v>
      </c>
      <c r="U1631" s="1"/>
      <c r="V1631" s="1"/>
      <c r="W1631" s="1"/>
      <c r="X1631" s="1"/>
      <c r="Y1631" s="1" t="s">
        <v>7161</v>
      </c>
      <c r="Z1631" s="1" t="s">
        <v>7156</v>
      </c>
      <c r="AA1631" s="1" t="s">
        <v>7157</v>
      </c>
      <c r="AB1631" s="1"/>
      <c r="AC1631" s="1"/>
      <c r="AD1631" s="1"/>
      <c r="AE1631" s="1"/>
      <c r="AG1631" s="2" t="str">
        <f>""</f>
        <v/>
      </c>
      <c r="AH1631" s="2" t="str">
        <f>"9781952177798"</f>
        <v>9781952177798</v>
      </c>
      <c r="AI1631" s="1">
        <v>0.0</v>
      </c>
      <c r="AJ1631" s="1">
        <v>4.23</v>
      </c>
      <c r="AK1631" s="1" t="s">
        <v>2120</v>
      </c>
      <c r="AL1631" s="1" t="s">
        <v>28</v>
      </c>
      <c r="AM1631" s="1">
        <v>298.0</v>
      </c>
      <c r="AN1631" s="1">
        <v>2022.0</v>
      </c>
      <c r="AO1631" s="1">
        <v>2022.0</v>
      </c>
      <c r="AQ1631" s="4">
        <v>44852.0</v>
      </c>
      <c r="AR1631" s="1" t="s">
        <v>31</v>
      </c>
      <c r="AS1631" s="1" t="s">
        <v>7162</v>
      </c>
      <c r="AT1631" s="1" t="s">
        <v>31</v>
      </c>
      <c r="AX1631" s="1">
        <v>0.0</v>
      </c>
      <c r="AY1631" s="1">
        <v>0.0</v>
      </c>
    </row>
    <row r="1632" spans="20:51" ht="15.75" hidden="1">
      <c r="T1632" s="1">
        <v>5.4716655E7</v>
      </c>
      <c r="U1632" s="1"/>
      <c r="V1632" s="1"/>
      <c r="W1632" s="1"/>
      <c r="X1632" s="1"/>
      <c r="Y1632" s="1" t="s">
        <v>7163</v>
      </c>
      <c r="Z1632" s="1" t="s">
        <v>7164</v>
      </c>
      <c r="AA1632" s="1" t="s">
        <v>7165</v>
      </c>
      <c r="AB1632" s="1"/>
      <c r="AC1632" s="1"/>
      <c r="AD1632" s="1"/>
      <c r="AE1632" s="1"/>
      <c r="AG1632" s="2" t="str">
        <f>"1718501188"</f>
        <v>1718501188</v>
      </c>
      <c r="AH1632" s="2" t="str">
        <f>"9781718501188"</f>
        <v>9781718501188</v>
      </c>
      <c r="AI1632" s="1">
        <v>0.0</v>
      </c>
      <c r="AJ1632" s="1">
        <v>4.18</v>
      </c>
      <c r="AK1632" s="1" t="s">
        <v>3419</v>
      </c>
      <c r="AL1632" s="1" t="s">
        <v>28</v>
      </c>
      <c r="AM1632" s="1">
        <v>248.0</v>
      </c>
      <c r="AN1632" s="1">
        <v>2021.0</v>
      </c>
      <c r="AQ1632" s="4">
        <v>44846.0</v>
      </c>
      <c r="AR1632" s="1" t="s">
        <v>31</v>
      </c>
      <c r="AS1632" s="1" t="s">
        <v>7166</v>
      </c>
      <c r="AT1632" s="1" t="s">
        <v>31</v>
      </c>
      <c r="AX1632" s="1">
        <v>0.0</v>
      </c>
      <c r="AY1632" s="1">
        <v>0.0</v>
      </c>
    </row>
    <row r="1633" spans="20:51" ht="15.75" hidden="1">
      <c r="T1633" s="1">
        <v>3.6258582E7</v>
      </c>
      <c r="U1633" s="1"/>
      <c r="V1633" s="1"/>
      <c r="W1633" s="1"/>
      <c r="X1633" s="1"/>
      <c r="Y1633" s="1" t="s">
        <v>7167</v>
      </c>
      <c r="Z1633" s="1" t="s">
        <v>7168</v>
      </c>
      <c r="AA1633" s="1" t="s">
        <v>7169</v>
      </c>
      <c r="AB1633" s="1"/>
      <c r="AC1633" s="1"/>
      <c r="AD1633" s="1"/>
      <c r="AE1633" s="1"/>
      <c r="AG1633" s="2" t="str">
        <f>"1911358383"</f>
        <v>1911358383</v>
      </c>
      <c r="AH1633" s="2" t="str">
        <f>"9781911358381"</f>
        <v>9781911358381</v>
      </c>
      <c r="AI1633" s="1">
        <v>0.0</v>
      </c>
      <c r="AJ1633" s="1">
        <v>4.18</v>
      </c>
      <c r="AK1633" s="1" t="s">
        <v>7170</v>
      </c>
      <c r="AL1633" s="1" t="s">
        <v>41</v>
      </c>
      <c r="AM1633" s="1">
        <v>176.0</v>
      </c>
      <c r="AN1633" s="1">
        <v>2018.0</v>
      </c>
      <c r="AQ1633" s="3">
        <v>44840.0</v>
      </c>
      <c r="AR1633" s="1" t="s">
        <v>31</v>
      </c>
      <c r="AS1633" s="1" t="s">
        <v>7171</v>
      </c>
      <c r="AT1633" s="1" t="s">
        <v>31</v>
      </c>
      <c r="AX1633" s="1">
        <v>0.0</v>
      </c>
      <c r="AY1633" s="1">
        <v>0.0</v>
      </c>
    </row>
    <row r="1634" spans="20:51" ht="15.75" hidden="1">
      <c r="T1634" s="1">
        <v>433547.0</v>
      </c>
      <c r="U1634" s="1"/>
      <c r="V1634" s="1"/>
      <c r="W1634" s="1"/>
      <c r="X1634" s="1"/>
      <c r="Y1634" s="1" t="s">
        <v>7172</v>
      </c>
      <c r="Z1634" s="1" t="s">
        <v>7173</v>
      </c>
      <c r="AA1634" s="1" t="s">
        <v>7174</v>
      </c>
      <c r="AB1634" s="1"/>
      <c r="AC1634" s="1"/>
      <c r="AD1634" s="1"/>
      <c r="AE1634" s="1"/>
      <c r="AG1634" s="2" t="str">
        <f>"0892551526"</f>
        <v>0892551526</v>
      </c>
      <c r="AH1634" s="2" t="str">
        <f>"9780892551521"</f>
        <v>9780892551521</v>
      </c>
      <c r="AI1634" s="1">
        <v>0.0</v>
      </c>
      <c r="AJ1634" s="1">
        <v>3.93</v>
      </c>
      <c r="AK1634" s="1" t="s">
        <v>7175</v>
      </c>
      <c r="AL1634" s="1" t="s">
        <v>28</v>
      </c>
      <c r="AM1634" s="1">
        <v>266.0</v>
      </c>
      <c r="AN1634" s="1">
        <v>1990.0</v>
      </c>
      <c r="AO1634" s="1">
        <v>1984.0</v>
      </c>
      <c r="AQ1634" s="3">
        <v>44840.0</v>
      </c>
      <c r="AR1634" s="1" t="s">
        <v>31</v>
      </c>
      <c r="AS1634" s="1" t="s">
        <v>7176</v>
      </c>
      <c r="AT1634" s="1" t="s">
        <v>31</v>
      </c>
      <c r="AX1634" s="1">
        <v>0.0</v>
      </c>
      <c r="AY1634" s="1">
        <v>0.0</v>
      </c>
    </row>
    <row r="1635" spans="20:51" ht="15.75" hidden="1">
      <c r="T1635" s="1">
        <v>5.9808603E7</v>
      </c>
      <c r="U1635" s="1"/>
      <c r="V1635" s="1"/>
      <c r="W1635" s="1"/>
      <c r="X1635" s="1"/>
      <c r="Y1635" s="1" t="s">
        <v>7177</v>
      </c>
      <c r="Z1635" s="1" t="s">
        <v>7178</v>
      </c>
      <c r="AA1635" s="1" t="s">
        <v>7179</v>
      </c>
      <c r="AB1635" s="1"/>
      <c r="AC1635" s="1"/>
      <c r="AD1635" s="1"/>
      <c r="AE1635" s="1"/>
      <c r="AG1635" s="2" t="str">
        <f>"0374605955"</f>
        <v>0374605955</v>
      </c>
      <c r="AH1635" s="2" t="str">
        <f>"9780374605957"</f>
        <v>9780374605957</v>
      </c>
      <c r="AI1635" s="1">
        <v>0.0</v>
      </c>
      <c r="AJ1635" s="1">
        <v>4.0</v>
      </c>
      <c r="AK1635" s="1" t="s">
        <v>1045</v>
      </c>
      <c r="AL1635" s="1" t="s">
        <v>41</v>
      </c>
      <c r="AM1635" s="1">
        <v>456.0</v>
      </c>
      <c r="AN1635" s="1">
        <v>2022.0</v>
      </c>
      <c r="AO1635" s="1">
        <v>2022.0</v>
      </c>
      <c r="AQ1635" s="3">
        <v>44837.0</v>
      </c>
      <c r="AR1635" s="1" t="s">
        <v>31</v>
      </c>
      <c r="AS1635" s="1" t="s">
        <v>7180</v>
      </c>
      <c r="AT1635" s="1" t="s">
        <v>31</v>
      </c>
      <c r="AX1635" s="1">
        <v>0.0</v>
      </c>
      <c r="AY1635" s="1">
        <v>0.0</v>
      </c>
    </row>
    <row r="1636" spans="20:51" ht="15.75" hidden="1">
      <c r="T1636" s="1">
        <v>2598322.0</v>
      </c>
      <c r="U1636" s="1"/>
      <c r="V1636" s="1"/>
      <c r="W1636" s="1"/>
      <c r="X1636" s="1"/>
      <c r="Y1636" s="1" t="s">
        <v>7181</v>
      </c>
      <c r="Z1636" s="1" t="s">
        <v>7182</v>
      </c>
      <c r="AA1636" s="1" t="s">
        <v>7183</v>
      </c>
      <c r="AB1636" s="1"/>
      <c r="AC1636" s="1"/>
      <c r="AD1636" s="1"/>
      <c r="AE1636" s="1"/>
      <c r="AG1636" s="2" t="str">
        <f>"1417978031"</f>
        <v>1417978031</v>
      </c>
      <c r="AH1636" s="2" t="str">
        <f>"9781417978038"</f>
        <v>9781417978038</v>
      </c>
      <c r="AI1636" s="1">
        <v>0.0</v>
      </c>
      <c r="AJ1636" s="1">
        <v>4.25</v>
      </c>
      <c r="AK1636" s="1" t="s">
        <v>7037</v>
      </c>
      <c r="AL1636" s="1" t="s">
        <v>28</v>
      </c>
      <c r="AM1636" s="1">
        <v>136.0</v>
      </c>
      <c r="AN1636" s="1">
        <v>2004.0</v>
      </c>
      <c r="AO1636" s="1">
        <v>2004.0</v>
      </c>
      <c r="AQ1636" s="3">
        <v>44814.0</v>
      </c>
      <c r="AR1636" s="1" t="s">
        <v>31</v>
      </c>
      <c r="AS1636" s="1" t="s">
        <v>7184</v>
      </c>
      <c r="AT1636" s="1" t="s">
        <v>31</v>
      </c>
      <c r="AX1636" s="1">
        <v>0.0</v>
      </c>
      <c r="AY1636" s="1">
        <v>0.0</v>
      </c>
    </row>
    <row r="1637" spans="20:51" ht="15.75" hidden="1">
      <c r="T1637" s="1">
        <v>1920908.0</v>
      </c>
      <c r="U1637" s="1"/>
      <c r="V1637" s="1"/>
      <c r="W1637" s="1"/>
      <c r="X1637" s="1"/>
      <c r="Y1637" s="1" t="s">
        <v>7185</v>
      </c>
      <c r="Z1637" s="1" t="s">
        <v>7186</v>
      </c>
      <c r="AA1637" s="1" t="s">
        <v>7187</v>
      </c>
      <c r="AB1637" s="1"/>
      <c r="AC1637" s="1"/>
      <c r="AD1637" s="1"/>
      <c r="AE1637" s="1"/>
      <c r="AG1637" s="2" t="str">
        <f>"0385110251"</f>
        <v>0385110251</v>
      </c>
      <c r="AH1637" s="2" t="str">
        <f>"9780385110259"</f>
        <v>9780385110259</v>
      </c>
      <c r="AI1637" s="1">
        <v>0.0</v>
      </c>
      <c r="AJ1637" s="1">
        <v>3.84</v>
      </c>
      <c r="AK1637" s="1" t="s">
        <v>7188</v>
      </c>
      <c r="AL1637" s="1" t="s">
        <v>28</v>
      </c>
      <c r="AM1637" s="1">
        <v>383.0</v>
      </c>
      <c r="AN1637" s="1">
        <v>1976.0</v>
      </c>
      <c r="AO1637" s="1">
        <v>1976.0</v>
      </c>
      <c r="AQ1637" s="3">
        <v>44814.0</v>
      </c>
      <c r="AR1637" s="1" t="s">
        <v>31</v>
      </c>
      <c r="AS1637" s="1" t="s">
        <v>7189</v>
      </c>
      <c r="AT1637" s="1" t="s">
        <v>31</v>
      </c>
      <c r="AX1637" s="1">
        <v>0.0</v>
      </c>
      <c r="AY1637" s="1">
        <v>0.0</v>
      </c>
    </row>
    <row r="1638" spans="20:51" ht="15.75" hidden="1">
      <c r="T1638" s="1">
        <v>221157.0</v>
      </c>
      <c r="U1638" s="1"/>
      <c r="V1638" s="1"/>
      <c r="W1638" s="1"/>
      <c r="X1638" s="1"/>
      <c r="Y1638" s="1" t="s">
        <v>7190</v>
      </c>
      <c r="Z1638" s="1" t="s">
        <v>7191</v>
      </c>
      <c r="AA1638" s="1" t="s">
        <v>7192</v>
      </c>
      <c r="AB1638" s="1"/>
      <c r="AC1638" s="1"/>
      <c r="AD1638" s="1"/>
      <c r="AE1638" s="1"/>
      <c r="AG1638" s="2" t="str">
        <f>"0892365110"</f>
        <v>0892365110</v>
      </c>
      <c r="AH1638" s="2" t="str">
        <f>"9780892365111"</f>
        <v>9780892365111</v>
      </c>
      <c r="AI1638" s="1">
        <v>0.0</v>
      </c>
      <c r="AJ1638" s="1">
        <v>3.86</v>
      </c>
      <c r="AK1638" s="1" t="s">
        <v>7193</v>
      </c>
      <c r="AL1638" s="1" t="s">
        <v>28</v>
      </c>
      <c r="AM1638" s="1">
        <v>154.0</v>
      </c>
      <c r="AN1638" s="1">
        <v>1999.0</v>
      </c>
      <c r="AO1638" s="1">
        <v>1999.0</v>
      </c>
      <c r="AQ1638" s="3">
        <v>44814.0</v>
      </c>
      <c r="AR1638" s="1" t="s">
        <v>31</v>
      </c>
      <c r="AS1638" s="1" t="s">
        <v>7194</v>
      </c>
      <c r="AT1638" s="1" t="s">
        <v>31</v>
      </c>
      <c r="AX1638" s="1">
        <v>0.0</v>
      </c>
      <c r="AY1638" s="1">
        <v>0.0</v>
      </c>
    </row>
    <row r="1639" spans="20:51" ht="15.75" hidden="1">
      <c r="T1639" s="1">
        <v>3.791934E7</v>
      </c>
      <c r="U1639" s="1"/>
      <c r="V1639" s="1"/>
      <c r="W1639" s="1"/>
      <c r="X1639" s="1"/>
      <c r="Y1639" s="1" t="s">
        <v>7195</v>
      </c>
      <c r="Z1639" s="1" t="s">
        <v>3768</v>
      </c>
      <c r="AA1639" s="1" t="s">
        <v>3769</v>
      </c>
      <c r="AB1639" s="1"/>
      <c r="AC1639" s="1"/>
      <c r="AD1639" s="1"/>
      <c r="AE1639" s="1"/>
      <c r="AF1639" s="1" t="s">
        <v>7196</v>
      </c>
      <c r="AG1639" s="2" t="str">
        <f>"0709158246"</f>
        <v>0709158246</v>
      </c>
      <c r="AH1639" s="2" t="str">
        <f>"9780709158240"</f>
        <v>9780709158240</v>
      </c>
      <c r="AI1639" s="1">
        <v>0.0</v>
      </c>
      <c r="AJ1639" s="1">
        <v>0.0</v>
      </c>
      <c r="AK1639" s="1" t="s">
        <v>7197</v>
      </c>
      <c r="AL1639" s="1" t="s">
        <v>41</v>
      </c>
      <c r="AM1639" s="1">
        <v>192.0</v>
      </c>
      <c r="AN1639" s="1">
        <v>1976.0</v>
      </c>
      <c r="AQ1639" s="3">
        <v>44814.0</v>
      </c>
      <c r="AR1639" s="1" t="s">
        <v>31</v>
      </c>
      <c r="AS1639" s="1" t="s">
        <v>7198</v>
      </c>
      <c r="AT1639" s="1" t="s">
        <v>31</v>
      </c>
      <c r="AX1639" s="1">
        <v>0.0</v>
      </c>
      <c r="AY1639" s="1">
        <v>0.0</v>
      </c>
    </row>
    <row r="1640" spans="20:51" ht="15.75" hidden="1">
      <c r="T1640" s="1">
        <v>6645126.0</v>
      </c>
      <c r="U1640" s="1"/>
      <c r="V1640" s="1"/>
      <c r="W1640" s="1"/>
      <c r="X1640" s="1"/>
      <c r="Y1640" s="1" t="s">
        <v>7199</v>
      </c>
      <c r="Z1640" s="1" t="s">
        <v>7200</v>
      </c>
      <c r="AA1640" s="1" t="s">
        <v>7201</v>
      </c>
      <c r="AB1640" s="1"/>
      <c r="AC1640" s="1"/>
      <c r="AD1640" s="1"/>
      <c r="AE1640" s="1"/>
      <c r="AG1640" s="2" t="str">
        <f>"1564592820"</f>
        <v>1564592820</v>
      </c>
      <c r="AH1640" s="2" t="str">
        <f>"9781564592828"</f>
        <v>9781564592828</v>
      </c>
      <c r="AI1640" s="1">
        <v>0.0</v>
      </c>
      <c r="AJ1640" s="1">
        <v>3.92</v>
      </c>
      <c r="AK1640" s="1" t="s">
        <v>7202</v>
      </c>
      <c r="AL1640" s="1" t="s">
        <v>28</v>
      </c>
      <c r="AM1640" s="1">
        <v>204.0</v>
      </c>
      <c r="AN1640" s="1">
        <v>1999.0</v>
      </c>
      <c r="AO1640" s="1">
        <v>1970.0</v>
      </c>
      <c r="AQ1640" s="3">
        <v>44812.0</v>
      </c>
      <c r="AR1640" s="1" t="s">
        <v>31</v>
      </c>
      <c r="AS1640" s="1" t="s">
        <v>7203</v>
      </c>
      <c r="AT1640" s="1" t="s">
        <v>31</v>
      </c>
      <c r="AX1640" s="1">
        <v>0.0</v>
      </c>
      <c r="AY1640" s="1">
        <v>0.0</v>
      </c>
    </row>
    <row r="1641" spans="20:51" ht="15.75" hidden="1">
      <c r="T1641" s="1">
        <v>126348.0</v>
      </c>
      <c r="U1641" s="1"/>
      <c r="V1641" s="1"/>
      <c r="W1641" s="1"/>
      <c r="X1641" s="1"/>
      <c r="Y1641" s="1" t="s">
        <v>7204</v>
      </c>
      <c r="Z1641" s="1" t="s">
        <v>7205</v>
      </c>
      <c r="AA1641" s="1" t="s">
        <v>7206</v>
      </c>
      <c r="AB1641" s="1"/>
      <c r="AC1641" s="1"/>
      <c r="AD1641" s="1"/>
      <c r="AE1641" s="1"/>
      <c r="AG1641" s="2" t="str">
        <f>"1594480664"</f>
        <v>1594480664</v>
      </c>
      <c r="AH1641" s="2" t="str">
        <f>"9781594480669"</f>
        <v>9781594480669</v>
      </c>
      <c r="AI1641" s="1">
        <v>0.0</v>
      </c>
      <c r="AJ1641" s="1">
        <v>4.14</v>
      </c>
      <c r="AK1641" s="1" t="s">
        <v>387</v>
      </c>
      <c r="AL1641" s="1" t="s">
        <v>28</v>
      </c>
      <c r="AM1641" s="1">
        <v>272.0</v>
      </c>
      <c r="AN1641" s="1">
        <v>2005.0</v>
      </c>
      <c r="AO1641" s="1">
        <v>2004.0</v>
      </c>
      <c r="AQ1641" s="3">
        <v>44812.0</v>
      </c>
      <c r="AR1641" s="1" t="s">
        <v>31</v>
      </c>
      <c r="AS1641" s="1" t="s">
        <v>7207</v>
      </c>
      <c r="AT1641" s="1" t="s">
        <v>31</v>
      </c>
      <c r="AX1641" s="1">
        <v>0.0</v>
      </c>
      <c r="AY1641" s="1">
        <v>0.0</v>
      </c>
    </row>
    <row r="1642" spans="20:51" ht="15.75" hidden="1">
      <c r="T1642" s="1">
        <v>1553525.0</v>
      </c>
      <c r="U1642" s="1"/>
      <c r="V1642" s="1"/>
      <c r="W1642" s="1"/>
      <c r="X1642" s="1"/>
      <c r="Y1642" s="1" t="s">
        <v>7208</v>
      </c>
      <c r="Z1642" s="1" t="s">
        <v>7209</v>
      </c>
      <c r="AA1642" s="1" t="s">
        <v>7210</v>
      </c>
      <c r="AB1642" s="1"/>
      <c r="AC1642" s="1"/>
      <c r="AD1642" s="1"/>
      <c r="AE1642" s="1"/>
      <c r="AG1642" s="2" t="str">
        <f>"0226576965"</f>
        <v>0226576965</v>
      </c>
      <c r="AH1642" s="2" t="str">
        <f>"9780226576961"</f>
        <v>9780226576961</v>
      </c>
      <c r="AI1642" s="1">
        <v>0.0</v>
      </c>
      <c r="AJ1642" s="1">
        <v>4.36</v>
      </c>
      <c r="AK1642" s="1" t="s">
        <v>224</v>
      </c>
      <c r="AL1642" s="1" t="s">
        <v>41</v>
      </c>
      <c r="AM1642" s="1">
        <v>235.0</v>
      </c>
      <c r="AN1642" s="1">
        <v>2006.0</v>
      </c>
      <c r="AO1642" s="1">
        <v>2006.0</v>
      </c>
      <c r="AQ1642" s="3">
        <v>44812.0</v>
      </c>
      <c r="AR1642" s="1" t="s">
        <v>31</v>
      </c>
      <c r="AS1642" s="1" t="s">
        <v>7211</v>
      </c>
      <c r="AT1642" s="1" t="s">
        <v>31</v>
      </c>
      <c r="AX1642" s="1">
        <v>0.0</v>
      </c>
      <c r="AY1642" s="1">
        <v>0.0</v>
      </c>
    </row>
    <row r="1643" spans="20:51" ht="15.75" hidden="1">
      <c r="T1643" s="1">
        <v>770806.0</v>
      </c>
      <c r="U1643" s="1"/>
      <c r="V1643" s="1"/>
      <c r="W1643" s="1"/>
      <c r="X1643" s="1"/>
      <c r="Y1643" s="1" t="s">
        <v>7212</v>
      </c>
      <c r="Z1643" s="1" t="s">
        <v>7213</v>
      </c>
      <c r="AA1643" s="1" t="s">
        <v>7214</v>
      </c>
      <c r="AB1643" s="1"/>
      <c r="AC1643" s="1"/>
      <c r="AD1643" s="1"/>
      <c r="AE1643" s="1"/>
      <c r="AG1643" s="2" t="str">
        <f>"0500810036"</f>
        <v>0500810036</v>
      </c>
      <c r="AH1643" s="2" t="str">
        <f>"9780500810033"</f>
        <v>9780500810033</v>
      </c>
      <c r="AI1643" s="1">
        <v>0.0</v>
      </c>
      <c r="AJ1643" s="1">
        <v>3.55</v>
      </c>
      <c r="AK1643" s="1" t="s">
        <v>435</v>
      </c>
      <c r="AL1643" s="1" t="s">
        <v>28</v>
      </c>
      <c r="AM1643" s="1">
        <v>128.0</v>
      </c>
      <c r="AN1643" s="1">
        <v>1986.0</v>
      </c>
      <c r="AO1643" s="1">
        <v>1973.0</v>
      </c>
      <c r="AQ1643" s="3">
        <v>44812.0</v>
      </c>
      <c r="AR1643" s="1" t="s">
        <v>31</v>
      </c>
      <c r="AS1643" s="1" t="s">
        <v>7215</v>
      </c>
      <c r="AT1643" s="1" t="s">
        <v>31</v>
      </c>
      <c r="AX1643" s="1">
        <v>0.0</v>
      </c>
      <c r="AY1643" s="1">
        <v>0.0</v>
      </c>
    </row>
    <row r="1644" spans="20:51" ht="15.75" hidden="1">
      <c r="T1644" s="1">
        <v>4.2879606E7</v>
      </c>
      <c r="U1644" s="1"/>
      <c r="V1644" s="1"/>
      <c r="W1644" s="1"/>
      <c r="X1644" s="1"/>
      <c r="Y1644" s="1" t="s">
        <v>7216</v>
      </c>
      <c r="Z1644" s="1" t="s">
        <v>7217</v>
      </c>
      <c r="AA1644" s="1" t="s">
        <v>7218</v>
      </c>
      <c r="AB1644" s="1"/>
      <c r="AC1644" s="1"/>
      <c r="AD1644" s="1"/>
      <c r="AE1644" s="1"/>
      <c r="AF1644" s="1" t="s">
        <v>7219</v>
      </c>
      <c r="AG1644" s="2" t="str">
        <f>"1788840267"</f>
        <v>1788840267</v>
      </c>
      <c r="AH1644" s="2" t="str">
        <f>"9781788840262"</f>
        <v>9781788840262</v>
      </c>
      <c r="AI1644" s="1">
        <v>0.0</v>
      </c>
      <c r="AJ1644" s="1">
        <v>5.0</v>
      </c>
      <c r="AK1644" s="1" t="s">
        <v>7220</v>
      </c>
      <c r="AL1644" s="1" t="s">
        <v>41</v>
      </c>
      <c r="AM1644" s="1">
        <v>240.0</v>
      </c>
      <c r="AN1644" s="1">
        <v>2019.0</v>
      </c>
      <c r="AQ1644" s="3">
        <v>44812.0</v>
      </c>
      <c r="AR1644" s="1" t="s">
        <v>31</v>
      </c>
      <c r="AS1644" s="1" t="s">
        <v>7221</v>
      </c>
      <c r="AT1644" s="1" t="s">
        <v>31</v>
      </c>
      <c r="AX1644" s="1">
        <v>0.0</v>
      </c>
      <c r="AY1644" s="1">
        <v>0.0</v>
      </c>
    </row>
    <row r="1645" spans="20:51" ht="15.75" hidden="1">
      <c r="T1645" s="1">
        <v>1793776.0</v>
      </c>
      <c r="U1645" s="1"/>
      <c r="V1645" s="1"/>
      <c r="W1645" s="1"/>
      <c r="X1645" s="1"/>
      <c r="Y1645" s="1" t="s">
        <v>7222</v>
      </c>
      <c r="Z1645" s="1" t="s">
        <v>7213</v>
      </c>
      <c r="AA1645" s="1" t="s">
        <v>7214</v>
      </c>
      <c r="AB1645" s="1"/>
      <c r="AC1645" s="1"/>
      <c r="AD1645" s="1"/>
      <c r="AE1645" s="1"/>
      <c r="AG1645" s="2" t="str">
        <f>"0500279810"</f>
        <v>0500279810</v>
      </c>
      <c r="AH1645" s="2" t="str">
        <f>"9780500279816"</f>
        <v>9780500279816</v>
      </c>
      <c r="AI1645" s="1">
        <v>0.0</v>
      </c>
      <c r="AJ1645" s="1">
        <v>4.57</v>
      </c>
      <c r="AK1645" s="1" t="s">
        <v>435</v>
      </c>
      <c r="AL1645" s="1" t="s">
        <v>28</v>
      </c>
      <c r="AN1645" s="1">
        <v>1998.0</v>
      </c>
      <c r="AO1645" s="1">
        <v>1988.0</v>
      </c>
      <c r="AQ1645" s="3">
        <v>44809.0</v>
      </c>
      <c r="AR1645" s="1" t="s">
        <v>31</v>
      </c>
      <c r="AS1645" s="1" t="s">
        <v>7223</v>
      </c>
      <c r="AT1645" s="1" t="s">
        <v>31</v>
      </c>
      <c r="AX1645" s="1">
        <v>0.0</v>
      </c>
      <c r="AY1645" s="1">
        <v>0.0</v>
      </c>
    </row>
    <row r="1646" spans="20:51" ht="15.75" hidden="1">
      <c r="T1646" s="1">
        <v>145562.0</v>
      </c>
      <c r="U1646" s="1"/>
      <c r="V1646" s="1"/>
      <c r="W1646" s="1"/>
      <c r="X1646" s="1"/>
      <c r="Y1646" s="1" t="s">
        <v>7224</v>
      </c>
      <c r="Z1646" s="1" t="s">
        <v>7225</v>
      </c>
      <c r="AA1646" s="1" t="s">
        <v>7226</v>
      </c>
      <c r="AB1646" s="1"/>
      <c r="AC1646" s="1"/>
      <c r="AD1646" s="1"/>
      <c r="AE1646" s="1"/>
      <c r="AG1646" s="2" t="str">
        <f>"0875421229"</f>
        <v>0875421229</v>
      </c>
      <c r="AH1646" s="2" t="str">
        <f>"9780875421223"</f>
        <v>9780875421223</v>
      </c>
      <c r="AI1646" s="1">
        <v>0.0</v>
      </c>
      <c r="AJ1646" s="1">
        <v>4.26</v>
      </c>
      <c r="AK1646" s="1" t="s">
        <v>615</v>
      </c>
      <c r="AL1646" s="1" t="s">
        <v>28</v>
      </c>
      <c r="AM1646" s="1">
        <v>318.0</v>
      </c>
      <c r="AN1646" s="1">
        <v>1985.0</v>
      </c>
      <c r="AO1646" s="1">
        <v>1985.0</v>
      </c>
      <c r="AQ1646" s="3">
        <v>44809.0</v>
      </c>
      <c r="AR1646" s="1" t="s">
        <v>31</v>
      </c>
      <c r="AS1646" s="1" t="s">
        <v>7227</v>
      </c>
      <c r="AT1646" s="1" t="s">
        <v>31</v>
      </c>
      <c r="AX1646" s="1">
        <v>0.0</v>
      </c>
      <c r="AY1646" s="1">
        <v>0.0</v>
      </c>
    </row>
    <row r="1647" spans="20:51" ht="15.75" hidden="1">
      <c r="T1647" s="1">
        <v>1259368.0</v>
      </c>
      <c r="U1647" s="1"/>
      <c r="V1647" s="1"/>
      <c r="W1647" s="1"/>
      <c r="X1647" s="1"/>
      <c r="Y1647" s="1" t="s">
        <v>7228</v>
      </c>
      <c r="Z1647" s="1" t="s">
        <v>7229</v>
      </c>
      <c r="AA1647" s="1" t="s">
        <v>7230</v>
      </c>
      <c r="AB1647" s="1"/>
      <c r="AC1647" s="1"/>
      <c r="AD1647" s="1"/>
      <c r="AE1647" s="1"/>
      <c r="AG1647" s="2" t="str">
        <f>"1891117122"</f>
        <v>1891117122</v>
      </c>
      <c r="AH1647" s="2" t="str">
        <f>"9781891117121"</f>
        <v>9781891117121</v>
      </c>
      <c r="AI1647" s="1">
        <v>0.0</v>
      </c>
      <c r="AJ1647" s="1">
        <v>4.05</v>
      </c>
      <c r="AK1647" s="1" t="s">
        <v>7231</v>
      </c>
      <c r="AL1647" s="1" t="s">
        <v>28</v>
      </c>
      <c r="AM1647" s="1">
        <v>543.0</v>
      </c>
      <c r="AN1647" s="1">
        <v>1998.0</v>
      </c>
      <c r="AO1647" s="1">
        <v>1998.0</v>
      </c>
      <c r="AQ1647" s="3">
        <v>44808.0</v>
      </c>
      <c r="AR1647" s="1" t="s">
        <v>31</v>
      </c>
      <c r="AS1647" s="1" t="s">
        <v>7232</v>
      </c>
      <c r="AT1647" s="1" t="s">
        <v>31</v>
      </c>
      <c r="AX1647" s="1">
        <v>0.0</v>
      </c>
      <c r="AY1647" s="1">
        <v>0.0</v>
      </c>
    </row>
    <row r="1648" spans="20:51" ht="15.75" hidden="1">
      <c r="T1648" s="1">
        <v>1618942.0</v>
      </c>
      <c r="U1648" s="1"/>
      <c r="V1648" s="1"/>
      <c r="W1648" s="1"/>
      <c r="X1648" s="1"/>
      <c r="Y1648" s="1" t="s">
        <v>7233</v>
      </c>
      <c r="Z1648" s="1" t="s">
        <v>7234</v>
      </c>
      <c r="AA1648" s="1" t="s">
        <v>7235</v>
      </c>
      <c r="AB1648" s="1"/>
      <c r="AC1648" s="1"/>
      <c r="AD1648" s="1"/>
      <c r="AE1648" s="1"/>
      <c r="AG1648" s="2" t="str">
        <f>"093399933X"</f>
        <v>093399933X</v>
      </c>
      <c r="AH1648" s="2" t="str">
        <f>"9780933999336"</f>
        <v>9780933999336</v>
      </c>
      <c r="AI1648" s="1">
        <v>0.0</v>
      </c>
      <c r="AJ1648" s="1">
        <v>4.09</v>
      </c>
      <c r="AK1648" s="1" t="s">
        <v>1324</v>
      </c>
      <c r="AL1648" s="1" t="s">
        <v>28</v>
      </c>
      <c r="AM1648" s="1">
        <v>142.0</v>
      </c>
      <c r="AN1648" s="1">
        <v>2008.0</v>
      </c>
      <c r="AO1648" s="1">
        <v>1993.0</v>
      </c>
      <c r="AQ1648" s="3">
        <v>44808.0</v>
      </c>
      <c r="AR1648" s="1" t="s">
        <v>31</v>
      </c>
      <c r="AS1648" s="1" t="s">
        <v>7236</v>
      </c>
      <c r="AT1648" s="1" t="s">
        <v>31</v>
      </c>
      <c r="AX1648" s="1">
        <v>0.0</v>
      </c>
      <c r="AY1648" s="1">
        <v>0.0</v>
      </c>
    </row>
    <row r="1649" spans="20:51" ht="15.75" hidden="1">
      <c r="T1649" s="1">
        <v>1034358.0</v>
      </c>
      <c r="U1649" s="1"/>
      <c r="V1649" s="1"/>
      <c r="W1649" s="1"/>
      <c r="X1649" s="1"/>
      <c r="Y1649" s="1" t="s">
        <v>7237</v>
      </c>
      <c r="Z1649" s="1" t="s">
        <v>7238</v>
      </c>
      <c r="AA1649" s="1" t="s">
        <v>7239</v>
      </c>
      <c r="AB1649" s="1"/>
      <c r="AC1649" s="1"/>
      <c r="AD1649" s="1"/>
      <c r="AE1649" s="1"/>
      <c r="AF1649" s="1" t="s">
        <v>7240</v>
      </c>
      <c r="AG1649" s="2" t="str">
        <f>"0451625781"</f>
        <v>0451625781</v>
      </c>
      <c r="AH1649" s="2" t="str">
        <f>"9780451625786"</f>
        <v>9780451625786</v>
      </c>
      <c r="AI1649" s="1">
        <v>0.0</v>
      </c>
      <c r="AJ1649" s="1">
        <v>3.96</v>
      </c>
      <c r="AK1649" s="1" t="s">
        <v>7241</v>
      </c>
      <c r="AL1649" s="1" t="s">
        <v>28</v>
      </c>
      <c r="AM1649" s="1">
        <v>144.0</v>
      </c>
      <c r="AN1649" s="1">
        <v>1973.0</v>
      </c>
      <c r="AO1649" s="1">
        <v>1973.0</v>
      </c>
      <c r="AQ1649" s="3">
        <v>44808.0</v>
      </c>
      <c r="AR1649" s="1" t="s">
        <v>31</v>
      </c>
      <c r="AS1649" s="1" t="s">
        <v>7242</v>
      </c>
      <c r="AT1649" s="1" t="s">
        <v>31</v>
      </c>
      <c r="AX1649" s="1">
        <v>0.0</v>
      </c>
      <c r="AY1649" s="1">
        <v>0.0</v>
      </c>
    </row>
    <row r="1650" spans="20:51" ht="15.75" hidden="1">
      <c r="T1650" s="1">
        <v>5.0775914E7</v>
      </c>
      <c r="U1650" s="1"/>
      <c r="V1650" s="1"/>
      <c r="W1650" s="1"/>
      <c r="X1650" s="1"/>
      <c r="Y1650" s="1" t="s">
        <v>7243</v>
      </c>
      <c r="Z1650" s="1" t="s">
        <v>7244</v>
      </c>
      <c r="AA1650" s="1" t="s">
        <v>7245</v>
      </c>
      <c r="AB1650" s="1"/>
      <c r="AC1650" s="1"/>
      <c r="AD1650" s="1"/>
      <c r="AE1650" s="1"/>
      <c r="AF1650" s="1" t="s">
        <v>7246</v>
      </c>
      <c r="AG1650" s="2" t="str">
        <f>"0198812795"</f>
        <v>0198812795</v>
      </c>
      <c r="AH1650" s="2" t="str">
        <f>"9780198812791"</f>
        <v>9780198812791</v>
      </c>
      <c r="AI1650" s="1">
        <v>0.0</v>
      </c>
      <c r="AJ1650" s="1">
        <v>4.0</v>
      </c>
      <c r="AK1650" s="1" t="s">
        <v>214</v>
      </c>
      <c r="AL1650" s="1" t="s">
        <v>41</v>
      </c>
      <c r="AM1650" s="1">
        <v>323.0</v>
      </c>
      <c r="AN1650" s="1">
        <v>2019.0</v>
      </c>
      <c r="AQ1650" s="3">
        <v>44808.0</v>
      </c>
      <c r="AR1650" s="1" t="s">
        <v>31</v>
      </c>
      <c r="AS1650" s="1" t="s">
        <v>7247</v>
      </c>
      <c r="AT1650" s="1" t="s">
        <v>31</v>
      </c>
      <c r="AX1650" s="1">
        <v>0.0</v>
      </c>
      <c r="AY1650" s="1">
        <v>0.0</v>
      </c>
    </row>
    <row r="1651" spans="20:51" ht="15.75" hidden="1">
      <c r="T1651" s="1">
        <v>1900454.0</v>
      </c>
      <c r="U1651" s="1"/>
      <c r="V1651" s="1"/>
      <c r="W1651" s="1"/>
      <c r="X1651" s="1"/>
      <c r="Y1651" s="1" t="s">
        <v>7248</v>
      </c>
      <c r="Z1651" s="1" t="s">
        <v>7249</v>
      </c>
      <c r="AA1651" s="1" t="s">
        <v>7250</v>
      </c>
      <c r="AB1651" s="1"/>
      <c r="AC1651" s="1"/>
      <c r="AD1651" s="1"/>
      <c r="AE1651" s="1"/>
      <c r="AG1651" s="2" t="str">
        <f t="shared" si="134" ref="AG1651:AH1651">""</f>
        <v/>
      </c>
      <c r="AH1651" s="2" t="str">
        <f t="shared" si="134"/>
        <v/>
      </c>
      <c r="AI1651" s="1">
        <v>0.0</v>
      </c>
      <c r="AJ1651" s="1">
        <v>3.81</v>
      </c>
      <c r="AK1651" s="1" t="s">
        <v>7251</v>
      </c>
      <c r="AL1651" s="1" t="s">
        <v>41</v>
      </c>
      <c r="AM1651" s="1">
        <v>88.0</v>
      </c>
      <c r="AN1651" s="1">
        <v>1958.0</v>
      </c>
      <c r="AO1651" s="1">
        <v>1927.0</v>
      </c>
      <c r="AQ1651" s="3">
        <v>44808.0</v>
      </c>
      <c r="AR1651" s="1" t="s">
        <v>31</v>
      </c>
      <c r="AS1651" s="1" t="s">
        <v>7252</v>
      </c>
      <c r="AT1651" s="1" t="s">
        <v>31</v>
      </c>
      <c r="AX1651" s="1">
        <v>0.0</v>
      </c>
      <c r="AY1651" s="1">
        <v>0.0</v>
      </c>
    </row>
    <row r="1652" spans="20:51" ht="15.75" hidden="1">
      <c r="T1652" s="1">
        <v>1.7573685E7</v>
      </c>
      <c r="U1652" s="1"/>
      <c r="V1652" s="1"/>
      <c r="W1652" s="1"/>
      <c r="X1652" s="1"/>
      <c r="Y1652" s="1" t="s">
        <v>7253</v>
      </c>
      <c r="Z1652" s="1" t="s">
        <v>7254</v>
      </c>
      <c r="AA1652" s="1" t="s">
        <v>7255</v>
      </c>
      <c r="AB1652" s="1"/>
      <c r="AC1652" s="1"/>
      <c r="AD1652" s="1"/>
      <c r="AE1652" s="1"/>
      <c r="AF1652" s="1" t="s">
        <v>7256</v>
      </c>
      <c r="AG1652" s="2" t="str">
        <f>"0393346781"</f>
        <v>0393346781</v>
      </c>
      <c r="AH1652" s="2" t="str">
        <f>"9780393346787"</f>
        <v>9780393346787</v>
      </c>
      <c r="AI1652" s="1">
        <v>0.0</v>
      </c>
      <c r="AJ1652" s="1">
        <v>3.87</v>
      </c>
      <c r="AK1652" s="1" t="s">
        <v>113</v>
      </c>
      <c r="AL1652" s="1" t="s">
        <v>28</v>
      </c>
      <c r="AM1652" s="1">
        <v>562.0</v>
      </c>
      <c r="AN1652" s="1">
        <v>2013.0</v>
      </c>
      <c r="AO1652" s="1">
        <v>1963.0</v>
      </c>
      <c r="AQ1652" s="3">
        <v>44808.0</v>
      </c>
      <c r="AR1652" s="1" t="s">
        <v>31</v>
      </c>
      <c r="AS1652" s="1" t="s">
        <v>7257</v>
      </c>
      <c r="AT1652" s="1" t="s">
        <v>31</v>
      </c>
      <c r="AX1652" s="1">
        <v>0.0</v>
      </c>
      <c r="AY1652" s="1">
        <v>0.0</v>
      </c>
    </row>
    <row r="1653" spans="20:51" ht="15.75" hidden="1">
      <c r="T1653" s="1">
        <v>931984.0</v>
      </c>
      <c r="U1653" s="1"/>
      <c r="V1653" s="1"/>
      <c r="W1653" s="1"/>
      <c r="X1653" s="1"/>
      <c r="Y1653" s="1" t="s">
        <v>7258</v>
      </c>
      <c r="Z1653" s="1" t="s">
        <v>7259</v>
      </c>
      <c r="AA1653" s="1" t="s">
        <v>7260</v>
      </c>
      <c r="AB1653" s="1"/>
      <c r="AC1653" s="1"/>
      <c r="AD1653" s="1"/>
      <c r="AE1653" s="1"/>
      <c r="AG1653" s="2" t="str">
        <f>"0385094027"</f>
        <v>0385094027</v>
      </c>
      <c r="AH1653" s="2" t="str">
        <f>"9780385094023"</f>
        <v>9780385094023</v>
      </c>
      <c r="AI1653" s="1">
        <v>0.0</v>
      </c>
      <c r="AJ1653" s="1">
        <v>4.06</v>
      </c>
      <c r="AK1653" s="1" t="s">
        <v>4553</v>
      </c>
      <c r="AL1653" s="1" t="s">
        <v>28</v>
      </c>
      <c r="AM1653" s="1">
        <v>259.0</v>
      </c>
      <c r="AN1653" s="1">
        <v>1959.0</v>
      </c>
      <c r="AO1653" s="1">
        <v>1959.0</v>
      </c>
      <c r="AQ1653" s="3">
        <v>44803.0</v>
      </c>
      <c r="AR1653" s="1" t="s">
        <v>31</v>
      </c>
      <c r="AS1653" s="1" t="s">
        <v>7261</v>
      </c>
      <c r="AT1653" s="1" t="s">
        <v>31</v>
      </c>
      <c r="AX1653" s="1">
        <v>0.0</v>
      </c>
      <c r="AY1653" s="1">
        <v>0.0</v>
      </c>
    </row>
    <row r="1654" spans="20:51" ht="15.75" hidden="1">
      <c r="T1654" s="1">
        <v>436108.0</v>
      </c>
      <c r="U1654" s="1"/>
      <c r="V1654" s="1"/>
      <c r="W1654" s="1"/>
      <c r="X1654" s="1"/>
      <c r="Y1654" s="1" t="s">
        <v>7262</v>
      </c>
      <c r="Z1654" s="1" t="s">
        <v>7263</v>
      </c>
      <c r="AA1654" s="1" t="s">
        <v>7264</v>
      </c>
      <c r="AB1654" s="1"/>
      <c r="AC1654" s="1"/>
      <c r="AD1654" s="1"/>
      <c r="AE1654" s="1"/>
      <c r="AG1654" s="2" t="str">
        <f>"0226065588"</f>
        <v>0226065588</v>
      </c>
      <c r="AH1654" s="2" t="str">
        <f>"9780226065588"</f>
        <v>9780226065588</v>
      </c>
      <c r="AI1654" s="1">
        <v>0.0</v>
      </c>
      <c r="AJ1654" s="1">
        <v>4.01</v>
      </c>
      <c r="AK1654" s="1" t="s">
        <v>224</v>
      </c>
      <c r="AL1654" s="1" t="s">
        <v>28</v>
      </c>
      <c r="AM1654" s="1">
        <v>552.0</v>
      </c>
      <c r="AN1654" s="1">
        <v>1983.0</v>
      </c>
      <c r="AO1654" s="1">
        <v>1961.0</v>
      </c>
      <c r="AQ1654" s="3">
        <v>44802.0</v>
      </c>
      <c r="AR1654" s="1" t="s">
        <v>31</v>
      </c>
      <c r="AS1654" s="1" t="s">
        <v>7265</v>
      </c>
      <c r="AT1654" s="1" t="s">
        <v>31</v>
      </c>
      <c r="AX1654" s="1">
        <v>0.0</v>
      </c>
      <c r="AY1654" s="1">
        <v>0.0</v>
      </c>
    </row>
    <row r="1655" spans="20:51" ht="15.75" hidden="1">
      <c r="T1655" s="1">
        <v>154643.0</v>
      </c>
      <c r="U1655" s="1"/>
      <c r="V1655" s="1"/>
      <c r="W1655" s="1"/>
      <c r="X1655" s="1"/>
      <c r="Y1655" s="1" t="s">
        <v>7266</v>
      </c>
      <c r="Z1655" s="1" t="s">
        <v>7267</v>
      </c>
      <c r="AA1655" s="1" t="s">
        <v>7268</v>
      </c>
      <c r="AB1655" s="1"/>
      <c r="AC1655" s="1"/>
      <c r="AD1655" s="1"/>
      <c r="AE1655" s="1"/>
      <c r="AG1655" s="2" t="str">
        <f t="shared" si="135" ref="AG1655:AH1655">""</f>
        <v/>
      </c>
      <c r="AH1655" s="2" t="str">
        <f t="shared" si="135"/>
        <v/>
      </c>
      <c r="AI1655" s="1">
        <v>0.0</v>
      </c>
      <c r="AJ1655" s="1">
        <v>4.05</v>
      </c>
      <c r="AK1655" s="1" t="s">
        <v>6504</v>
      </c>
      <c r="AL1655" s="1" t="s">
        <v>28</v>
      </c>
      <c r="AM1655" s="1">
        <v>224.0</v>
      </c>
      <c r="AN1655" s="1">
        <v>1991.0</v>
      </c>
      <c r="AO1655" s="1">
        <v>1991.0</v>
      </c>
      <c r="AQ1655" s="3">
        <v>44802.0</v>
      </c>
      <c r="AR1655" s="1" t="s">
        <v>31</v>
      </c>
      <c r="AS1655" s="1" t="s">
        <v>7269</v>
      </c>
      <c r="AT1655" s="1" t="s">
        <v>31</v>
      </c>
      <c r="AX1655" s="1">
        <v>0.0</v>
      </c>
      <c r="AY1655" s="1">
        <v>0.0</v>
      </c>
    </row>
    <row r="1656" spans="20:51" ht="15.75" hidden="1">
      <c r="T1656" s="1">
        <v>5.5405181E7</v>
      </c>
      <c r="U1656" s="1"/>
      <c r="V1656" s="1"/>
      <c r="W1656" s="1"/>
      <c r="X1656" s="1"/>
      <c r="Y1656" s="1" t="s">
        <v>7270</v>
      </c>
      <c r="Z1656" s="1" t="s">
        <v>6537</v>
      </c>
      <c r="AA1656" s="1" t="s">
        <v>6538</v>
      </c>
      <c r="AB1656" s="1"/>
      <c r="AC1656" s="1"/>
      <c r="AD1656" s="1"/>
      <c r="AE1656" s="1"/>
      <c r="AG1656" s="2" t="str">
        <f>"1566896150"</f>
        <v>1566896150</v>
      </c>
      <c r="AH1656" s="2" t="str">
        <f>"9781566896153"</f>
        <v>9781566896153</v>
      </c>
      <c r="AI1656" s="1">
        <v>0.0</v>
      </c>
      <c r="AJ1656" s="1">
        <v>4.12</v>
      </c>
      <c r="AK1656" s="1" t="s">
        <v>4008</v>
      </c>
      <c r="AL1656" s="1" t="s">
        <v>65</v>
      </c>
      <c r="AM1656" s="1">
        <v>254.0</v>
      </c>
      <c r="AN1656" s="1">
        <v>2021.0</v>
      </c>
      <c r="AO1656" s="1">
        <v>2021.0</v>
      </c>
      <c r="AQ1656" s="3">
        <v>44801.0</v>
      </c>
      <c r="AR1656" s="1" t="s">
        <v>31</v>
      </c>
      <c r="AS1656" s="1" t="s">
        <v>7271</v>
      </c>
      <c r="AT1656" s="1" t="s">
        <v>31</v>
      </c>
      <c r="AX1656" s="1">
        <v>0.0</v>
      </c>
      <c r="AY1656" s="1">
        <v>0.0</v>
      </c>
    </row>
    <row r="1657" spans="20:51" ht="15.75" hidden="1">
      <c r="T1657" s="1">
        <v>5.8309618E7</v>
      </c>
      <c r="U1657" s="1"/>
      <c r="V1657" s="1"/>
      <c r="W1657" s="1"/>
      <c r="X1657" s="1"/>
      <c r="Y1657" s="1" t="s">
        <v>7272</v>
      </c>
      <c r="Z1657" s="1" t="s">
        <v>7273</v>
      </c>
      <c r="AA1657" s="1" t="s">
        <v>7274</v>
      </c>
      <c r="AB1657" s="1"/>
      <c r="AC1657" s="1"/>
      <c r="AD1657" s="1"/>
      <c r="AE1657" s="1"/>
      <c r="AG1657" s="2" t="str">
        <f>"1496226496"</f>
        <v>1496226496</v>
      </c>
      <c r="AH1657" s="2" t="str">
        <f>"9781496226495"</f>
        <v>9781496226495</v>
      </c>
      <c r="AI1657" s="1">
        <v>0.0</v>
      </c>
      <c r="AJ1657" s="1">
        <v>4.18</v>
      </c>
      <c r="AK1657" s="1" t="s">
        <v>4868</v>
      </c>
      <c r="AL1657" s="1" t="s">
        <v>28</v>
      </c>
      <c r="AM1657" s="1">
        <v>198.0</v>
      </c>
      <c r="AN1657" s="1">
        <v>2022.0</v>
      </c>
      <c r="AQ1657" s="3">
        <v>44798.0</v>
      </c>
      <c r="AR1657" s="1" t="s">
        <v>31</v>
      </c>
      <c r="AS1657" s="1" t="s">
        <v>7275</v>
      </c>
      <c r="AT1657" s="1" t="s">
        <v>31</v>
      </c>
      <c r="AX1657" s="1">
        <v>0.0</v>
      </c>
      <c r="AY1657" s="1">
        <v>0.0</v>
      </c>
    </row>
    <row r="1658" spans="20:51" ht="15.75" hidden="1">
      <c r="T1658" s="1">
        <v>1372009.0</v>
      </c>
      <c r="U1658" s="1"/>
      <c r="V1658" s="1"/>
      <c r="W1658" s="1"/>
      <c r="X1658" s="1"/>
      <c r="Y1658" s="1" t="s">
        <v>7276</v>
      </c>
      <c r="Z1658" s="1" t="s">
        <v>7277</v>
      </c>
      <c r="AA1658" s="1" t="s">
        <v>7278</v>
      </c>
      <c r="AB1658" s="1"/>
      <c r="AC1658" s="1"/>
      <c r="AD1658" s="1"/>
      <c r="AE1658" s="1"/>
      <c r="AG1658" s="2" t="str">
        <f>"0816022682"</f>
        <v>0816022682</v>
      </c>
      <c r="AH1658" s="2" t="str">
        <f>"9780816022687"</f>
        <v>9780816022687</v>
      </c>
      <c r="AI1658" s="1">
        <v>0.0</v>
      </c>
      <c r="AJ1658" s="1">
        <v>4.04</v>
      </c>
      <c r="AK1658" s="1" t="s">
        <v>7279</v>
      </c>
      <c r="AL1658" s="1" t="s">
        <v>28</v>
      </c>
      <c r="AM1658" s="1">
        <v>400.0</v>
      </c>
      <c r="AN1658" s="1">
        <v>1990.0</v>
      </c>
      <c r="AO1658" s="1">
        <v>1989.0</v>
      </c>
      <c r="AQ1658" s="3">
        <v>44790.0</v>
      </c>
      <c r="AR1658" s="1" t="s">
        <v>31</v>
      </c>
      <c r="AS1658" s="1" t="s">
        <v>7280</v>
      </c>
      <c r="AT1658" s="1" t="s">
        <v>31</v>
      </c>
      <c r="AX1658" s="1">
        <v>0.0</v>
      </c>
      <c r="AY1658" s="1">
        <v>0.0</v>
      </c>
    </row>
    <row r="1659" spans="20:51" ht="15.75" hidden="1">
      <c r="T1659" s="1">
        <v>731697.0</v>
      </c>
      <c r="U1659" s="1"/>
      <c r="V1659" s="1"/>
      <c r="W1659" s="1"/>
      <c r="X1659" s="1"/>
      <c r="Y1659" s="1" t="s">
        <v>7281</v>
      </c>
      <c r="Z1659" s="1" t="s">
        <v>2929</v>
      </c>
      <c r="AA1659" s="1" t="s">
        <v>2930</v>
      </c>
      <c r="AB1659" s="1"/>
      <c r="AC1659" s="1"/>
      <c r="AD1659" s="1"/>
      <c r="AE1659" s="1"/>
      <c r="AG1659" s="2" t="str">
        <f>"0140440739"</f>
        <v>0140440739</v>
      </c>
      <c r="AH1659" s="2" t="str">
        <f>"9780140440737"</f>
        <v>9780140440737</v>
      </c>
      <c r="AI1659" s="1">
        <v>0.0</v>
      </c>
      <c r="AJ1659" s="1">
        <v>4.13</v>
      </c>
      <c r="AK1659" s="1" t="s">
        <v>232</v>
      </c>
      <c r="AL1659" s="1" t="s">
        <v>28</v>
      </c>
      <c r="AM1659" s="1">
        <v>320.0</v>
      </c>
      <c r="AN1659" s="1">
        <v>1988.0</v>
      </c>
      <c r="AO1659" s="1">
        <v>1565.0</v>
      </c>
      <c r="AQ1659" s="3">
        <v>44790.0</v>
      </c>
      <c r="AR1659" s="1" t="s">
        <v>31</v>
      </c>
      <c r="AS1659" s="1" t="s">
        <v>7282</v>
      </c>
      <c r="AT1659" s="1" t="s">
        <v>31</v>
      </c>
      <c r="AX1659" s="1">
        <v>0.0</v>
      </c>
      <c r="AY1659" s="1">
        <v>0.0</v>
      </c>
    </row>
    <row r="1660" spans="20:51" ht="15.75" hidden="1">
      <c r="T1660" s="1">
        <v>1453576.0</v>
      </c>
      <c r="U1660" s="1"/>
      <c r="V1660" s="1"/>
      <c r="W1660" s="1"/>
      <c r="X1660" s="1"/>
      <c r="Y1660" s="1" t="s">
        <v>7283</v>
      </c>
      <c r="Z1660" s="1" t="s">
        <v>7284</v>
      </c>
      <c r="AA1660" s="1" t="s">
        <v>7285</v>
      </c>
      <c r="AB1660" s="1"/>
      <c r="AC1660" s="1"/>
      <c r="AD1660" s="1"/>
      <c r="AE1660" s="1"/>
      <c r="AG1660" s="2" t="str">
        <f>"0553260855"</f>
        <v>0553260855</v>
      </c>
      <c r="AH1660" s="2" t="str">
        <f>"9780553260854"</f>
        <v>9780553260854</v>
      </c>
      <c r="AI1660" s="1">
        <v>0.0</v>
      </c>
      <c r="AJ1660" s="1">
        <v>4.23</v>
      </c>
      <c r="AK1660" s="1" t="s">
        <v>1844</v>
      </c>
      <c r="AL1660" s="1" t="s">
        <v>315</v>
      </c>
      <c r="AM1660" s="1">
        <v>304.0</v>
      </c>
      <c r="AN1660" s="1">
        <v>1989.0</v>
      </c>
      <c r="AO1660" s="1">
        <v>1971.0</v>
      </c>
      <c r="AQ1660" s="3">
        <v>44790.0</v>
      </c>
      <c r="AR1660" s="1" t="s">
        <v>31</v>
      </c>
      <c r="AS1660" s="1" t="s">
        <v>7286</v>
      </c>
      <c r="AT1660" s="1" t="s">
        <v>31</v>
      </c>
      <c r="AX1660" s="1">
        <v>0.0</v>
      </c>
      <c r="AY1660" s="1">
        <v>0.0</v>
      </c>
    </row>
    <row r="1661" spans="20:51" ht="15.75" hidden="1">
      <c r="T1661" s="1">
        <v>3.5805856E7</v>
      </c>
      <c r="U1661" s="1"/>
      <c r="V1661" s="1"/>
      <c r="W1661" s="1"/>
      <c r="X1661" s="1"/>
      <c r="Y1661" s="1" t="s">
        <v>7287</v>
      </c>
      <c r="Z1661" s="1" t="s">
        <v>7288</v>
      </c>
      <c r="AA1661" s="1" t="s">
        <v>7289</v>
      </c>
      <c r="AB1661" s="1"/>
      <c r="AC1661" s="1"/>
      <c r="AD1661" s="1"/>
      <c r="AE1661" s="1"/>
      <c r="AF1661" s="1" t="s">
        <v>7290</v>
      </c>
      <c r="AG1661" s="2" t="str">
        <f>"1524733474"</f>
        <v>1524733474</v>
      </c>
      <c r="AH1661" s="2" t="str">
        <f>"9781524733476"</f>
        <v>9781524733476</v>
      </c>
      <c r="AI1661" s="1">
        <v>0.0</v>
      </c>
      <c r="AJ1661" s="1">
        <v>4.17</v>
      </c>
      <c r="AK1661" s="1" t="s">
        <v>634</v>
      </c>
      <c r="AL1661" s="1" t="s">
        <v>41</v>
      </c>
      <c r="AM1661" s="1">
        <v>256.0</v>
      </c>
      <c r="AN1661" s="1">
        <v>2018.0</v>
      </c>
      <c r="AO1661" s="1">
        <v>-400.0</v>
      </c>
      <c r="AQ1661" s="4">
        <v>44176.0</v>
      </c>
      <c r="AR1661" s="1" t="s">
        <v>31</v>
      </c>
      <c r="AS1661" s="1" t="s">
        <v>7291</v>
      </c>
      <c r="AT1661" s="1" t="s">
        <v>31</v>
      </c>
      <c r="AX1661" s="1">
        <v>0.0</v>
      </c>
      <c r="AY1661" s="1">
        <v>0.0</v>
      </c>
    </row>
    <row r="1662" spans="20:51" ht="15.75" hidden="1">
      <c r="T1662" s="1">
        <v>5.6213211E7</v>
      </c>
      <c r="U1662" s="1"/>
      <c r="V1662" s="1"/>
      <c r="W1662" s="1"/>
      <c r="X1662" s="1"/>
      <c r="Y1662" s="1" t="s">
        <v>7292</v>
      </c>
      <c r="Z1662" s="1" t="s">
        <v>7293</v>
      </c>
      <c r="AA1662" s="1" t="s">
        <v>7294</v>
      </c>
      <c r="AB1662" s="1"/>
      <c r="AC1662" s="1"/>
      <c r="AD1662" s="1"/>
      <c r="AE1662" s="1"/>
      <c r="AG1662" s="2" t="str">
        <f>"0691204454"</f>
        <v>0691204454</v>
      </c>
      <c r="AH1662" s="2" t="str">
        <f>"9780691204451"</f>
        <v>9780691204451</v>
      </c>
      <c r="AI1662" s="1">
        <v>0.0</v>
      </c>
      <c r="AJ1662" s="1">
        <v>3.9</v>
      </c>
      <c r="AK1662" s="1" t="s">
        <v>141</v>
      </c>
      <c r="AL1662" s="1" t="s">
        <v>41</v>
      </c>
      <c r="AM1662" s="1">
        <v>256.0</v>
      </c>
      <c r="AN1662" s="1">
        <v>2021.0</v>
      </c>
      <c r="AO1662" s="1">
        <v>2021.0</v>
      </c>
      <c r="AQ1662" s="3">
        <v>44631.0</v>
      </c>
      <c r="AR1662" s="1" t="s">
        <v>31</v>
      </c>
      <c r="AS1662" s="1" t="s">
        <v>7295</v>
      </c>
      <c r="AT1662" s="1" t="s">
        <v>31</v>
      </c>
      <c r="AX1662" s="1">
        <v>0.0</v>
      </c>
      <c r="AY1662" s="1">
        <v>0.0</v>
      </c>
    </row>
    <row r="1663" spans="20:51" ht="15.75" hidden="1">
      <c r="T1663" s="1">
        <v>3.4217599E7</v>
      </c>
      <c r="U1663" s="1"/>
      <c r="V1663" s="1"/>
      <c r="W1663" s="1"/>
      <c r="X1663" s="1"/>
      <c r="Y1663" s="1" t="s">
        <v>7296</v>
      </c>
      <c r="Z1663" s="1" t="s">
        <v>7297</v>
      </c>
      <c r="AA1663" s="1" t="s">
        <v>7298</v>
      </c>
      <c r="AB1663" s="1"/>
      <c r="AC1663" s="1"/>
      <c r="AD1663" s="1"/>
      <c r="AE1663" s="1"/>
      <c r="AG1663" s="2" t="str">
        <f>"0062694057"</f>
        <v>0062694057</v>
      </c>
      <c r="AH1663" s="2" t="str">
        <f>"9780062694058"</f>
        <v>9780062694058</v>
      </c>
      <c r="AI1663" s="1">
        <v>0.0</v>
      </c>
      <c r="AJ1663" s="1">
        <v>3.59</v>
      </c>
      <c r="AK1663" s="1" t="s">
        <v>194</v>
      </c>
      <c r="AL1663" s="1" t="s">
        <v>41</v>
      </c>
      <c r="AM1663" s="1">
        <v>263.0</v>
      </c>
      <c r="AN1663" s="1">
        <v>2017.0</v>
      </c>
      <c r="AO1663" s="1">
        <v>2017.0</v>
      </c>
      <c r="AQ1663" s="3">
        <v>44625.0</v>
      </c>
      <c r="AR1663" s="1" t="s">
        <v>31</v>
      </c>
      <c r="AS1663" s="1" t="s">
        <v>7299</v>
      </c>
      <c r="AT1663" s="1" t="s">
        <v>31</v>
      </c>
      <c r="AX1663" s="1">
        <v>0.0</v>
      </c>
      <c r="AY1663" s="1">
        <v>0.0</v>
      </c>
    </row>
    <row r="1664" spans="20:51" ht="15.75" hidden="1">
      <c r="T1664" s="1">
        <v>676701.0</v>
      </c>
      <c r="U1664" s="1"/>
      <c r="V1664" s="1"/>
      <c r="W1664" s="1"/>
      <c r="X1664" s="1"/>
      <c r="Y1664" s="1" t="s">
        <v>7300</v>
      </c>
      <c r="Z1664" s="1" t="s">
        <v>7301</v>
      </c>
      <c r="AA1664" s="1" t="s">
        <v>7302</v>
      </c>
      <c r="AB1664" s="1"/>
      <c r="AC1664" s="1"/>
      <c r="AD1664" s="1"/>
      <c r="AE1664" s="1"/>
      <c r="AF1664" s="1" t="s">
        <v>7303</v>
      </c>
      <c r="AG1664" s="2" t="str">
        <f>"0156001373"</f>
        <v>0156001373</v>
      </c>
      <c r="AH1664" s="2" t="str">
        <f>"9780156001373"</f>
        <v>9780156001373</v>
      </c>
      <c r="AI1664" s="1">
        <v>0.0</v>
      </c>
      <c r="AJ1664" s="1">
        <v>3.88</v>
      </c>
      <c r="AK1664" s="1" t="s">
        <v>2418</v>
      </c>
      <c r="AL1664" s="1" t="s">
        <v>28</v>
      </c>
      <c r="AM1664" s="1">
        <v>288.0</v>
      </c>
      <c r="AN1664" s="1">
        <v>1995.0</v>
      </c>
      <c r="AO1664" s="1">
        <v>1993.0</v>
      </c>
      <c r="AQ1664" s="3">
        <v>44563.0</v>
      </c>
      <c r="AR1664" s="1" t="s">
        <v>31</v>
      </c>
      <c r="AS1664" s="1" t="s">
        <v>7304</v>
      </c>
      <c r="AT1664" s="1" t="s">
        <v>31</v>
      </c>
      <c r="AX1664" s="1">
        <v>0.0</v>
      </c>
      <c r="AY1664" s="1">
        <v>0.0</v>
      </c>
    </row>
    <row r="1665" spans="20:51" ht="15.75" hidden="1">
      <c r="T1665" s="1">
        <v>149401.0</v>
      </c>
      <c r="U1665" s="1"/>
      <c r="V1665" s="1"/>
      <c r="W1665" s="1"/>
      <c r="X1665" s="1"/>
      <c r="Y1665" s="1" t="s">
        <v>7305</v>
      </c>
      <c r="Z1665" s="1" t="s">
        <v>6676</v>
      </c>
      <c r="AA1665" s="1" t="s">
        <v>6677</v>
      </c>
      <c r="AB1665" s="1"/>
      <c r="AC1665" s="1"/>
      <c r="AD1665" s="1"/>
      <c r="AE1665" s="1"/>
      <c r="AF1665" s="1" t="s">
        <v>7306</v>
      </c>
      <c r="AG1665" s="2" t="str">
        <f>"185984197X"</f>
        <v>185984197X</v>
      </c>
      <c r="AH1665" s="2" t="str">
        <f>"9781859841976"</f>
        <v>9781859841976</v>
      </c>
      <c r="AI1665" s="1">
        <v>0.0</v>
      </c>
      <c r="AJ1665" s="1">
        <v>3.96</v>
      </c>
      <c r="AK1665" s="1" t="s">
        <v>1125</v>
      </c>
      <c r="AL1665" s="1" t="s">
        <v>28</v>
      </c>
      <c r="AM1665" s="1">
        <v>392.0</v>
      </c>
      <c r="AN1665" s="1">
        <v>1997.0</v>
      </c>
      <c r="AO1665" s="1">
        <v>1928.0</v>
      </c>
      <c r="AQ1665" s="4">
        <v>44515.0</v>
      </c>
      <c r="AR1665" s="1" t="s">
        <v>31</v>
      </c>
      <c r="AS1665" s="1" t="s">
        <v>7307</v>
      </c>
      <c r="AT1665" s="1" t="s">
        <v>31</v>
      </c>
      <c r="AX1665" s="1">
        <v>0.0</v>
      </c>
      <c r="AY1665" s="1">
        <v>0.0</v>
      </c>
    </row>
    <row r="1666" spans="20:51" ht="15.75" hidden="1">
      <c r="T1666" s="1">
        <v>4.9885074E7</v>
      </c>
      <c r="U1666" s="1"/>
      <c r="V1666" s="1"/>
      <c r="W1666" s="1"/>
      <c r="X1666" s="1"/>
      <c r="Y1666" s="1" t="s">
        <v>7308</v>
      </c>
      <c r="Z1666" s="1" t="s">
        <v>7309</v>
      </c>
      <c r="AA1666" s="1" t="s">
        <v>7310</v>
      </c>
      <c r="AB1666" s="1"/>
      <c r="AC1666" s="1"/>
      <c r="AD1666" s="1"/>
      <c r="AE1666" s="1"/>
      <c r="AG1666" s="2" t="str">
        <f>"2246822696"</f>
        <v>2246822696</v>
      </c>
      <c r="AH1666" s="2" t="str">
        <f>"9782246822691"</f>
        <v>9782246822691</v>
      </c>
      <c r="AI1666" s="1">
        <v>0.0</v>
      </c>
      <c r="AJ1666" s="1">
        <v>4.28</v>
      </c>
      <c r="AK1666" s="1" t="s">
        <v>7311</v>
      </c>
      <c r="AL1666" s="1" t="s">
        <v>28</v>
      </c>
      <c r="AM1666" s="1">
        <v>216.0</v>
      </c>
      <c r="AN1666" s="1">
        <v>2020.0</v>
      </c>
      <c r="AO1666" s="1">
        <v>2020.0</v>
      </c>
      <c r="AQ1666" s="3">
        <v>44243.0</v>
      </c>
      <c r="AR1666" s="1" t="s">
        <v>31</v>
      </c>
      <c r="AS1666" s="1" t="s">
        <v>7312</v>
      </c>
      <c r="AT1666" s="1" t="s">
        <v>31</v>
      </c>
      <c r="AX1666" s="1">
        <v>0.0</v>
      </c>
      <c r="AY1666" s="1">
        <v>0.0</v>
      </c>
    </row>
    <row r="1667" spans="20:51" ht="15.75" hidden="1">
      <c r="T1667" s="1">
        <v>5.520045E7</v>
      </c>
      <c r="U1667" s="1"/>
      <c r="V1667" s="1"/>
      <c r="W1667" s="1"/>
      <c r="X1667" s="1"/>
      <c r="Y1667" s="1" t="s">
        <v>7313</v>
      </c>
      <c r="Z1667" s="1" t="s">
        <v>7314</v>
      </c>
      <c r="AA1667" s="1" t="s">
        <v>7315</v>
      </c>
      <c r="AB1667" s="1"/>
      <c r="AC1667" s="1"/>
      <c r="AD1667" s="1"/>
      <c r="AE1667" s="1"/>
      <c r="AG1667" s="2" t="str">
        <f>"1443464147"</f>
        <v>1443464147</v>
      </c>
      <c r="AH1667" s="2" t="str">
        <f>"9781443464147"</f>
        <v>9781443464147</v>
      </c>
      <c r="AI1667" s="1">
        <v>0.0</v>
      </c>
      <c r="AJ1667" s="1">
        <v>3.47</v>
      </c>
      <c r="AK1667" s="1" t="s">
        <v>7316</v>
      </c>
      <c r="AL1667" s="1" t="s">
        <v>65</v>
      </c>
      <c r="AM1667" s="1">
        <v>304.0</v>
      </c>
      <c r="AN1667" s="1">
        <v>2021.0</v>
      </c>
      <c r="AO1667" s="1">
        <v>2021.0</v>
      </c>
      <c r="AQ1667" s="3">
        <v>44279.0</v>
      </c>
      <c r="AR1667" s="1" t="s">
        <v>31</v>
      </c>
      <c r="AS1667" s="1" t="s">
        <v>7317</v>
      </c>
      <c r="AT1667" s="1" t="s">
        <v>31</v>
      </c>
      <c r="AX1667" s="1">
        <v>0.0</v>
      </c>
      <c r="AY1667" s="1">
        <v>0.0</v>
      </c>
    </row>
    <row r="1668" spans="20:51" ht="15.75" hidden="1">
      <c r="T1668" s="1">
        <v>2.8949085E7</v>
      </c>
      <c r="U1668" s="1"/>
      <c r="V1668" s="1"/>
      <c r="W1668" s="1"/>
      <c r="X1668" s="1"/>
      <c r="Y1668" s="1" t="s">
        <v>7318</v>
      </c>
      <c r="Z1668" s="1" t="s">
        <v>7319</v>
      </c>
      <c r="AA1668" s="1" t="s">
        <v>7320</v>
      </c>
      <c r="AB1668" s="1"/>
      <c r="AC1668" s="1"/>
      <c r="AD1668" s="1"/>
      <c r="AE1668" s="1"/>
      <c r="AF1668" s="1" t="s">
        <v>7321</v>
      </c>
      <c r="AG1668" s="2" t="str">
        <f>"1114785563"</f>
        <v>1114785563</v>
      </c>
      <c r="AH1668" s="2" t="str">
        <f>"9781114785564"</f>
        <v>9781114785564</v>
      </c>
      <c r="AI1668" s="1">
        <v>0.0</v>
      </c>
      <c r="AJ1668" s="1">
        <v>3.67</v>
      </c>
      <c r="AK1668" s="1" t="s">
        <v>7322</v>
      </c>
      <c r="AL1668" s="1" t="s">
        <v>41</v>
      </c>
      <c r="AM1668" s="1">
        <v>538.0</v>
      </c>
      <c r="AN1668" s="1">
        <v>1964.0</v>
      </c>
      <c r="AQ1668" s="4">
        <v>44510.0</v>
      </c>
      <c r="AR1668" s="1" t="s">
        <v>31</v>
      </c>
      <c r="AS1668" s="1" t="s">
        <v>7323</v>
      </c>
      <c r="AT1668" s="1" t="s">
        <v>31</v>
      </c>
      <c r="AX1668" s="1">
        <v>0.0</v>
      </c>
      <c r="AY1668" s="1">
        <v>0.0</v>
      </c>
    </row>
    <row r="1669" spans="20:51" ht="15.75" hidden="1">
      <c r="T1669" s="1">
        <v>5.137895E7</v>
      </c>
      <c r="U1669" s="1"/>
      <c r="V1669" s="1"/>
      <c r="W1669" s="1"/>
      <c r="X1669" s="1"/>
      <c r="Y1669" s="1" t="s">
        <v>7324</v>
      </c>
      <c r="Z1669" s="1" t="s">
        <v>7325</v>
      </c>
      <c r="AA1669" s="1" t="s">
        <v>7326</v>
      </c>
      <c r="AB1669" s="1"/>
      <c r="AC1669" s="1"/>
      <c r="AD1669" s="1"/>
      <c r="AE1669" s="1"/>
      <c r="AF1669" s="1" t="s">
        <v>7327</v>
      </c>
      <c r="AG1669" s="2" t="str">
        <f>"1529400791"</f>
        <v>1529400791</v>
      </c>
      <c r="AH1669" s="2" t="str">
        <f>"9781529400793"</f>
        <v>9781529400793</v>
      </c>
      <c r="AI1669" s="1">
        <v>0.0</v>
      </c>
      <c r="AJ1669" s="1">
        <v>3.34</v>
      </c>
      <c r="AK1669" s="1" t="s">
        <v>1119</v>
      </c>
      <c r="AL1669" s="1" t="s">
        <v>41</v>
      </c>
      <c r="AM1669" s="1">
        <v>256.0</v>
      </c>
      <c r="AN1669" s="1">
        <v>2020.0</v>
      </c>
      <c r="AO1669" s="1">
        <v>2018.0</v>
      </c>
      <c r="AQ1669" s="3">
        <v>44508.0</v>
      </c>
      <c r="AR1669" s="1" t="s">
        <v>31</v>
      </c>
      <c r="AS1669" s="1" t="s">
        <v>7328</v>
      </c>
      <c r="AT1669" s="1" t="s">
        <v>31</v>
      </c>
      <c r="AX1669" s="1">
        <v>0.0</v>
      </c>
      <c r="AY1669" s="1">
        <v>0.0</v>
      </c>
    </row>
    <row r="1670" spans="20:51" ht="15.75" hidden="1">
      <c r="T1670" s="1">
        <v>257867.0</v>
      </c>
      <c r="U1670" s="1"/>
      <c r="V1670" s="1"/>
      <c r="W1670" s="1"/>
      <c r="X1670" s="1"/>
      <c r="Y1670" s="1" t="s">
        <v>7329</v>
      </c>
      <c r="Z1670" s="1" t="s">
        <v>7330</v>
      </c>
      <c r="AA1670" s="1" t="s">
        <v>7331</v>
      </c>
      <c r="AB1670" s="1"/>
      <c r="AC1670" s="1"/>
      <c r="AD1670" s="1"/>
      <c r="AE1670" s="1"/>
      <c r="AG1670" s="2" t="str">
        <f>"0195056442"</f>
        <v>0195056442</v>
      </c>
      <c r="AH1670" s="2" t="str">
        <f>"9780195056440"</f>
        <v>9780195056440</v>
      </c>
      <c r="AI1670" s="1">
        <v>0.0</v>
      </c>
      <c r="AJ1670" s="1">
        <v>3.98</v>
      </c>
      <c r="AK1670" s="1" t="s">
        <v>214</v>
      </c>
      <c r="AL1670" s="1" t="s">
        <v>28</v>
      </c>
      <c r="AM1670" s="1">
        <v>256.0</v>
      </c>
      <c r="AN1670" s="1">
        <v>1989.0</v>
      </c>
      <c r="AO1670" s="1">
        <v>1986.0</v>
      </c>
      <c r="AQ1670" s="4">
        <v>44484.0</v>
      </c>
      <c r="AR1670" s="1" t="s">
        <v>31</v>
      </c>
      <c r="AS1670" s="1" t="s">
        <v>7332</v>
      </c>
      <c r="AT1670" s="1" t="s">
        <v>31</v>
      </c>
      <c r="AX1670" s="1">
        <v>0.0</v>
      </c>
      <c r="AY1670" s="1">
        <v>0.0</v>
      </c>
    </row>
    <row r="1671" spans="20:51" ht="15.75" hidden="1">
      <c r="T1671" s="1">
        <v>5.1003623E7</v>
      </c>
      <c r="U1671" s="1"/>
      <c r="V1671" s="1"/>
      <c r="W1671" s="1"/>
      <c r="X1671" s="1"/>
      <c r="Y1671" s="1" t="s">
        <v>7333</v>
      </c>
      <c r="Z1671" s="1" t="s">
        <v>1624</v>
      </c>
      <c r="AA1671" s="1" t="s">
        <v>1625</v>
      </c>
      <c r="AB1671" s="1"/>
      <c r="AC1671" s="1"/>
      <c r="AD1671" s="1"/>
      <c r="AE1671" s="1"/>
      <c r="AG1671" s="2" t="str">
        <f>"1784743763"</f>
        <v>1784743763</v>
      </c>
      <c r="AH1671" s="2" t="str">
        <f>"9781784743765"</f>
        <v>9781784743765</v>
      </c>
      <c r="AI1671" s="1">
        <v>0.0</v>
      </c>
      <c r="AJ1671" s="1">
        <v>3.74</v>
      </c>
      <c r="AK1671" s="1" t="s">
        <v>6323</v>
      </c>
      <c r="AL1671" s="1" t="s">
        <v>41</v>
      </c>
      <c r="AM1671" s="1">
        <v>496.0</v>
      </c>
      <c r="AN1671" s="1">
        <v>2021.0</v>
      </c>
      <c r="AO1671" s="1">
        <v>2021.0</v>
      </c>
      <c r="AQ1671" s="4">
        <v>44484.0</v>
      </c>
      <c r="AR1671" s="1" t="s">
        <v>31</v>
      </c>
      <c r="AS1671" s="1" t="s">
        <v>7334</v>
      </c>
      <c r="AT1671" s="1" t="s">
        <v>31</v>
      </c>
      <c r="AX1671" s="1">
        <v>0.0</v>
      </c>
      <c r="AY1671" s="1">
        <v>0.0</v>
      </c>
    </row>
    <row r="1672" spans="20:51" ht="15.75" hidden="1">
      <c r="T1672" s="1">
        <v>1.7262116E7</v>
      </c>
      <c r="U1672" s="1"/>
      <c r="V1672" s="1"/>
      <c r="W1672" s="1"/>
      <c r="X1672" s="1"/>
      <c r="Y1672" s="1" t="s">
        <v>7335</v>
      </c>
      <c r="Z1672" s="1" t="s">
        <v>7336</v>
      </c>
      <c r="AA1672" s="1" t="s">
        <v>7337</v>
      </c>
      <c r="AB1672" s="1"/>
      <c r="AC1672" s="1"/>
      <c r="AD1672" s="1"/>
      <c r="AE1672" s="1"/>
      <c r="AG1672" s="2" t="str">
        <f>"0307952339"</f>
        <v>0307952339</v>
      </c>
      <c r="AH1672" s="2" t="str">
        <f>"9780307952332"</f>
        <v>9780307952332</v>
      </c>
      <c r="AI1672" s="1">
        <v>0.0</v>
      </c>
      <c r="AJ1672" s="1">
        <v>4.25</v>
      </c>
      <c r="AK1672" s="1" t="s">
        <v>7338</v>
      </c>
      <c r="AL1672" s="1" t="s">
        <v>41</v>
      </c>
      <c r="AM1672" s="1">
        <v>592.0</v>
      </c>
      <c r="AN1672" s="1">
        <v>2013.0</v>
      </c>
      <c r="AO1672" s="1">
        <v>2013.0</v>
      </c>
      <c r="AQ1672" s="4">
        <v>44484.0</v>
      </c>
      <c r="AR1672" s="1" t="s">
        <v>31</v>
      </c>
      <c r="AS1672" s="1" t="s">
        <v>7339</v>
      </c>
      <c r="AT1672" s="1" t="s">
        <v>31</v>
      </c>
      <c r="AX1672" s="1">
        <v>0.0</v>
      </c>
      <c r="AY1672" s="1">
        <v>0.0</v>
      </c>
    </row>
    <row r="1673" spans="20:51" ht="15.75" hidden="1">
      <c r="T1673" s="1">
        <v>2120673.0</v>
      </c>
      <c r="U1673" s="1"/>
      <c r="V1673" s="1"/>
      <c r="W1673" s="1"/>
      <c r="X1673" s="1"/>
      <c r="Y1673" s="1" t="s">
        <v>7340</v>
      </c>
      <c r="Z1673" s="1" t="s">
        <v>7341</v>
      </c>
      <c r="AA1673" s="1" t="s">
        <v>7342</v>
      </c>
      <c r="AB1673" s="1"/>
      <c r="AC1673" s="1"/>
      <c r="AD1673" s="1"/>
      <c r="AE1673" s="1"/>
      <c r="AG1673" s="2" t="str">
        <f>"0199290342"</f>
        <v>0199290342</v>
      </c>
      <c r="AH1673" s="2" t="str">
        <f>"9780199290345"</f>
        <v>9780199290345</v>
      </c>
      <c r="AI1673" s="1">
        <v>0.0</v>
      </c>
      <c r="AJ1673" s="1">
        <v>3.62</v>
      </c>
      <c r="AK1673" s="1" t="s">
        <v>5320</v>
      </c>
      <c r="AL1673" s="1" t="s">
        <v>41</v>
      </c>
      <c r="AM1673" s="1">
        <v>184.0</v>
      </c>
      <c r="AN1673" s="1">
        <v>2006.0</v>
      </c>
      <c r="AO1673" s="1">
        <v>2006.0</v>
      </c>
      <c r="AQ1673" s="4">
        <v>44484.0</v>
      </c>
      <c r="AR1673" s="1" t="s">
        <v>31</v>
      </c>
      <c r="AS1673" s="1" t="s">
        <v>7343</v>
      </c>
      <c r="AT1673" s="1" t="s">
        <v>31</v>
      </c>
      <c r="AX1673" s="1">
        <v>0.0</v>
      </c>
      <c r="AY1673" s="1">
        <v>0.0</v>
      </c>
    </row>
    <row r="1674" spans="20:51" ht="15.75" hidden="1">
      <c r="T1674" s="1">
        <v>403110.0</v>
      </c>
      <c r="U1674" s="1"/>
      <c r="V1674" s="1"/>
      <c r="W1674" s="1"/>
      <c r="X1674" s="1"/>
      <c r="Y1674" s="1" t="s">
        <v>7344</v>
      </c>
      <c r="Z1674" s="1" t="s">
        <v>5304</v>
      </c>
      <c r="AA1674" s="1" t="s">
        <v>5305</v>
      </c>
      <c r="AB1674" s="1"/>
      <c r="AC1674" s="1"/>
      <c r="AD1674" s="1"/>
      <c r="AE1674" s="1"/>
      <c r="AG1674" s="2" t="str">
        <f>"0804702667"</f>
        <v>0804702667</v>
      </c>
      <c r="AH1674" s="2" t="str">
        <f>"9780804702669"</f>
        <v>9780804702669</v>
      </c>
      <c r="AI1674" s="1">
        <v>0.0</v>
      </c>
      <c r="AJ1674" s="1">
        <v>4.27</v>
      </c>
      <c r="AK1674" s="1" t="s">
        <v>7345</v>
      </c>
      <c r="AL1674" s="1" t="s">
        <v>28</v>
      </c>
      <c r="AM1674" s="1">
        <v>128.0</v>
      </c>
      <c r="AN1674" s="1">
        <v>1965.0</v>
      </c>
      <c r="AO1674" s="1">
        <v>1965.0</v>
      </c>
      <c r="AQ1674" s="4">
        <v>44484.0</v>
      </c>
      <c r="AR1674" s="1" t="s">
        <v>31</v>
      </c>
      <c r="AS1674" s="1" t="s">
        <v>7346</v>
      </c>
      <c r="AT1674" s="1" t="s">
        <v>31</v>
      </c>
      <c r="AX1674" s="1">
        <v>0.0</v>
      </c>
      <c r="AY1674" s="1">
        <v>0.0</v>
      </c>
    </row>
    <row r="1675" spans="20:51" ht="15.75" hidden="1">
      <c r="T1675" s="1">
        <v>48467.0</v>
      </c>
      <c r="U1675" s="1"/>
      <c r="V1675" s="1"/>
      <c r="W1675" s="1"/>
      <c r="X1675" s="1"/>
      <c r="Y1675" s="1" t="s">
        <v>7347</v>
      </c>
      <c r="Z1675" s="1" t="s">
        <v>7348</v>
      </c>
      <c r="AA1675" s="1" t="s">
        <v>7349</v>
      </c>
      <c r="AB1675" s="1"/>
      <c r="AC1675" s="1"/>
      <c r="AD1675" s="1"/>
      <c r="AE1675" s="1"/>
      <c r="AG1675" s="2" t="str">
        <f>"0374530637"</f>
        <v>0374530637</v>
      </c>
      <c r="AH1675" s="2" t="str">
        <f>"9780374530631"</f>
        <v>9780374530631</v>
      </c>
      <c r="AI1675" s="1">
        <v>0.0</v>
      </c>
      <c r="AJ1675" s="1">
        <v>3.83</v>
      </c>
      <c r="AK1675" s="1" t="s">
        <v>2722</v>
      </c>
      <c r="AL1675" s="1" t="s">
        <v>28</v>
      </c>
      <c r="AM1675" s="1">
        <v>256.0</v>
      </c>
      <c r="AN1675" s="1">
        <v>2007.0</v>
      </c>
      <c r="AO1675" s="1">
        <v>1952.0</v>
      </c>
      <c r="AQ1675" s="4">
        <v>44484.0</v>
      </c>
      <c r="AR1675" s="1" t="s">
        <v>31</v>
      </c>
      <c r="AS1675" s="1" t="s">
        <v>7350</v>
      </c>
      <c r="AT1675" s="1" t="s">
        <v>31</v>
      </c>
      <c r="AX1675" s="1">
        <v>0.0</v>
      </c>
      <c r="AY1675" s="1">
        <v>0.0</v>
      </c>
    </row>
    <row r="1676" spans="20:51" ht="15.75" hidden="1">
      <c r="T1676" s="1">
        <v>29641.0</v>
      </c>
      <c r="U1676" s="1"/>
      <c r="V1676" s="1"/>
      <c r="W1676" s="1"/>
      <c r="X1676" s="1"/>
      <c r="Y1676" s="1" t="s">
        <v>7351</v>
      </c>
      <c r="Z1676" s="1" t="s">
        <v>7352</v>
      </c>
      <c r="AA1676" s="1" t="s">
        <v>7353</v>
      </c>
      <c r="AB1676" s="1"/>
      <c r="AC1676" s="1"/>
      <c r="AD1676" s="1"/>
      <c r="AE1676" s="1"/>
      <c r="AF1676" s="1" t="s">
        <v>7354</v>
      </c>
      <c r="AG1676" s="2" t="str">
        <f t="shared" si="136" ref="AG1676:AH1676">""</f>
        <v/>
      </c>
      <c r="AH1676" s="2" t="str">
        <f t="shared" si="136"/>
        <v/>
      </c>
      <c r="AI1676" s="1">
        <v>0.0</v>
      </c>
      <c r="AJ1676" s="1">
        <v>3.9</v>
      </c>
      <c r="AK1676" s="1" t="s">
        <v>2133</v>
      </c>
      <c r="AL1676" s="1" t="s">
        <v>28</v>
      </c>
      <c r="AM1676" s="1">
        <v>160.0</v>
      </c>
      <c r="AN1676" s="1">
        <v>2004.0</v>
      </c>
      <c r="AO1676" s="1">
        <v>1951.0</v>
      </c>
      <c r="AQ1676" s="4">
        <v>44484.0</v>
      </c>
      <c r="AR1676" s="1" t="s">
        <v>31</v>
      </c>
      <c r="AS1676" s="1" t="s">
        <v>7355</v>
      </c>
      <c r="AT1676" s="1" t="s">
        <v>31</v>
      </c>
      <c r="AX1676" s="1">
        <v>0.0</v>
      </c>
      <c r="AY1676" s="1">
        <v>0.0</v>
      </c>
    </row>
    <row r="1677" spans="20:51" ht="15.75" hidden="1">
      <c r="T1677" s="1">
        <v>144937.0</v>
      </c>
      <c r="U1677" s="1"/>
      <c r="V1677" s="1"/>
      <c r="W1677" s="1"/>
      <c r="X1677" s="1"/>
      <c r="Y1677" s="1" t="s">
        <v>7356</v>
      </c>
      <c r="Z1677" s="1" t="s">
        <v>7357</v>
      </c>
      <c r="AA1677" s="1" t="s">
        <v>7358</v>
      </c>
      <c r="AB1677" s="1"/>
      <c r="AC1677" s="1"/>
      <c r="AD1677" s="1"/>
      <c r="AE1677" s="1"/>
      <c r="AF1677" s="1" t="s">
        <v>7359</v>
      </c>
      <c r="AG1677" s="2" t="str">
        <f>"0195002105"</f>
        <v>0195002105</v>
      </c>
      <c r="AH1677" s="2" t="str">
        <f>"9780195002102"</f>
        <v>9780195002102</v>
      </c>
      <c r="AI1677" s="1">
        <v>0.0</v>
      </c>
      <c r="AJ1677" s="1">
        <v>4.04</v>
      </c>
      <c r="AK1677" s="1" t="s">
        <v>214</v>
      </c>
      <c r="AL1677" s="1" t="s">
        <v>28</v>
      </c>
      <c r="AM1677" s="1">
        <v>232.0</v>
      </c>
      <c r="AN1677" s="1">
        <v>1958.0</v>
      </c>
      <c r="AO1677" s="1">
        <v>1917.0</v>
      </c>
      <c r="AQ1677" s="4">
        <v>44484.0</v>
      </c>
      <c r="AR1677" s="1" t="s">
        <v>31</v>
      </c>
      <c r="AS1677" s="1" t="s">
        <v>7360</v>
      </c>
      <c r="AT1677" s="1" t="s">
        <v>31</v>
      </c>
      <c r="AX1677" s="1">
        <v>0.0</v>
      </c>
      <c r="AY1677" s="1">
        <v>0.0</v>
      </c>
    </row>
    <row r="1678" spans="20:51" ht="15.75" hidden="1">
      <c r="T1678" s="1">
        <v>110455.0</v>
      </c>
      <c r="U1678" s="1"/>
      <c r="V1678" s="1"/>
      <c r="W1678" s="1"/>
      <c r="X1678" s="1"/>
      <c r="Y1678" s="1" t="s">
        <v>7361</v>
      </c>
      <c r="Z1678" s="1" t="s">
        <v>995</v>
      </c>
      <c r="AA1678" s="1" t="s">
        <v>996</v>
      </c>
      <c r="AB1678" s="1"/>
      <c r="AC1678" s="1"/>
      <c r="AD1678" s="1"/>
      <c r="AE1678" s="1"/>
      <c r="AF1678" s="1" t="s">
        <v>7362</v>
      </c>
      <c r="AG1678" s="2" t="str">
        <f>"0803260725"</f>
        <v>0803260725</v>
      </c>
      <c r="AH1678" s="2" t="str">
        <f>"9780803260726"</f>
        <v>9780803260726</v>
      </c>
      <c r="AI1678" s="1">
        <v>0.0</v>
      </c>
      <c r="AJ1678" s="1">
        <v>3.75</v>
      </c>
      <c r="AK1678" s="1" t="s">
        <v>7363</v>
      </c>
      <c r="AL1678" s="1" t="s">
        <v>28</v>
      </c>
      <c r="AM1678" s="1">
        <v>131.0</v>
      </c>
      <c r="AN1678" s="1">
        <v>1988.0</v>
      </c>
      <c r="AO1678" s="1">
        <v>1937.0</v>
      </c>
      <c r="AQ1678" s="4">
        <v>44484.0</v>
      </c>
      <c r="AR1678" s="1" t="s">
        <v>31</v>
      </c>
      <c r="AS1678" s="1" t="s">
        <v>7364</v>
      </c>
      <c r="AT1678" s="1" t="s">
        <v>31</v>
      </c>
      <c r="AX1678" s="1">
        <v>0.0</v>
      </c>
      <c r="AY1678" s="1">
        <v>0.0</v>
      </c>
    </row>
    <row r="1679" spans="20:51" ht="15.75" hidden="1">
      <c r="T1679" s="1">
        <v>1.9919931E7</v>
      </c>
      <c r="U1679" s="1"/>
      <c r="V1679" s="1"/>
      <c r="W1679" s="1"/>
      <c r="X1679" s="1"/>
      <c r="Y1679" s="1" t="s">
        <v>7365</v>
      </c>
      <c r="Z1679" s="1" t="s">
        <v>7366</v>
      </c>
      <c r="AA1679" s="1" t="s">
        <v>7367</v>
      </c>
      <c r="AB1679" s="1"/>
      <c r="AC1679" s="1"/>
      <c r="AD1679" s="1"/>
      <c r="AE1679" s="1"/>
      <c r="AF1679" s="1" t="s">
        <v>7368</v>
      </c>
      <c r="AG1679" s="2" t="str">
        <f t="shared" si="137" ref="AG1679:AH1679">""</f>
        <v/>
      </c>
      <c r="AH1679" s="2" t="str">
        <f t="shared" si="137"/>
        <v/>
      </c>
      <c r="AI1679" s="1">
        <v>0.0</v>
      </c>
      <c r="AJ1679" s="1">
        <v>3.9</v>
      </c>
      <c r="AK1679" s="1" t="s">
        <v>6808</v>
      </c>
      <c r="AL1679" s="1" t="s">
        <v>59</v>
      </c>
      <c r="AM1679" s="1">
        <v>188.0</v>
      </c>
      <c r="AN1679" s="1">
        <v>2011.0</v>
      </c>
      <c r="AO1679" s="1">
        <v>1998.0</v>
      </c>
      <c r="AQ1679" s="4">
        <v>44480.0</v>
      </c>
      <c r="AR1679" s="1" t="s">
        <v>31</v>
      </c>
      <c r="AS1679" s="1" t="s">
        <v>7369</v>
      </c>
      <c r="AT1679" s="1" t="s">
        <v>31</v>
      </c>
      <c r="AX1679" s="1">
        <v>0.0</v>
      </c>
      <c r="AY1679" s="1">
        <v>0.0</v>
      </c>
    </row>
    <row r="1680" spans="20:51" ht="15.75" hidden="1">
      <c r="T1680" s="1">
        <v>53639.0</v>
      </c>
      <c r="U1680" s="1"/>
      <c r="V1680" s="1"/>
      <c r="W1680" s="1"/>
      <c r="X1680" s="1"/>
      <c r="Y1680" s="1" t="s">
        <v>7370</v>
      </c>
      <c r="Z1680" s="1" t="s">
        <v>2520</v>
      </c>
      <c r="AA1680" s="1" t="s">
        <v>2521</v>
      </c>
      <c r="AB1680" s="1"/>
      <c r="AC1680" s="1"/>
      <c r="AD1680" s="1"/>
      <c r="AE1680" s="1"/>
      <c r="AG1680" s="2" t="str">
        <f>"0571203132"</f>
        <v>0571203132</v>
      </c>
      <c r="AH1680" s="2" t="str">
        <f>"9780571203130"</f>
        <v>9780571203130</v>
      </c>
      <c r="AI1680" s="1">
        <v>0.0</v>
      </c>
      <c r="AJ1680" s="1">
        <v>4.05</v>
      </c>
      <c r="AK1680" s="1" t="s">
        <v>7371</v>
      </c>
      <c r="AL1680" s="1" t="s">
        <v>28</v>
      </c>
      <c r="AM1680" s="1">
        <v>335.0</v>
      </c>
      <c r="AN1680" s="1">
        <v>2001.0</v>
      </c>
      <c r="AO1680" s="1">
        <v>1946.0</v>
      </c>
      <c r="AQ1680" s="4">
        <v>44480.0</v>
      </c>
      <c r="AR1680" s="1" t="s">
        <v>31</v>
      </c>
      <c r="AS1680" s="1" t="s">
        <v>7372</v>
      </c>
      <c r="AT1680" s="1" t="s">
        <v>31</v>
      </c>
      <c r="AX1680" s="1">
        <v>0.0</v>
      </c>
      <c r="AY1680" s="1">
        <v>0.0</v>
      </c>
    </row>
    <row r="1681" spans="20:51" ht="15.75" hidden="1">
      <c r="T1681" s="1">
        <v>49176.0</v>
      </c>
      <c r="U1681" s="1"/>
      <c r="V1681" s="1"/>
      <c r="W1681" s="1"/>
      <c r="X1681" s="1"/>
      <c r="Y1681" s="1" t="s">
        <v>7373</v>
      </c>
      <c r="Z1681" s="1" t="s">
        <v>7374</v>
      </c>
      <c r="AA1681" s="1" t="s">
        <v>7375</v>
      </c>
      <c r="AB1681" s="1"/>
      <c r="AC1681" s="1"/>
      <c r="AD1681" s="1"/>
      <c r="AE1681" s="1"/>
      <c r="AG1681" s="2" t="str">
        <f>"0345032799"</f>
        <v>0345032799</v>
      </c>
      <c r="AH1681" s="2" t="str">
        <f>"9780345032799"</f>
        <v>9780345032799</v>
      </c>
      <c r="AI1681" s="1">
        <v>0.0</v>
      </c>
      <c r="AJ1681" s="1">
        <v>3.75</v>
      </c>
      <c r="AK1681" s="1" t="s">
        <v>151</v>
      </c>
      <c r="AL1681" s="1" t="s">
        <v>315</v>
      </c>
      <c r="AM1681" s="1">
        <v>192.0</v>
      </c>
      <c r="AN1681" s="1">
        <v>1964.0</v>
      </c>
      <c r="AO1681" s="1">
        <v>1964.0</v>
      </c>
      <c r="AQ1681" s="4">
        <v>44479.0</v>
      </c>
      <c r="AR1681" s="1" t="s">
        <v>31</v>
      </c>
      <c r="AS1681" s="1" t="s">
        <v>7376</v>
      </c>
      <c r="AT1681" s="1" t="s">
        <v>31</v>
      </c>
      <c r="AX1681" s="1">
        <v>0.0</v>
      </c>
      <c r="AY1681" s="1">
        <v>0.0</v>
      </c>
    </row>
    <row r="1682" spans="20:51" ht="15.75" hidden="1">
      <c r="T1682" s="1">
        <v>332792.0</v>
      </c>
      <c r="U1682" s="1"/>
      <c r="V1682" s="1"/>
      <c r="W1682" s="1"/>
      <c r="X1682" s="1"/>
      <c r="Y1682" s="1" t="s">
        <v>7377</v>
      </c>
      <c r="Z1682" s="1" t="s">
        <v>7378</v>
      </c>
      <c r="AA1682" s="1" t="s">
        <v>7379</v>
      </c>
      <c r="AB1682" s="1"/>
      <c r="AC1682" s="1"/>
      <c r="AD1682" s="1"/>
      <c r="AE1682" s="1"/>
      <c r="AG1682" s="2" t="str">
        <f>"0471293091"</f>
        <v>0471293091</v>
      </c>
      <c r="AH1682" s="2" t="str">
        <f>"9780471293095"</f>
        <v>9780471293095</v>
      </c>
      <c r="AI1682" s="1">
        <v>0.0</v>
      </c>
      <c r="AJ1682" s="1">
        <v>4.17</v>
      </c>
      <c r="AK1682" s="1" t="s">
        <v>2617</v>
      </c>
      <c r="AL1682" s="1" t="s">
        <v>41</v>
      </c>
      <c r="AM1682" s="1">
        <v>274.0</v>
      </c>
      <c r="AN1682" s="1">
        <v>1998.0</v>
      </c>
      <c r="AO1682" s="1">
        <v>1961.0</v>
      </c>
      <c r="AQ1682" s="4">
        <v>44479.0</v>
      </c>
      <c r="AR1682" s="1" t="s">
        <v>31</v>
      </c>
      <c r="AS1682" s="1" t="s">
        <v>7380</v>
      </c>
      <c r="AT1682" s="1" t="s">
        <v>31</v>
      </c>
      <c r="AX1682" s="1">
        <v>0.0</v>
      </c>
      <c r="AY1682" s="1">
        <v>0.0</v>
      </c>
    </row>
    <row r="1683" spans="20:51" ht="15.75" hidden="1">
      <c r="T1683" s="1">
        <v>12073.0</v>
      </c>
      <c r="U1683" s="1"/>
      <c r="V1683" s="1"/>
      <c r="W1683" s="1"/>
      <c r="X1683" s="1"/>
      <c r="Y1683" s="1" t="s">
        <v>7381</v>
      </c>
      <c r="Z1683" s="1" t="s">
        <v>7382</v>
      </c>
      <c r="AA1683" s="1" t="s">
        <v>7383</v>
      </c>
      <c r="AB1683" s="1"/>
      <c r="AC1683" s="1"/>
      <c r="AD1683" s="1"/>
      <c r="AE1683" s="1"/>
      <c r="AF1683" s="1" t="s">
        <v>7384</v>
      </c>
      <c r="AG1683" s="2" t="str">
        <f>"0631231277"</f>
        <v>0631231277</v>
      </c>
      <c r="AH1683" s="2" t="str">
        <f>"9780631231271"</f>
        <v>9780631231271</v>
      </c>
      <c r="AI1683" s="1">
        <v>0.0</v>
      </c>
      <c r="AJ1683" s="1">
        <v>4.25</v>
      </c>
      <c r="AK1683" s="1" t="s">
        <v>7385</v>
      </c>
      <c r="AL1683" s="1" t="s">
        <v>41</v>
      </c>
      <c r="AM1683" s="1">
        <v>246.0</v>
      </c>
      <c r="AN1683" s="1">
        <v>2001.0</v>
      </c>
      <c r="AO1683" s="1">
        <v>1953.0</v>
      </c>
      <c r="AQ1683" s="3">
        <v>44473.0</v>
      </c>
      <c r="AR1683" s="1" t="s">
        <v>31</v>
      </c>
      <c r="AS1683" s="1" t="s">
        <v>7386</v>
      </c>
      <c r="AT1683" s="1" t="s">
        <v>31</v>
      </c>
      <c r="AX1683" s="1">
        <v>0.0</v>
      </c>
      <c r="AY1683" s="1">
        <v>0.0</v>
      </c>
    </row>
    <row r="1684" spans="20:51" ht="15.75" hidden="1">
      <c r="T1684" s="1">
        <v>230817.0</v>
      </c>
      <c r="U1684" s="1"/>
      <c r="V1684" s="1"/>
      <c r="W1684" s="1"/>
      <c r="X1684" s="1"/>
      <c r="Y1684" s="1" t="s">
        <v>7387</v>
      </c>
      <c r="Z1684" s="1" t="s">
        <v>2638</v>
      </c>
      <c r="AA1684" s="1" t="s">
        <v>2639</v>
      </c>
      <c r="AB1684" s="1"/>
      <c r="AC1684" s="1"/>
      <c r="AD1684" s="1"/>
      <c r="AE1684" s="1"/>
      <c r="AG1684" s="2" t="str">
        <f>"1903933617"</f>
        <v>1903933617</v>
      </c>
      <c r="AH1684" s="2" t="str">
        <f>"9781903933619"</f>
        <v>9781903933619</v>
      </c>
      <c r="AI1684" s="1">
        <v>0.0</v>
      </c>
      <c r="AJ1684" s="1">
        <v>3.52</v>
      </c>
      <c r="AK1684" s="1" t="s">
        <v>7388</v>
      </c>
      <c r="AL1684" s="1" t="s">
        <v>41</v>
      </c>
      <c r="AM1684" s="1">
        <v>138.0</v>
      </c>
      <c r="AN1684" s="1">
        <v>2004.0</v>
      </c>
      <c r="AO1684" s="1">
        <v>1831.0</v>
      </c>
      <c r="AQ1684" s="3">
        <v>44468.0</v>
      </c>
      <c r="AR1684" s="1" t="s">
        <v>31</v>
      </c>
      <c r="AS1684" s="1" t="s">
        <v>7389</v>
      </c>
      <c r="AT1684" s="1" t="s">
        <v>31</v>
      </c>
      <c r="AX1684" s="1">
        <v>0.0</v>
      </c>
      <c r="AY1684" s="1">
        <v>0.0</v>
      </c>
    </row>
    <row r="1685" spans="20:51" ht="15.75" hidden="1">
      <c r="T1685" s="1">
        <v>44039.0</v>
      </c>
      <c r="U1685" s="1"/>
      <c r="V1685" s="1"/>
      <c r="W1685" s="1"/>
      <c r="X1685" s="1"/>
      <c r="Y1685" s="1" t="s">
        <v>7390</v>
      </c>
      <c r="Z1685" s="1" t="s">
        <v>7391</v>
      </c>
      <c r="AA1685" s="1" t="s">
        <v>7392</v>
      </c>
      <c r="AB1685" s="1"/>
      <c r="AC1685" s="1"/>
      <c r="AD1685" s="1"/>
      <c r="AE1685" s="1"/>
      <c r="AF1685" s="1" t="s">
        <v>7393</v>
      </c>
      <c r="AG1685" s="2" t="str">
        <f>"081121592X"</f>
        <v>081121592X</v>
      </c>
      <c r="AH1685" s="2" t="str">
        <f>"9780811215923"</f>
        <v>9780811215923</v>
      </c>
      <c r="AI1685" s="1">
        <v>0.0</v>
      </c>
      <c r="AJ1685" s="1">
        <v>3.81</v>
      </c>
      <c r="AK1685" s="1" t="s">
        <v>95</v>
      </c>
      <c r="AL1685" s="1" t="s">
        <v>28</v>
      </c>
      <c r="AM1685" s="1">
        <v>135.0</v>
      </c>
      <c r="AN1685" s="1">
        <v>2005.0</v>
      </c>
      <c r="AO1685" s="1">
        <v>2000.0</v>
      </c>
      <c r="AQ1685" s="3">
        <v>44460.0</v>
      </c>
      <c r="AR1685" s="1" t="s">
        <v>31</v>
      </c>
      <c r="AS1685" s="1" t="s">
        <v>7394</v>
      </c>
      <c r="AT1685" s="1" t="s">
        <v>31</v>
      </c>
      <c r="AX1685" s="1">
        <v>0.0</v>
      </c>
      <c r="AY1685" s="1">
        <v>0.0</v>
      </c>
    </row>
    <row r="1686" spans="20:51" ht="15.75" hidden="1">
      <c r="T1686" s="1">
        <v>315736.0</v>
      </c>
      <c r="U1686" s="1"/>
      <c r="V1686" s="1"/>
      <c r="W1686" s="1"/>
      <c r="X1686" s="1"/>
      <c r="Y1686" s="1" t="s">
        <v>7395</v>
      </c>
      <c r="Z1686" s="1" t="s">
        <v>7396</v>
      </c>
      <c r="AA1686" s="1" t="s">
        <v>7397</v>
      </c>
      <c r="AB1686" s="1"/>
      <c r="AC1686" s="1"/>
      <c r="AD1686" s="1"/>
      <c r="AE1686" s="1"/>
      <c r="AF1686" s="1" t="s">
        <v>7398</v>
      </c>
      <c r="AG1686" s="2" t="str">
        <f>"0803269072"</f>
        <v>0803269072</v>
      </c>
      <c r="AH1686" s="2" t="str">
        <f>"9780803269071"</f>
        <v>9780803269071</v>
      </c>
      <c r="AI1686" s="1">
        <v>0.0</v>
      </c>
      <c r="AJ1686" s="1">
        <v>3.82</v>
      </c>
      <c r="AK1686" s="1" t="s">
        <v>4868</v>
      </c>
      <c r="AL1686" s="1" t="s">
        <v>28</v>
      </c>
      <c r="AM1686" s="1">
        <v>154.0</v>
      </c>
      <c r="AN1686" s="1">
        <v>2002.0</v>
      </c>
      <c r="AO1686" s="1">
        <v>1935.0</v>
      </c>
      <c r="AQ1686" s="3">
        <v>44460.0</v>
      </c>
      <c r="AR1686" s="1" t="s">
        <v>31</v>
      </c>
      <c r="AS1686" s="1" t="s">
        <v>7399</v>
      </c>
      <c r="AT1686" s="1" t="s">
        <v>31</v>
      </c>
      <c r="AX1686" s="1">
        <v>0.0</v>
      </c>
      <c r="AY1686" s="1">
        <v>0.0</v>
      </c>
    </row>
    <row r="1687" spans="20:51" ht="15.75" hidden="1">
      <c r="T1687" s="1">
        <v>1.1076138E7</v>
      </c>
      <c r="U1687" s="1"/>
      <c r="V1687" s="1"/>
      <c r="W1687" s="1"/>
      <c r="X1687" s="1"/>
      <c r="Y1687" s="1" t="s">
        <v>7400</v>
      </c>
      <c r="Z1687" s="1" t="s">
        <v>7401</v>
      </c>
      <c r="AA1687" s="1" t="s">
        <v>7402</v>
      </c>
      <c r="AB1687" s="1"/>
      <c r="AC1687" s="1"/>
      <c r="AD1687" s="1"/>
      <c r="AE1687" s="1"/>
      <c r="AG1687" s="2" t="str">
        <f>"024114311X"</f>
        <v>024114311X</v>
      </c>
      <c r="AH1687" s="2" t="str">
        <f>"9780241143117"</f>
        <v>9780241143117</v>
      </c>
      <c r="AI1687" s="1">
        <v>0.0</v>
      </c>
      <c r="AJ1687" s="1">
        <v>3.65</v>
      </c>
      <c r="AK1687" s="1" t="s">
        <v>146</v>
      </c>
      <c r="AL1687" s="1" t="s">
        <v>28</v>
      </c>
      <c r="AM1687" s="1">
        <v>383.0</v>
      </c>
      <c r="AN1687" s="1">
        <v>2011.0</v>
      </c>
      <c r="AO1687" s="1">
        <v>2011.0</v>
      </c>
      <c r="AQ1687" s="3">
        <v>44459.0</v>
      </c>
      <c r="AR1687" s="1" t="s">
        <v>31</v>
      </c>
      <c r="AS1687" s="1" t="s">
        <v>7403</v>
      </c>
      <c r="AT1687" s="1" t="s">
        <v>31</v>
      </c>
      <c r="AX1687" s="1">
        <v>0.0</v>
      </c>
      <c r="AY1687" s="1">
        <v>0.0</v>
      </c>
    </row>
    <row r="1688" spans="20:51" ht="15.75" hidden="1">
      <c r="T1688" s="1">
        <v>310722.0</v>
      </c>
      <c r="U1688" s="1"/>
      <c r="V1688" s="1"/>
      <c r="W1688" s="1"/>
      <c r="X1688" s="1"/>
      <c r="Y1688" s="1" t="s">
        <v>7404</v>
      </c>
      <c r="Z1688" s="1" t="s">
        <v>7405</v>
      </c>
      <c r="AA1688" s="1" t="s">
        <v>7406</v>
      </c>
      <c r="AB1688" s="1"/>
      <c r="AC1688" s="1"/>
      <c r="AD1688" s="1"/>
      <c r="AE1688" s="1"/>
      <c r="AF1688" s="1" t="s">
        <v>7407</v>
      </c>
      <c r="AG1688" s="2" t="str">
        <f>"1590171969"</f>
        <v>1590171969</v>
      </c>
      <c r="AH1688" s="2" t="str">
        <f>"9781590171967"</f>
        <v>9781590171967</v>
      </c>
      <c r="AI1688" s="1">
        <v>0.0</v>
      </c>
      <c r="AJ1688" s="1">
        <v>3.82</v>
      </c>
      <c r="AK1688" s="1" t="s">
        <v>7408</v>
      </c>
      <c r="AL1688" s="1" t="s">
        <v>28</v>
      </c>
      <c r="AM1688" s="1">
        <v>299.0</v>
      </c>
      <c r="AN1688" s="1">
        <v>2007.0</v>
      </c>
      <c r="AO1688" s="1">
        <v>2000.0</v>
      </c>
      <c r="AQ1688" s="3">
        <v>44459.0</v>
      </c>
      <c r="AR1688" s="1" t="s">
        <v>31</v>
      </c>
      <c r="AS1688" s="1" t="s">
        <v>7409</v>
      </c>
      <c r="AT1688" s="1" t="s">
        <v>31</v>
      </c>
      <c r="AX1688" s="1">
        <v>0.0</v>
      </c>
      <c r="AY1688" s="1">
        <v>0.0</v>
      </c>
    </row>
    <row r="1689" spans="20:51" ht="15.75" hidden="1">
      <c r="T1689" s="1">
        <v>25191.0</v>
      </c>
      <c r="U1689" s="1"/>
      <c r="V1689" s="1"/>
      <c r="W1689" s="1"/>
      <c r="X1689" s="1"/>
      <c r="Y1689" s="1" t="s">
        <v>7410</v>
      </c>
      <c r="Z1689" s="1" t="s">
        <v>7411</v>
      </c>
      <c r="AA1689" s="1" t="s">
        <v>7412</v>
      </c>
      <c r="AB1689" s="1"/>
      <c r="AC1689" s="1"/>
      <c r="AD1689" s="1"/>
      <c r="AE1689" s="1"/>
      <c r="AF1689" s="1" t="s">
        <v>7413</v>
      </c>
      <c r="AG1689" s="2" t="str">
        <f>"0802150616"</f>
        <v>0802150616</v>
      </c>
      <c r="AH1689" s="2" t="str">
        <f>"9780802150615"</f>
        <v>9780802150615</v>
      </c>
      <c r="AI1689" s="1">
        <v>0.0</v>
      </c>
      <c r="AJ1689" s="1">
        <v>3.9</v>
      </c>
      <c r="AK1689" s="1" t="s">
        <v>35</v>
      </c>
      <c r="AL1689" s="1" t="s">
        <v>28</v>
      </c>
      <c r="AM1689" s="1">
        <v>165.0</v>
      </c>
      <c r="AN1689" s="1">
        <v>1994.0</v>
      </c>
      <c r="AO1689" s="1">
        <v>1964.0</v>
      </c>
      <c r="AQ1689" s="3">
        <v>44459.0</v>
      </c>
      <c r="AR1689" s="1" t="s">
        <v>31</v>
      </c>
      <c r="AS1689" s="1" t="s">
        <v>7414</v>
      </c>
      <c r="AT1689" s="1" t="s">
        <v>31</v>
      </c>
      <c r="AX1689" s="1">
        <v>0.0</v>
      </c>
      <c r="AY1689" s="1">
        <v>0.0</v>
      </c>
    </row>
    <row r="1690" spans="20:51" ht="15.75" hidden="1">
      <c r="T1690" s="1">
        <v>318335.0</v>
      </c>
      <c r="U1690" s="1"/>
      <c r="V1690" s="1"/>
      <c r="W1690" s="1"/>
      <c r="X1690" s="1"/>
      <c r="Y1690" s="1" t="s">
        <v>7415</v>
      </c>
      <c r="Z1690" s="1" t="s">
        <v>7416</v>
      </c>
      <c r="AA1690" s="1" t="s">
        <v>7417</v>
      </c>
      <c r="AB1690" s="1"/>
      <c r="AC1690" s="1"/>
      <c r="AD1690" s="1"/>
      <c r="AE1690" s="1"/>
      <c r="AF1690" s="1" t="s">
        <v>7418</v>
      </c>
      <c r="AG1690" s="2" t="str">
        <f>"1400078636"</f>
        <v>1400078636</v>
      </c>
      <c r="AH1690" s="2" t="str">
        <f>"9781400078639"</f>
        <v>9781400078639</v>
      </c>
      <c r="AI1690" s="1">
        <v>0.0</v>
      </c>
      <c r="AJ1690" s="1">
        <v>4.07</v>
      </c>
      <c r="AK1690" s="1" t="s">
        <v>253</v>
      </c>
      <c r="AL1690" s="1" t="s">
        <v>28</v>
      </c>
      <c r="AM1690" s="1">
        <v>262.0</v>
      </c>
      <c r="AN1690" s="1">
        <v>2004.0</v>
      </c>
      <c r="AO1690" s="1">
        <v>1975.0</v>
      </c>
      <c r="AQ1690" s="3">
        <v>44459.0</v>
      </c>
      <c r="AR1690" s="1" t="s">
        <v>31</v>
      </c>
      <c r="AS1690" s="1" t="s">
        <v>7419</v>
      </c>
      <c r="AT1690" s="1" t="s">
        <v>31</v>
      </c>
      <c r="AX1690" s="1">
        <v>0.0</v>
      </c>
      <c r="AY1690" s="1">
        <v>0.0</v>
      </c>
    </row>
    <row r="1691" spans="20:51" ht="15.75" hidden="1">
      <c r="T1691" s="1">
        <v>77287.0</v>
      </c>
      <c r="U1691" s="1"/>
      <c r="V1691" s="1"/>
      <c r="W1691" s="1"/>
      <c r="X1691" s="1"/>
      <c r="Y1691" s="1" t="s">
        <v>7420</v>
      </c>
      <c r="Z1691" s="1" t="s">
        <v>7421</v>
      </c>
      <c r="AA1691" s="1" t="s">
        <v>7422</v>
      </c>
      <c r="AB1691" s="1"/>
      <c r="AC1691" s="1"/>
      <c r="AD1691" s="1"/>
      <c r="AE1691" s="1"/>
      <c r="AF1691" s="1" t="s">
        <v>7423</v>
      </c>
      <c r="AG1691" s="2" t="str">
        <f>"0679767924"</f>
        <v>0679767924</v>
      </c>
      <c r="AH1691" s="2" t="str">
        <f>"9780679767923"</f>
        <v>9780679767923</v>
      </c>
      <c r="AI1691" s="1">
        <v>0.0</v>
      </c>
      <c r="AJ1691" s="1">
        <v>4.14</v>
      </c>
      <c r="AK1691" s="1" t="s">
        <v>83</v>
      </c>
      <c r="AL1691" s="1" t="s">
        <v>28</v>
      </c>
      <c r="AM1691" s="1">
        <v>482.0</v>
      </c>
      <c r="AN1691" s="1">
        <v>1997.0</v>
      </c>
      <c r="AO1691" s="1">
        <v>1934.0</v>
      </c>
      <c r="AQ1691" s="3">
        <v>44459.0</v>
      </c>
      <c r="AR1691" s="1" t="s">
        <v>31</v>
      </c>
      <c r="AS1691" s="1" t="s">
        <v>7424</v>
      </c>
      <c r="AT1691" s="1" t="s">
        <v>31</v>
      </c>
      <c r="AX1691" s="1">
        <v>0.0</v>
      </c>
      <c r="AY1691" s="1">
        <v>0.0</v>
      </c>
    </row>
    <row r="1692" spans="20:51" ht="15.75" hidden="1">
      <c r="T1692" s="1">
        <v>17125.0</v>
      </c>
      <c r="U1692" s="1"/>
      <c r="V1692" s="1"/>
      <c r="W1692" s="1"/>
      <c r="X1692" s="1"/>
      <c r="Y1692" s="1" t="s">
        <v>7425</v>
      </c>
      <c r="Z1692" s="1" t="s">
        <v>7426</v>
      </c>
      <c r="AA1692" s="1" t="s">
        <v>7427</v>
      </c>
      <c r="AB1692" s="1"/>
      <c r="AC1692" s="1"/>
      <c r="AD1692" s="1"/>
      <c r="AE1692" s="1"/>
      <c r="AF1692" s="1" t="s">
        <v>7428</v>
      </c>
      <c r="AG1692" s="2" t="str">
        <f t="shared" si="138" ref="AG1692:AH1692">""</f>
        <v/>
      </c>
      <c r="AH1692" s="2" t="str">
        <f t="shared" si="138"/>
        <v/>
      </c>
      <c r="AI1692" s="1">
        <v>0.0</v>
      </c>
      <c r="AJ1692" s="1">
        <v>3.98</v>
      </c>
      <c r="AK1692" s="1" t="s">
        <v>89</v>
      </c>
      <c r="AL1692" s="1" t="s">
        <v>28</v>
      </c>
      <c r="AM1692" s="1">
        <v>182.0</v>
      </c>
      <c r="AN1692" s="1">
        <v>2005.0</v>
      </c>
      <c r="AO1692" s="1">
        <v>1962.0</v>
      </c>
      <c r="AQ1692" s="3">
        <v>44459.0</v>
      </c>
      <c r="AR1692" s="1" t="s">
        <v>31</v>
      </c>
      <c r="AS1692" s="1" t="s">
        <v>7429</v>
      </c>
      <c r="AT1692" s="1" t="s">
        <v>31</v>
      </c>
      <c r="AX1692" s="1">
        <v>0.0</v>
      </c>
      <c r="AY1692" s="1">
        <v>0.0</v>
      </c>
    </row>
    <row r="1693" spans="20:51" ht="15.75" hidden="1">
      <c r="T1693" s="1">
        <v>8047215.0</v>
      </c>
      <c r="U1693" s="1"/>
      <c r="V1693" s="1"/>
      <c r="W1693" s="1"/>
      <c r="X1693" s="1"/>
      <c r="Y1693" s="1" t="s">
        <v>7430</v>
      </c>
      <c r="Z1693" s="1" t="s">
        <v>7431</v>
      </c>
      <c r="AA1693" s="1" t="s">
        <v>7432</v>
      </c>
      <c r="AB1693" s="1"/>
      <c r="AC1693" s="1"/>
      <c r="AD1693" s="1"/>
      <c r="AE1693" s="1"/>
      <c r="AG1693" s="2" t="str">
        <f>"0199532915"</f>
        <v>0199532915</v>
      </c>
      <c r="AH1693" s="2" t="str">
        <f>"9780199532919"</f>
        <v>9780199532919</v>
      </c>
      <c r="AI1693" s="1">
        <v>0.0</v>
      </c>
      <c r="AJ1693" s="1">
        <v>4.06</v>
      </c>
      <c r="AK1693" s="1" t="s">
        <v>214</v>
      </c>
      <c r="AL1693" s="1" t="s">
        <v>28</v>
      </c>
      <c r="AM1693" s="1">
        <v>500.0</v>
      </c>
      <c r="AN1693" s="1">
        <v>2010.0</v>
      </c>
      <c r="AO1693" s="1">
        <v>2010.0</v>
      </c>
      <c r="AQ1693" s="3">
        <v>44455.0</v>
      </c>
      <c r="AR1693" s="1" t="s">
        <v>31</v>
      </c>
      <c r="AS1693" s="1" t="s">
        <v>7433</v>
      </c>
      <c r="AT1693" s="1" t="s">
        <v>31</v>
      </c>
      <c r="AX1693" s="1">
        <v>0.0</v>
      </c>
      <c r="AY1693" s="1">
        <v>0.0</v>
      </c>
    </row>
    <row r="1694" spans="20:51" ht="15.75" hidden="1">
      <c r="T1694" s="1">
        <v>108387.0</v>
      </c>
      <c r="U1694" s="1"/>
      <c r="V1694" s="1"/>
      <c r="W1694" s="1"/>
      <c r="X1694" s="1"/>
      <c r="Y1694" s="1" t="s">
        <v>7434</v>
      </c>
      <c r="Z1694" s="1" t="s">
        <v>7435</v>
      </c>
      <c r="AA1694" s="1" t="s">
        <v>7436</v>
      </c>
      <c r="AB1694" s="1"/>
      <c r="AC1694" s="1"/>
      <c r="AD1694" s="1"/>
      <c r="AE1694" s="1"/>
      <c r="AG1694" s="2" t="str">
        <f>"002907052X"</f>
        <v>002907052X</v>
      </c>
      <c r="AH1694" s="2" t="str">
        <f>"9780029070529"</f>
        <v>9780029070529</v>
      </c>
      <c r="AI1694" s="1">
        <v>0.0</v>
      </c>
      <c r="AJ1694" s="1">
        <v>4.12</v>
      </c>
      <c r="AK1694" s="1" t="s">
        <v>280</v>
      </c>
      <c r="AL1694" s="1" t="s">
        <v>28</v>
      </c>
      <c r="AM1694" s="1">
        <v>386.0</v>
      </c>
      <c r="AN1694" s="1">
        <v>1994.0</v>
      </c>
      <c r="AO1694" s="1">
        <v>1967.0</v>
      </c>
      <c r="AQ1694" s="3">
        <v>44455.0</v>
      </c>
      <c r="AR1694" s="1" t="s">
        <v>31</v>
      </c>
      <c r="AS1694" s="1" t="s">
        <v>7437</v>
      </c>
      <c r="AT1694" s="1" t="s">
        <v>31</v>
      </c>
      <c r="AX1694" s="1">
        <v>0.0</v>
      </c>
      <c r="AY1694" s="1">
        <v>0.0</v>
      </c>
    </row>
    <row r="1695" spans="20:51" ht="15.75" hidden="1">
      <c r="T1695" s="1">
        <v>654425.0</v>
      </c>
      <c r="U1695" s="1"/>
      <c r="V1695" s="1"/>
      <c r="W1695" s="1"/>
      <c r="X1695" s="1"/>
      <c r="Y1695" s="1" t="s">
        <v>7438</v>
      </c>
      <c r="Z1695" s="1" t="s">
        <v>7439</v>
      </c>
      <c r="AA1695" s="1" t="s">
        <v>7440</v>
      </c>
      <c r="AB1695" s="1"/>
      <c r="AC1695" s="1"/>
      <c r="AD1695" s="1"/>
      <c r="AE1695" s="1"/>
      <c r="AG1695" s="2" t="str">
        <f>"0393312658"</f>
        <v>0393312658</v>
      </c>
      <c r="AH1695" s="2" t="str">
        <f>"9780393312652"</f>
        <v>9780393312652</v>
      </c>
      <c r="AI1695" s="1">
        <v>0.0</v>
      </c>
      <c r="AJ1695" s="1">
        <v>4.16</v>
      </c>
      <c r="AK1695" s="1" t="s">
        <v>2254</v>
      </c>
      <c r="AL1695" s="1" t="s">
        <v>28</v>
      </c>
      <c r="AM1695" s="1">
        <v>416.0</v>
      </c>
      <c r="AN1695" s="1">
        <v>1995.0</v>
      </c>
      <c r="AO1695" s="1">
        <v>1993.0</v>
      </c>
      <c r="AQ1695" s="3">
        <v>44455.0</v>
      </c>
      <c r="AR1695" s="1" t="s">
        <v>31</v>
      </c>
      <c r="AS1695" s="1" t="s">
        <v>7441</v>
      </c>
      <c r="AT1695" s="1" t="s">
        <v>31</v>
      </c>
      <c r="AX1695" s="1">
        <v>0.0</v>
      </c>
      <c r="AY1695" s="1">
        <v>0.0</v>
      </c>
    </row>
    <row r="1696" spans="20:51" ht="15.75" hidden="1">
      <c r="T1696" s="1">
        <v>216485.0</v>
      </c>
      <c r="U1696" s="1"/>
      <c r="V1696" s="1"/>
      <c r="W1696" s="1"/>
      <c r="X1696" s="1"/>
      <c r="Y1696" s="1" t="s">
        <v>7442</v>
      </c>
      <c r="Z1696" s="1" t="s">
        <v>7443</v>
      </c>
      <c r="AA1696" s="1" t="s">
        <v>7444</v>
      </c>
      <c r="AB1696" s="1"/>
      <c r="AC1696" s="1"/>
      <c r="AD1696" s="1"/>
      <c r="AE1696" s="1"/>
      <c r="AG1696" s="2" t="str">
        <f>"0062701908"</f>
        <v>0062701908</v>
      </c>
      <c r="AH1696" s="2" t="str">
        <f>"9780062701909"</f>
        <v>9780062701909</v>
      </c>
      <c r="AI1696" s="1">
        <v>0.0</v>
      </c>
      <c r="AJ1696" s="1">
        <v>3.97</v>
      </c>
      <c r="AK1696" s="1" t="s">
        <v>5227</v>
      </c>
      <c r="AL1696" s="1" t="s">
        <v>41</v>
      </c>
      <c r="AM1696" s="1">
        <v>192.0</v>
      </c>
      <c r="AN1696" s="1">
        <v>1997.0</v>
      </c>
      <c r="AO1696" s="1">
        <v>1997.0</v>
      </c>
      <c r="AQ1696" s="3">
        <v>44455.0</v>
      </c>
      <c r="AR1696" s="1" t="s">
        <v>31</v>
      </c>
      <c r="AS1696" s="1" t="s">
        <v>7445</v>
      </c>
      <c r="AT1696" s="1" t="s">
        <v>31</v>
      </c>
      <c r="AX1696" s="1">
        <v>0.0</v>
      </c>
      <c r="AY1696" s="1">
        <v>0.0</v>
      </c>
    </row>
    <row r="1697" spans="20:51" ht="15.75" hidden="1">
      <c r="T1697" s="1">
        <v>1371808.0</v>
      </c>
      <c r="U1697" s="1"/>
      <c r="V1697" s="1"/>
      <c r="W1697" s="1"/>
      <c r="X1697" s="1"/>
      <c r="Y1697" s="1" t="s">
        <v>7446</v>
      </c>
      <c r="Z1697" s="1" t="s">
        <v>7447</v>
      </c>
      <c r="AA1697" s="1" t="s">
        <v>7448</v>
      </c>
      <c r="AB1697" s="1"/>
      <c r="AC1697" s="1"/>
      <c r="AD1697" s="1"/>
      <c r="AE1697" s="1"/>
      <c r="AF1697" s="1" t="s">
        <v>7449</v>
      </c>
      <c r="AG1697" s="2" t="str">
        <f>"0814623832"</f>
        <v>0814623832</v>
      </c>
      <c r="AH1697" s="2" t="str">
        <f>"9780814623831"</f>
        <v>9780814623831</v>
      </c>
      <c r="AI1697" s="1">
        <v>0.0</v>
      </c>
      <c r="AJ1697" s="1">
        <v>3.5</v>
      </c>
      <c r="AK1697" s="1" t="s">
        <v>7450</v>
      </c>
      <c r="AL1697" s="1" t="s">
        <v>41</v>
      </c>
      <c r="AN1697" s="1">
        <v>2000.0</v>
      </c>
      <c r="AO1697" s="1">
        <v>2000.0</v>
      </c>
      <c r="AQ1697" s="3">
        <v>44455.0</v>
      </c>
      <c r="AR1697" s="1" t="s">
        <v>31</v>
      </c>
      <c r="AS1697" s="1" t="s">
        <v>7451</v>
      </c>
      <c r="AT1697" s="1" t="s">
        <v>31</v>
      </c>
      <c r="AX1697" s="1">
        <v>0.0</v>
      </c>
      <c r="AY1697" s="1">
        <v>0.0</v>
      </c>
    </row>
    <row r="1698" spans="20:51" ht="15.75" hidden="1">
      <c r="T1698" s="1">
        <v>244823.0</v>
      </c>
      <c r="U1698" s="1"/>
      <c r="V1698" s="1"/>
      <c r="W1698" s="1"/>
      <c r="X1698" s="1"/>
      <c r="Y1698" s="1" t="s">
        <v>7452</v>
      </c>
      <c r="Z1698" s="1" t="s">
        <v>7447</v>
      </c>
      <c r="AA1698" s="1" t="s">
        <v>7448</v>
      </c>
      <c r="AB1698" s="1"/>
      <c r="AC1698" s="1"/>
      <c r="AD1698" s="1"/>
      <c r="AE1698" s="1"/>
      <c r="AG1698" s="2" t="str">
        <f>"0895555301"</f>
        <v>0895555301</v>
      </c>
      <c r="AH1698" s="2" t="str">
        <f>"9780895555304"</f>
        <v>9780895555304</v>
      </c>
      <c r="AI1698" s="1">
        <v>0.0</v>
      </c>
      <c r="AJ1698" s="1">
        <v>4.17</v>
      </c>
      <c r="AK1698" s="1" t="s">
        <v>7453</v>
      </c>
      <c r="AL1698" s="1" t="s">
        <v>28</v>
      </c>
      <c r="AM1698" s="1">
        <v>464.0</v>
      </c>
      <c r="AN1698" s="1">
        <v>1995.0</v>
      </c>
      <c r="AO1698" s="1">
        <v>1750.0</v>
      </c>
      <c r="AQ1698" s="3">
        <v>44455.0</v>
      </c>
      <c r="AR1698" s="1" t="s">
        <v>31</v>
      </c>
      <c r="AS1698" s="1" t="s">
        <v>7454</v>
      </c>
      <c r="AT1698" s="1" t="s">
        <v>31</v>
      </c>
      <c r="AX1698" s="1">
        <v>0.0</v>
      </c>
      <c r="AY1698" s="1">
        <v>0.0</v>
      </c>
    </row>
    <row r="1699" spans="20:51" ht="15.75" hidden="1">
      <c r="T1699" s="1">
        <v>12532.0</v>
      </c>
      <c r="U1699" s="1"/>
      <c r="V1699" s="1"/>
      <c r="W1699" s="1"/>
      <c r="X1699" s="1"/>
      <c r="Y1699" s="1" t="s">
        <v>7455</v>
      </c>
      <c r="Z1699" s="1" t="s">
        <v>7456</v>
      </c>
      <c r="AA1699" s="1" t="s">
        <v>7457</v>
      </c>
      <c r="AB1699" s="1"/>
      <c r="AC1699" s="1"/>
      <c r="AD1699" s="1"/>
      <c r="AE1699" s="1"/>
      <c r="AG1699" s="2" t="str">
        <f>"0375703470"</f>
        <v>0375703470</v>
      </c>
      <c r="AH1699" s="2" t="str">
        <f>"9780375703478"</f>
        <v>9780375703478</v>
      </c>
      <c r="AI1699" s="1">
        <v>0.0</v>
      </c>
      <c r="AJ1699" s="1">
        <v>4.14</v>
      </c>
      <c r="AK1699" s="1" t="s">
        <v>83</v>
      </c>
      <c r="AL1699" s="1" t="s">
        <v>28</v>
      </c>
      <c r="AM1699" s="1">
        <v>205.0</v>
      </c>
      <c r="AN1699" s="1">
        <v>2000.0</v>
      </c>
      <c r="AO1699" s="1">
        <v>1999.0</v>
      </c>
      <c r="AQ1699" s="3">
        <v>44447.0</v>
      </c>
      <c r="AR1699" s="1" t="s">
        <v>31</v>
      </c>
      <c r="AS1699" s="1" t="s">
        <v>7458</v>
      </c>
      <c r="AT1699" s="1" t="s">
        <v>31</v>
      </c>
      <c r="AX1699" s="1">
        <v>0.0</v>
      </c>
      <c r="AY1699" s="1">
        <v>0.0</v>
      </c>
    </row>
    <row r="1700" spans="20:51" ht="15.75" hidden="1">
      <c r="T1700" s="1">
        <v>74762.0</v>
      </c>
      <c r="U1700" s="1"/>
      <c r="V1700" s="1"/>
      <c r="W1700" s="1"/>
      <c r="X1700" s="1"/>
      <c r="Y1700" s="1" t="s">
        <v>7459</v>
      </c>
      <c r="Z1700" s="1" t="s">
        <v>7460</v>
      </c>
      <c r="AA1700" s="1" t="s">
        <v>7461</v>
      </c>
      <c r="AB1700" s="1"/>
      <c r="AC1700" s="1"/>
      <c r="AD1700" s="1"/>
      <c r="AE1700" s="1"/>
      <c r="AG1700" s="2" t="str">
        <f>"0198609493"</f>
        <v>0198609493</v>
      </c>
      <c r="AH1700" s="2" t="str">
        <f>"9780198609490"</f>
        <v>9780198609490</v>
      </c>
      <c r="AI1700" s="1">
        <v>0.0</v>
      </c>
      <c r="AJ1700" s="1">
        <v>3.82</v>
      </c>
      <c r="AK1700" s="1" t="s">
        <v>214</v>
      </c>
      <c r="AL1700" s="1" t="s">
        <v>28</v>
      </c>
      <c r="AM1700" s="1">
        <v>606.0</v>
      </c>
      <c r="AN1700" s="1">
        <v>2004.0</v>
      </c>
      <c r="AO1700" s="1">
        <v>1978.0</v>
      </c>
      <c r="AQ1700" s="3">
        <v>44444.0</v>
      </c>
      <c r="AR1700" s="1" t="s">
        <v>31</v>
      </c>
      <c r="AS1700" s="1" t="s">
        <v>7462</v>
      </c>
      <c r="AT1700" s="1" t="s">
        <v>31</v>
      </c>
      <c r="AX1700" s="1">
        <v>0.0</v>
      </c>
      <c r="AY1700" s="1">
        <v>0.0</v>
      </c>
    </row>
    <row r="1701" spans="20:51" ht="15.75" hidden="1">
      <c r="T1701" s="1">
        <v>1050632.0</v>
      </c>
      <c r="U1701" s="1"/>
      <c r="V1701" s="1"/>
      <c r="W1701" s="1"/>
      <c r="X1701" s="1"/>
      <c r="Y1701" s="1" t="s">
        <v>7463</v>
      </c>
      <c r="Z1701" s="1" t="s">
        <v>7464</v>
      </c>
      <c r="AA1701" s="1" t="s">
        <v>7465</v>
      </c>
      <c r="AB1701" s="1"/>
      <c r="AC1701" s="1"/>
      <c r="AD1701" s="1"/>
      <c r="AE1701" s="1"/>
      <c r="AG1701" s="2" t="str">
        <f>"067470066X"</f>
        <v>067470066X</v>
      </c>
      <c r="AH1701" s="2" t="str">
        <f>"9780674700666"</f>
        <v>9780674700666</v>
      </c>
      <c r="AI1701" s="1">
        <v>0.0</v>
      </c>
      <c r="AJ1701" s="1">
        <v>4.37</v>
      </c>
      <c r="AK1701" s="1" t="s">
        <v>107</v>
      </c>
      <c r="AL1701" s="1" t="s">
        <v>28</v>
      </c>
      <c r="AM1701" s="1">
        <v>318.0</v>
      </c>
      <c r="AN1701" s="1">
        <v>1983.0</v>
      </c>
      <c r="AO1701" s="1">
        <v>1982.0</v>
      </c>
      <c r="AQ1701" s="3">
        <v>44444.0</v>
      </c>
      <c r="AR1701" s="1" t="s">
        <v>31</v>
      </c>
      <c r="AS1701" s="1" t="s">
        <v>7466</v>
      </c>
      <c r="AT1701" s="1" t="s">
        <v>31</v>
      </c>
      <c r="AX1701" s="1">
        <v>0.0</v>
      </c>
      <c r="AY1701" s="1">
        <v>0.0</v>
      </c>
    </row>
    <row r="1702" spans="20:51" ht="15.75" hidden="1">
      <c r="T1702" s="1">
        <v>529410.0</v>
      </c>
      <c r="U1702" s="1"/>
      <c r="V1702" s="1"/>
      <c r="W1702" s="1"/>
      <c r="X1702" s="1"/>
      <c r="Y1702" s="1" t="s">
        <v>7467</v>
      </c>
      <c r="Z1702" s="1" t="s">
        <v>7468</v>
      </c>
      <c r="AA1702" s="1" t="s">
        <v>7469</v>
      </c>
      <c r="AB1702" s="1"/>
      <c r="AC1702" s="1"/>
      <c r="AD1702" s="1"/>
      <c r="AE1702" s="1"/>
      <c r="AF1702" s="1" t="s">
        <v>7470</v>
      </c>
      <c r="AG1702" s="2" t="str">
        <f>"1856265641"</f>
        <v>1856265641</v>
      </c>
      <c r="AH1702" s="2" t="str">
        <f>"9781856265645"</f>
        <v>9781856265645</v>
      </c>
      <c r="AI1702" s="1">
        <v>0.0</v>
      </c>
      <c r="AJ1702" s="1">
        <v>3.83</v>
      </c>
      <c r="AK1702" s="1" t="s">
        <v>7471</v>
      </c>
      <c r="AL1702" s="1" t="s">
        <v>28</v>
      </c>
      <c r="AM1702" s="1">
        <v>277.0</v>
      </c>
      <c r="AN1702" s="1">
        <v>2004.0</v>
      </c>
      <c r="AO1702" s="1">
        <v>1995.0</v>
      </c>
      <c r="AQ1702" s="3">
        <v>44444.0</v>
      </c>
      <c r="AR1702" s="1" t="s">
        <v>31</v>
      </c>
      <c r="AS1702" s="1" t="s">
        <v>7472</v>
      </c>
      <c r="AT1702" s="1" t="s">
        <v>31</v>
      </c>
      <c r="AX1702" s="1">
        <v>0.0</v>
      </c>
      <c r="AY1702" s="1">
        <v>0.0</v>
      </c>
    </row>
    <row r="1703" spans="20:51" ht="15.75" hidden="1">
      <c r="T1703" s="1">
        <v>467132.0</v>
      </c>
      <c r="U1703" s="1"/>
      <c r="V1703" s="1"/>
      <c r="W1703" s="1"/>
      <c r="X1703" s="1"/>
      <c r="Y1703" s="1" t="s">
        <v>7473</v>
      </c>
      <c r="Z1703" s="1" t="s">
        <v>7474</v>
      </c>
      <c r="AA1703" s="1" t="s">
        <v>7475</v>
      </c>
      <c r="AB1703" s="1"/>
      <c r="AC1703" s="1"/>
      <c r="AD1703" s="1"/>
      <c r="AE1703" s="1"/>
      <c r="AG1703" s="2" t="str">
        <f>"0064635481"</f>
        <v>0064635481</v>
      </c>
      <c r="AH1703" s="2" t="str">
        <f>"9780064635486"</f>
        <v>9780064635486</v>
      </c>
      <c r="AI1703" s="1">
        <v>0.0</v>
      </c>
      <c r="AJ1703" s="1">
        <v>3.8</v>
      </c>
      <c r="AK1703" s="1" t="s">
        <v>474</v>
      </c>
      <c r="AL1703" s="1" t="s">
        <v>28</v>
      </c>
      <c r="AM1703" s="1">
        <v>224.0</v>
      </c>
      <c r="AN1703" s="1">
        <v>2009.0</v>
      </c>
      <c r="AO1703" s="1">
        <v>1962.0</v>
      </c>
      <c r="AQ1703" s="3">
        <v>44444.0</v>
      </c>
      <c r="AR1703" s="1" t="s">
        <v>31</v>
      </c>
      <c r="AS1703" s="1" t="s">
        <v>7476</v>
      </c>
      <c r="AT1703" s="1" t="s">
        <v>31</v>
      </c>
      <c r="AX1703" s="1">
        <v>0.0</v>
      </c>
      <c r="AY1703" s="1">
        <v>0.0</v>
      </c>
    </row>
    <row r="1704" spans="20:51" ht="15.75" hidden="1">
      <c r="T1704" s="1">
        <v>2.3363082E7</v>
      </c>
      <c r="U1704" s="1"/>
      <c r="V1704" s="1"/>
      <c r="W1704" s="1"/>
      <c r="X1704" s="1"/>
      <c r="Y1704" s="1" t="s">
        <v>7477</v>
      </c>
      <c r="Z1704" s="1" t="s">
        <v>7478</v>
      </c>
      <c r="AA1704" s="1" t="s">
        <v>7479</v>
      </c>
      <c r="AB1704" s="1"/>
      <c r="AC1704" s="1"/>
      <c r="AD1704" s="1"/>
      <c r="AE1704" s="1"/>
      <c r="AF1704" s="1" t="s">
        <v>7480</v>
      </c>
      <c r="AG1704" s="2" t="str">
        <f>"0192737503"</f>
        <v>0192737503</v>
      </c>
      <c r="AH1704" s="2" t="str">
        <f>"9780192737502"</f>
        <v>9780192737502</v>
      </c>
      <c r="AI1704" s="1">
        <v>0.0</v>
      </c>
      <c r="AJ1704" s="1">
        <v>4.55</v>
      </c>
      <c r="AK1704" s="1" t="s">
        <v>214</v>
      </c>
      <c r="AL1704" s="1" t="s">
        <v>28</v>
      </c>
      <c r="AM1704" s="1">
        <v>352.0</v>
      </c>
      <c r="AN1704" s="1">
        <v>2015.0</v>
      </c>
      <c r="AO1704" s="1">
        <v>2015.0</v>
      </c>
      <c r="AQ1704" s="3">
        <v>44444.0</v>
      </c>
      <c r="AR1704" s="1" t="s">
        <v>31</v>
      </c>
      <c r="AS1704" s="1" t="s">
        <v>7481</v>
      </c>
      <c r="AT1704" s="1" t="s">
        <v>31</v>
      </c>
      <c r="AX1704" s="1">
        <v>0.0</v>
      </c>
      <c r="AY1704" s="1">
        <v>0.0</v>
      </c>
    </row>
    <row r="1705" spans="20:51" ht="15.75" hidden="1">
      <c r="T1705" s="1">
        <v>540494.0</v>
      </c>
      <c r="U1705" s="1"/>
      <c r="V1705" s="1"/>
      <c r="W1705" s="1"/>
      <c r="X1705" s="1"/>
      <c r="Y1705" s="1" t="s">
        <v>7482</v>
      </c>
      <c r="Z1705" s="1" t="s">
        <v>7483</v>
      </c>
      <c r="AA1705" s="1" t="s">
        <v>7484</v>
      </c>
      <c r="AB1705" s="1"/>
      <c r="AC1705" s="1"/>
      <c r="AD1705" s="1"/>
      <c r="AE1705" s="1"/>
      <c r="AG1705" s="2" t="str">
        <f>"0674743520"</f>
        <v>0674743520</v>
      </c>
      <c r="AH1705" s="2" t="str">
        <f>"9780674743526"</f>
        <v>9780674743526</v>
      </c>
      <c r="AI1705" s="1">
        <v>0.0</v>
      </c>
      <c r="AJ1705" s="1">
        <v>4.0</v>
      </c>
      <c r="AK1705" s="1" t="s">
        <v>875</v>
      </c>
      <c r="AL1705" s="1" t="s">
        <v>28</v>
      </c>
      <c r="AM1705" s="1">
        <v>249.0</v>
      </c>
      <c r="AN1705" s="1">
        <v>1989.0</v>
      </c>
      <c r="AO1705" s="1">
        <v>1987.0</v>
      </c>
      <c r="AQ1705" s="3">
        <v>44444.0</v>
      </c>
      <c r="AR1705" s="1" t="s">
        <v>31</v>
      </c>
      <c r="AS1705" s="1" t="s">
        <v>7485</v>
      </c>
      <c r="AT1705" s="1" t="s">
        <v>31</v>
      </c>
      <c r="AX1705" s="1">
        <v>0.0</v>
      </c>
      <c r="AY1705" s="1">
        <v>0.0</v>
      </c>
    </row>
    <row r="1706" spans="20:51" ht="15.75" hidden="1">
      <c r="T1706" s="1">
        <v>3.5820384E7</v>
      </c>
      <c r="U1706" s="1"/>
      <c r="V1706" s="1"/>
      <c r="W1706" s="1"/>
      <c r="X1706" s="1"/>
      <c r="Y1706" s="1" t="s">
        <v>7486</v>
      </c>
      <c r="Z1706" s="1" t="s">
        <v>7487</v>
      </c>
      <c r="AA1706" s="1" t="s">
        <v>7488</v>
      </c>
      <c r="AB1706" s="1"/>
      <c r="AC1706" s="1"/>
      <c r="AD1706" s="1"/>
      <c r="AE1706" s="1"/>
      <c r="AG1706" s="2" t="str">
        <f>"0062652613"</f>
        <v>0062652613</v>
      </c>
      <c r="AH1706" s="2" t="str">
        <f>"9780062652614"</f>
        <v>9780062652614</v>
      </c>
      <c r="AI1706" s="1">
        <v>0.0</v>
      </c>
      <c r="AJ1706" s="1">
        <v>3.68</v>
      </c>
      <c r="AK1706" s="1" t="s">
        <v>474</v>
      </c>
      <c r="AL1706" s="1" t="s">
        <v>28</v>
      </c>
      <c r="AM1706" s="1">
        <v>256.0</v>
      </c>
      <c r="AN1706" s="1">
        <v>2018.0</v>
      </c>
      <c r="AO1706" s="1">
        <v>2018.0</v>
      </c>
      <c r="AQ1706" s="3">
        <v>44444.0</v>
      </c>
      <c r="AR1706" s="1" t="s">
        <v>31</v>
      </c>
      <c r="AS1706" s="1" t="s">
        <v>7489</v>
      </c>
      <c r="AT1706" s="1" t="s">
        <v>31</v>
      </c>
      <c r="AX1706" s="1">
        <v>0.0</v>
      </c>
      <c r="AY1706" s="1">
        <v>0.0</v>
      </c>
    </row>
    <row r="1707" spans="20:51" ht="15.75" hidden="1">
      <c r="T1707" s="1">
        <v>2185.0</v>
      </c>
      <c r="U1707" s="1"/>
      <c r="V1707" s="1"/>
      <c r="W1707" s="1"/>
      <c r="X1707" s="1"/>
      <c r="Y1707" s="1" t="s">
        <v>7490</v>
      </c>
      <c r="Z1707" s="1" t="s">
        <v>7491</v>
      </c>
      <c r="AA1707" s="1" t="s">
        <v>7492</v>
      </c>
      <c r="AB1707" s="1"/>
      <c r="AC1707" s="1"/>
      <c r="AD1707" s="1"/>
      <c r="AE1707" s="1"/>
      <c r="AF1707" s="1" t="s">
        <v>7493</v>
      </c>
      <c r="AG1707" s="2" t="str">
        <f>"081120054X"</f>
        <v>081120054X</v>
      </c>
      <c r="AH1707" s="2" t="str">
        <f>"9780811200547"</f>
        <v>9780811200547</v>
      </c>
      <c r="AI1707" s="1">
        <v>0.0</v>
      </c>
      <c r="AJ1707" s="1">
        <v>3.79</v>
      </c>
      <c r="AK1707" s="1" t="s">
        <v>95</v>
      </c>
      <c r="AL1707" s="1" t="s">
        <v>28</v>
      </c>
      <c r="AM1707" s="1">
        <v>92.0</v>
      </c>
      <c r="AN1707" s="1">
        <v>1968.0</v>
      </c>
      <c r="AO1707" s="1">
        <v>1913.0</v>
      </c>
      <c r="AQ1707" s="3">
        <v>44444.0</v>
      </c>
      <c r="AR1707" s="1" t="s">
        <v>31</v>
      </c>
      <c r="AS1707" s="1" t="s">
        <v>7494</v>
      </c>
      <c r="AT1707" s="1" t="s">
        <v>31</v>
      </c>
      <c r="AX1707" s="1">
        <v>0.0</v>
      </c>
      <c r="AY1707" s="1">
        <v>0.0</v>
      </c>
    </row>
    <row r="1708" spans="20:51" ht="15.75" hidden="1">
      <c r="T1708" s="1">
        <v>423051.0</v>
      </c>
      <c r="U1708" s="1"/>
      <c r="V1708" s="1"/>
      <c r="W1708" s="1"/>
      <c r="X1708" s="1"/>
      <c r="Y1708" s="1" t="s">
        <v>7495</v>
      </c>
      <c r="Z1708" s="1" t="s">
        <v>7496</v>
      </c>
      <c r="AA1708" s="1" t="s">
        <v>7497</v>
      </c>
      <c r="AB1708" s="1"/>
      <c r="AC1708" s="1"/>
      <c r="AD1708" s="1"/>
      <c r="AE1708" s="1"/>
      <c r="AF1708" s="1" t="s">
        <v>7498</v>
      </c>
      <c r="AG1708" s="2" t="str">
        <f>"0140512357"</f>
        <v>0140512357</v>
      </c>
      <c r="AH1708" s="2" t="str">
        <f>"9780140512359"</f>
        <v>9780140512359</v>
      </c>
      <c r="AI1708" s="1">
        <v>0.0</v>
      </c>
      <c r="AJ1708" s="1">
        <v>4.29</v>
      </c>
      <c r="AK1708" s="1" t="s">
        <v>151</v>
      </c>
      <c r="AL1708" s="1" t="s">
        <v>28</v>
      </c>
      <c r="AM1708" s="1">
        <v>480.0</v>
      </c>
      <c r="AN1708" s="1">
        <v>1992.0</v>
      </c>
      <c r="AO1708" s="1">
        <v>1951.0</v>
      </c>
      <c r="AQ1708" s="3">
        <v>44444.0</v>
      </c>
      <c r="AR1708" s="1" t="s">
        <v>31</v>
      </c>
      <c r="AS1708" s="1" t="s">
        <v>7499</v>
      </c>
      <c r="AT1708" s="1" t="s">
        <v>31</v>
      </c>
      <c r="AX1708" s="1">
        <v>0.0</v>
      </c>
      <c r="AY1708" s="1">
        <v>0.0</v>
      </c>
    </row>
    <row r="1709" spans="20:51" ht="15.75" hidden="1">
      <c r="T1709" s="1">
        <v>3212085.0</v>
      </c>
      <c r="U1709" s="1"/>
      <c r="V1709" s="1"/>
      <c r="W1709" s="1"/>
      <c r="X1709" s="1"/>
      <c r="Y1709" s="1" t="s">
        <v>7500</v>
      </c>
      <c r="Z1709" s="1" t="s">
        <v>7501</v>
      </c>
      <c r="AA1709" s="1" t="s">
        <v>7502</v>
      </c>
      <c r="AB1709" s="1"/>
      <c r="AC1709" s="1"/>
      <c r="AD1709" s="1"/>
      <c r="AE1709" s="1"/>
      <c r="AF1709" s="1" t="s">
        <v>7503</v>
      </c>
      <c r="AG1709" s="2" t="str">
        <f>"8415689489"</f>
        <v>8415689489</v>
      </c>
      <c r="AH1709" s="2" t="str">
        <f>"9788415689485"</f>
        <v>9788415689485</v>
      </c>
      <c r="AI1709" s="1">
        <v>0.0</v>
      </c>
      <c r="AJ1709" s="1">
        <v>4.42</v>
      </c>
      <c r="AK1709" s="1" t="s">
        <v>7504</v>
      </c>
      <c r="AL1709" s="1" t="s">
        <v>28</v>
      </c>
      <c r="AM1709" s="1">
        <v>608.0</v>
      </c>
      <c r="AN1709" s="1">
        <v>2013.0</v>
      </c>
      <c r="AO1709" s="1">
        <v>1982.0</v>
      </c>
      <c r="AQ1709" s="3">
        <v>44423.0</v>
      </c>
      <c r="AR1709" s="1" t="s">
        <v>31</v>
      </c>
      <c r="AS1709" s="1" t="s">
        <v>7505</v>
      </c>
      <c r="AT1709" s="1" t="s">
        <v>31</v>
      </c>
      <c r="AX1709" s="1">
        <v>0.0</v>
      </c>
      <c r="AY1709" s="1">
        <v>0.0</v>
      </c>
    </row>
    <row r="1710" spans="20:51" ht="15.75" hidden="1">
      <c r="T1710" s="1">
        <v>5.3780642E7</v>
      </c>
      <c r="U1710" s="1"/>
      <c r="V1710" s="1"/>
      <c r="W1710" s="1"/>
      <c r="X1710" s="1"/>
      <c r="Y1710" s="1" t="s">
        <v>7506</v>
      </c>
      <c r="Z1710" s="1" t="s">
        <v>7507</v>
      </c>
      <c r="AA1710" s="1" t="s">
        <v>7508</v>
      </c>
      <c r="AB1710" s="1"/>
      <c r="AC1710" s="1"/>
      <c r="AD1710" s="1"/>
      <c r="AE1710" s="1"/>
      <c r="AF1710" s="1" t="s">
        <v>1158</v>
      </c>
      <c r="AG1710" s="2" t="str">
        <f>"1999992881"</f>
        <v>1999992881</v>
      </c>
      <c r="AH1710" s="2" t="str">
        <f>"9781999992880"</f>
        <v>9781999992880</v>
      </c>
      <c r="AI1710" s="1">
        <v>0.0</v>
      </c>
      <c r="AJ1710" s="1">
        <v>3.7</v>
      </c>
      <c r="AK1710" s="1" t="s">
        <v>7509</v>
      </c>
      <c r="AL1710" s="1" t="s">
        <v>28</v>
      </c>
      <c r="AM1710" s="1">
        <v>136.0</v>
      </c>
      <c r="AN1710" s="1">
        <v>2020.0</v>
      </c>
      <c r="AO1710" s="1">
        <v>2018.0</v>
      </c>
      <c r="AQ1710" s="3">
        <v>44340.0</v>
      </c>
      <c r="AR1710" s="1" t="s">
        <v>31</v>
      </c>
      <c r="AS1710" s="1" t="s">
        <v>7510</v>
      </c>
      <c r="AT1710" s="1" t="s">
        <v>31</v>
      </c>
      <c r="AX1710" s="1">
        <v>0.0</v>
      </c>
      <c r="AY1710" s="1">
        <v>0.0</v>
      </c>
    </row>
    <row r="1711" spans="20:51" ht="15.75" hidden="1">
      <c r="T1711" s="1">
        <v>2.1422875E7</v>
      </c>
      <c r="U1711" s="1"/>
      <c r="V1711" s="1"/>
      <c r="W1711" s="1"/>
      <c r="X1711" s="1"/>
      <c r="Y1711" s="1" t="s">
        <v>7511</v>
      </c>
      <c r="Z1711" s="1" t="s">
        <v>2827</v>
      </c>
      <c r="AA1711" s="1" t="s">
        <v>2828</v>
      </c>
      <c r="AB1711" s="1"/>
      <c r="AC1711" s="1"/>
      <c r="AD1711" s="1"/>
      <c r="AE1711" s="1"/>
      <c r="AF1711" s="1" t="s">
        <v>7512</v>
      </c>
      <c r="AG1711" s="2" t="str">
        <f>"1584351594"</f>
        <v>1584351594</v>
      </c>
      <c r="AH1711" s="2" t="str">
        <f>"9781584351597"</f>
        <v>9781584351597</v>
      </c>
      <c r="AI1711" s="1">
        <v>0.0</v>
      </c>
      <c r="AJ1711" s="1">
        <v>4.08</v>
      </c>
      <c r="AK1711" s="1" t="s">
        <v>6041</v>
      </c>
      <c r="AL1711" s="1" t="s">
        <v>28</v>
      </c>
      <c r="AM1711" s="1">
        <v>84.0</v>
      </c>
      <c r="AN1711" s="1">
        <v>2014.0</v>
      </c>
      <c r="AO1711" s="1">
        <v>2011.0</v>
      </c>
      <c r="AQ1711" s="3">
        <v>44340.0</v>
      </c>
      <c r="AR1711" s="1" t="s">
        <v>31</v>
      </c>
      <c r="AS1711" s="1" t="s">
        <v>7513</v>
      </c>
      <c r="AT1711" s="1" t="s">
        <v>31</v>
      </c>
      <c r="AX1711" s="1">
        <v>0.0</v>
      </c>
      <c r="AY1711" s="1">
        <v>0.0</v>
      </c>
    </row>
    <row r="1712" spans="20:51" ht="15.75" hidden="1">
      <c r="T1712" s="1">
        <v>5.3317415E7</v>
      </c>
      <c r="U1712" s="1"/>
      <c r="V1712" s="1"/>
      <c r="W1712" s="1"/>
      <c r="X1712" s="1"/>
      <c r="Y1712" s="1" t="s">
        <v>7514</v>
      </c>
      <c r="Z1712" s="1" t="s">
        <v>7515</v>
      </c>
      <c r="AA1712" s="1" t="s">
        <v>7516</v>
      </c>
      <c r="AB1712" s="1"/>
      <c r="AC1712" s="1"/>
      <c r="AD1712" s="1"/>
      <c r="AE1712" s="1"/>
      <c r="AG1712" s="2" t="str">
        <f>"1644450453"</f>
        <v>1644450453</v>
      </c>
      <c r="AH1712" s="2" t="str">
        <f>"9781644450451"</f>
        <v>9781644450451</v>
      </c>
      <c r="AI1712" s="1">
        <v>0.0</v>
      </c>
      <c r="AJ1712" s="1">
        <v>4.51</v>
      </c>
      <c r="AK1712" s="1" t="s">
        <v>7517</v>
      </c>
      <c r="AL1712" s="1" t="s">
        <v>28</v>
      </c>
      <c r="AM1712" s="1">
        <v>137.0</v>
      </c>
      <c r="AN1712" s="1">
        <v>2020.0</v>
      </c>
      <c r="AO1712" s="1">
        <v>2021.0</v>
      </c>
      <c r="AQ1712" s="3">
        <v>44340.0</v>
      </c>
      <c r="AR1712" s="1" t="s">
        <v>31</v>
      </c>
      <c r="AS1712" s="1" t="s">
        <v>7518</v>
      </c>
      <c r="AT1712" s="1" t="s">
        <v>31</v>
      </c>
      <c r="AX1712" s="1">
        <v>0.0</v>
      </c>
      <c r="AY1712" s="1">
        <v>0.0</v>
      </c>
    </row>
    <row r="1713" spans="20:51" ht="15.75" hidden="1">
      <c r="T1713" s="1">
        <v>5.7070382E7</v>
      </c>
      <c r="U1713" s="1"/>
      <c r="V1713" s="1"/>
      <c r="W1713" s="1"/>
      <c r="X1713" s="1"/>
      <c r="Y1713" s="1" t="s">
        <v>7519</v>
      </c>
      <c r="Z1713" s="1" t="s">
        <v>7520</v>
      </c>
      <c r="AA1713" s="1" t="s">
        <v>7521</v>
      </c>
      <c r="AB1713" s="1"/>
      <c r="AC1713" s="1"/>
      <c r="AD1713" s="1"/>
      <c r="AE1713" s="1"/>
      <c r="AG1713" s="2" t="str">
        <f>"1620976544"</f>
        <v>1620976544</v>
      </c>
      <c r="AH1713" s="2" t="str">
        <f>"9781620976548"</f>
        <v>9781620976548</v>
      </c>
      <c r="AI1713" s="1">
        <v>0.0</v>
      </c>
      <c r="AJ1713" s="1">
        <v>4.36</v>
      </c>
      <c r="AK1713" s="1" t="s">
        <v>2872</v>
      </c>
      <c r="AL1713" s="1" t="s">
        <v>41</v>
      </c>
      <c r="AM1713" s="1">
        <v>240.0</v>
      </c>
      <c r="AN1713" s="1">
        <v>2021.0</v>
      </c>
      <c r="AQ1713" s="3">
        <v>44340.0</v>
      </c>
      <c r="AR1713" s="1" t="s">
        <v>31</v>
      </c>
      <c r="AS1713" s="1" t="s">
        <v>7522</v>
      </c>
      <c r="AT1713" s="1" t="s">
        <v>31</v>
      </c>
      <c r="AX1713" s="1">
        <v>0.0</v>
      </c>
      <c r="AY1713" s="1">
        <v>0.0</v>
      </c>
    </row>
    <row r="1714" spans="20:51" ht="15.75" hidden="1">
      <c r="T1714" s="1">
        <v>1272539.0</v>
      </c>
      <c r="U1714" s="1"/>
      <c r="V1714" s="1"/>
      <c r="W1714" s="1"/>
      <c r="X1714" s="1"/>
      <c r="Y1714" s="1" t="s">
        <v>7523</v>
      </c>
      <c r="Z1714" s="1" t="s">
        <v>6462</v>
      </c>
      <c r="AA1714" s="1" t="s">
        <v>6463</v>
      </c>
      <c r="AB1714" s="1"/>
      <c r="AC1714" s="1"/>
      <c r="AD1714" s="1"/>
      <c r="AE1714" s="1"/>
      <c r="AG1714" s="2" t="str">
        <f>"014002848X"</f>
        <v>014002848X</v>
      </c>
      <c r="AH1714" s="2" t="str">
        <f>"9780140028485"</f>
        <v>9780140028485</v>
      </c>
      <c r="AI1714" s="1">
        <v>0.0</v>
      </c>
      <c r="AJ1714" s="1">
        <v>3.82</v>
      </c>
      <c r="AK1714" s="1" t="s">
        <v>119</v>
      </c>
      <c r="AL1714" s="1" t="s">
        <v>28</v>
      </c>
      <c r="AM1714" s="1">
        <v>235.0</v>
      </c>
      <c r="AN1714" s="1">
        <v>1988.0</v>
      </c>
      <c r="AO1714" s="1">
        <v>1966.0</v>
      </c>
      <c r="AQ1714" s="3">
        <v>44312.0</v>
      </c>
      <c r="AR1714" s="1" t="s">
        <v>31</v>
      </c>
      <c r="AS1714" s="1" t="s">
        <v>7524</v>
      </c>
      <c r="AT1714" s="1" t="s">
        <v>31</v>
      </c>
      <c r="AX1714" s="1">
        <v>0.0</v>
      </c>
      <c r="AY1714" s="1">
        <v>0.0</v>
      </c>
    </row>
    <row r="1715" spans="20:51" ht="15.75" hidden="1">
      <c r="T1715" s="1">
        <v>5.7697529E7</v>
      </c>
      <c r="U1715" s="1"/>
      <c r="V1715" s="1"/>
      <c r="W1715" s="1"/>
      <c r="X1715" s="1"/>
      <c r="Y1715" s="1" t="s">
        <v>7525</v>
      </c>
      <c r="Z1715" s="1" t="s">
        <v>7526</v>
      </c>
      <c r="AA1715" s="1" t="s">
        <v>7527</v>
      </c>
      <c r="AB1715" s="1"/>
      <c r="AC1715" s="1"/>
      <c r="AD1715" s="1"/>
      <c r="AE1715" s="1"/>
      <c r="AF1715" s="1" t="s">
        <v>7528</v>
      </c>
      <c r="AG1715" s="2" t="str">
        <f>"8412303601"</f>
        <v>8412303601</v>
      </c>
      <c r="AH1715" s="2" t="str">
        <f>"9788412303605"</f>
        <v>9788412303605</v>
      </c>
      <c r="AI1715" s="1">
        <v>0.0</v>
      </c>
      <c r="AJ1715" s="1">
        <v>3.77</v>
      </c>
      <c r="AK1715" s="1" t="s">
        <v>7529</v>
      </c>
      <c r="AL1715" s="1" t="s">
        <v>28</v>
      </c>
      <c r="AM1715" s="1">
        <v>176.0</v>
      </c>
      <c r="AN1715" s="1">
        <v>2021.0</v>
      </c>
      <c r="AO1715" s="1">
        <v>1995.0</v>
      </c>
      <c r="AQ1715" s="3">
        <v>44312.0</v>
      </c>
      <c r="AR1715" s="1" t="s">
        <v>31</v>
      </c>
      <c r="AS1715" s="1" t="s">
        <v>7530</v>
      </c>
      <c r="AT1715" s="1" t="s">
        <v>31</v>
      </c>
      <c r="AX1715" s="1">
        <v>0.0</v>
      </c>
      <c r="AY1715" s="1">
        <v>0.0</v>
      </c>
    </row>
    <row r="1716" spans="20:51" ht="15.75" hidden="1">
      <c r="T1716" s="1">
        <v>4.4599638E7</v>
      </c>
      <c r="U1716" s="1"/>
      <c r="V1716" s="1"/>
      <c r="W1716" s="1"/>
      <c r="X1716" s="1"/>
      <c r="Y1716" s="1" t="s">
        <v>7531</v>
      </c>
      <c r="Z1716" s="1" t="s">
        <v>7532</v>
      </c>
      <c r="AA1716" s="1" t="s">
        <v>7533</v>
      </c>
      <c r="AB1716" s="1"/>
      <c r="AC1716" s="1"/>
      <c r="AD1716" s="1"/>
      <c r="AE1716" s="1"/>
      <c r="AF1716" s="1" t="s">
        <v>7534</v>
      </c>
      <c r="AG1716" s="2" t="str">
        <f>"0997567473"</f>
        <v>0997567473</v>
      </c>
      <c r="AH1716" s="2" t="str">
        <f>"9780997567472"</f>
        <v>9780997567472</v>
      </c>
      <c r="AI1716" s="1">
        <v>0.0</v>
      </c>
      <c r="AJ1716" s="1">
        <v>3.56</v>
      </c>
      <c r="AK1716" s="1" t="s">
        <v>7535</v>
      </c>
      <c r="AL1716" s="1" t="s">
        <v>41</v>
      </c>
      <c r="AM1716" s="1">
        <v>320.0</v>
      </c>
      <c r="AN1716" s="1">
        <v>2021.0</v>
      </c>
      <c r="AQ1716" s="3">
        <v>44292.0</v>
      </c>
      <c r="AR1716" s="1" t="s">
        <v>31</v>
      </c>
      <c r="AS1716" s="1" t="s">
        <v>7536</v>
      </c>
      <c r="AT1716" s="1" t="s">
        <v>31</v>
      </c>
      <c r="AX1716" s="1">
        <v>0.0</v>
      </c>
      <c r="AY1716" s="1">
        <v>0.0</v>
      </c>
    </row>
    <row r="1717" spans="20:51" ht="15.75" hidden="1">
      <c r="T1717" s="1">
        <v>7954163.0</v>
      </c>
      <c r="U1717" s="1"/>
      <c r="V1717" s="1"/>
      <c r="W1717" s="1"/>
      <c r="X1717" s="1"/>
      <c r="Y1717" s="1" t="s">
        <v>7537</v>
      </c>
      <c r="Z1717" s="1" t="s">
        <v>3222</v>
      </c>
      <c r="AA1717" s="1" t="s">
        <v>3223</v>
      </c>
      <c r="AB1717" s="1"/>
      <c r="AC1717" s="1"/>
      <c r="AD1717" s="1"/>
      <c r="AE1717" s="1"/>
      <c r="AF1717" s="1" t="s">
        <v>7538</v>
      </c>
      <c r="AG1717" s="2" t="str">
        <f>"0141191139"</f>
        <v>0141191139</v>
      </c>
      <c r="AH1717" s="2" t="str">
        <f>"9780141191133"</f>
        <v>9780141191133</v>
      </c>
      <c r="AI1717" s="1">
        <v>0.0</v>
      </c>
      <c r="AJ1717" s="1">
        <v>3.82</v>
      </c>
      <c r="AK1717" s="1" t="s">
        <v>7539</v>
      </c>
      <c r="AL1717" s="1" t="s">
        <v>28</v>
      </c>
      <c r="AM1717" s="1">
        <v>280.0</v>
      </c>
      <c r="AN1717" s="1">
        <v>2010.0</v>
      </c>
      <c r="AO1717" s="1">
        <v>1971.0</v>
      </c>
      <c r="AQ1717" s="3">
        <v>44265.0</v>
      </c>
      <c r="AR1717" s="1" t="s">
        <v>31</v>
      </c>
      <c r="AS1717" s="1" t="s">
        <v>7540</v>
      </c>
      <c r="AT1717" s="1" t="s">
        <v>31</v>
      </c>
      <c r="AX1717" s="1">
        <v>0.0</v>
      </c>
      <c r="AY1717" s="1">
        <v>0.0</v>
      </c>
    </row>
    <row r="1718" spans="20:51" ht="15.75" hidden="1">
      <c r="T1718" s="1">
        <v>5.5629665E7</v>
      </c>
      <c r="U1718" s="1"/>
      <c r="V1718" s="1"/>
      <c r="W1718" s="1"/>
      <c r="X1718" s="1"/>
      <c r="Y1718" s="1" t="s">
        <v>7541</v>
      </c>
      <c r="Z1718" s="1" t="s">
        <v>965</v>
      </c>
      <c r="AA1718" s="1" t="s">
        <v>966</v>
      </c>
      <c r="AB1718" s="1"/>
      <c r="AC1718" s="1"/>
      <c r="AD1718" s="1"/>
      <c r="AE1718" s="1"/>
      <c r="AF1718" s="1" t="s">
        <v>7542</v>
      </c>
      <c r="AG1718" s="2" t="str">
        <f>"0807006424"</f>
        <v>0807006424</v>
      </c>
      <c r="AH1718" s="2" t="str">
        <f>"9780807006429"</f>
        <v>9780807006429</v>
      </c>
      <c r="AI1718" s="1">
        <v>0.0</v>
      </c>
      <c r="AJ1718" s="1">
        <v>4.65</v>
      </c>
      <c r="AK1718" s="1" t="s">
        <v>831</v>
      </c>
      <c r="AL1718" s="1" t="s">
        <v>41</v>
      </c>
      <c r="AM1718" s="1">
        <v>83.0</v>
      </c>
      <c r="AN1718" s="1">
        <v>2021.0</v>
      </c>
      <c r="AO1718" s="1">
        <v>1964.0</v>
      </c>
      <c r="AQ1718" s="3">
        <v>44264.0</v>
      </c>
      <c r="AR1718" s="1" t="s">
        <v>31</v>
      </c>
      <c r="AS1718" s="1" t="s">
        <v>7543</v>
      </c>
      <c r="AT1718" s="1" t="s">
        <v>31</v>
      </c>
      <c r="AX1718" s="1">
        <v>0.0</v>
      </c>
      <c r="AY1718" s="1">
        <v>0.0</v>
      </c>
    </row>
    <row r="1719" spans="20:51" ht="15.75" hidden="1">
      <c r="T1719" s="1">
        <v>843105.0</v>
      </c>
      <c r="U1719" s="1"/>
      <c r="V1719" s="1"/>
      <c r="W1719" s="1"/>
      <c r="X1719" s="1"/>
      <c r="Y1719" s="1" t="s">
        <v>7544</v>
      </c>
      <c r="Z1719" s="1" t="s">
        <v>7545</v>
      </c>
      <c r="AA1719" s="1" t="s">
        <v>7546</v>
      </c>
      <c r="AB1719" s="1"/>
      <c r="AC1719" s="1"/>
      <c r="AD1719" s="1"/>
      <c r="AE1719" s="1"/>
      <c r="AF1719" s="1" t="s">
        <v>7547</v>
      </c>
      <c r="AG1719" s="2" t="str">
        <f>"0226452794"</f>
        <v>0226452794</v>
      </c>
      <c r="AH1719" s="2" t="str">
        <f>"9780226452791"</f>
        <v>9780226452791</v>
      </c>
      <c r="AI1719" s="1">
        <v>0.0</v>
      </c>
      <c r="AJ1719" s="1">
        <v>4.0</v>
      </c>
      <c r="AK1719" s="1" t="s">
        <v>224</v>
      </c>
      <c r="AL1719" s="1" t="s">
        <v>28</v>
      </c>
      <c r="AM1719" s="1">
        <v>266.0</v>
      </c>
      <c r="AN1719" s="1">
        <v>1999.0</v>
      </c>
      <c r="AO1719" s="1">
        <v>1997.0</v>
      </c>
      <c r="AQ1719" s="3">
        <v>44263.0</v>
      </c>
      <c r="AR1719" s="1" t="s">
        <v>31</v>
      </c>
      <c r="AS1719" s="1" t="s">
        <v>7548</v>
      </c>
      <c r="AT1719" s="1" t="s">
        <v>31</v>
      </c>
      <c r="AX1719" s="1">
        <v>0.0</v>
      </c>
      <c r="AY1719" s="1">
        <v>0.0</v>
      </c>
    </row>
    <row r="1720" spans="20:51" ht="15.75" hidden="1">
      <c r="T1720" s="1">
        <v>56844.0</v>
      </c>
      <c r="U1720" s="1"/>
      <c r="V1720" s="1"/>
      <c r="W1720" s="1"/>
      <c r="X1720" s="1"/>
      <c r="Y1720" s="1" t="s">
        <v>7549</v>
      </c>
      <c r="Z1720" s="1" t="s">
        <v>7550</v>
      </c>
      <c r="AA1720" s="1" t="s">
        <v>7551</v>
      </c>
      <c r="AB1720" s="1"/>
      <c r="AC1720" s="1"/>
      <c r="AD1720" s="1"/>
      <c r="AE1720" s="1"/>
      <c r="AG1720" s="2" t="str">
        <f>"006097561X"</f>
        <v>006097561X</v>
      </c>
      <c r="AH1720" s="2" t="str">
        <f>"9780060975616"</f>
        <v>9780060975616</v>
      </c>
      <c r="AI1720" s="1">
        <v>0.0</v>
      </c>
      <c r="AJ1720" s="1">
        <v>3.59</v>
      </c>
      <c r="AK1720" s="1" t="s">
        <v>3736</v>
      </c>
      <c r="AL1720" s="1" t="s">
        <v>315</v>
      </c>
      <c r="AM1720" s="1">
        <v>272.0</v>
      </c>
      <c r="AN1720" s="1">
        <v>1993.0</v>
      </c>
      <c r="AO1720" s="1">
        <v>1992.0</v>
      </c>
      <c r="AQ1720" s="3">
        <v>44261.0</v>
      </c>
      <c r="AR1720" s="1" t="s">
        <v>31</v>
      </c>
      <c r="AS1720" s="1" t="s">
        <v>7552</v>
      </c>
      <c r="AT1720" s="1" t="s">
        <v>31</v>
      </c>
      <c r="AX1720" s="1">
        <v>0.0</v>
      </c>
      <c r="AY1720" s="1">
        <v>0.0</v>
      </c>
    </row>
    <row r="1721" spans="20:51" ht="15.75" hidden="1">
      <c r="T1721" s="1">
        <v>83272.0</v>
      </c>
      <c r="U1721" s="1"/>
      <c r="V1721" s="1"/>
      <c r="W1721" s="1"/>
      <c r="X1721" s="1"/>
      <c r="Y1721" s="1" t="s">
        <v>7553</v>
      </c>
      <c r="Z1721" s="1" t="s">
        <v>2640</v>
      </c>
      <c r="AA1721" s="1" t="s">
        <v>7554</v>
      </c>
      <c r="AB1721" s="1"/>
      <c r="AC1721" s="1"/>
      <c r="AD1721" s="1"/>
      <c r="AE1721" s="1"/>
      <c r="AG1721" s="2" t="str">
        <f>"0521002958"</f>
        <v>0521002958</v>
      </c>
      <c r="AH1721" s="2" t="str">
        <f>"9780521002950"</f>
        <v>9780521002950</v>
      </c>
      <c r="AI1721" s="1">
        <v>0.0</v>
      </c>
      <c r="AJ1721" s="1">
        <v>4.01</v>
      </c>
      <c r="AK1721" s="1" t="s">
        <v>605</v>
      </c>
      <c r="AL1721" s="1" t="s">
        <v>28</v>
      </c>
      <c r="AM1721" s="1">
        <v>288.0</v>
      </c>
      <c r="AN1721" s="1">
        <v>2001.0</v>
      </c>
      <c r="AO1721" s="1">
        <v>1965.0</v>
      </c>
      <c r="AQ1721" s="3">
        <v>44261.0</v>
      </c>
      <c r="AR1721" s="1" t="s">
        <v>31</v>
      </c>
      <c r="AS1721" s="1" t="s">
        <v>7555</v>
      </c>
      <c r="AT1721" s="1" t="s">
        <v>31</v>
      </c>
      <c r="AX1721" s="1">
        <v>0.0</v>
      </c>
      <c r="AY1721" s="1">
        <v>0.0</v>
      </c>
    </row>
    <row r="1722" spans="20:51" ht="15.75" hidden="1">
      <c r="T1722" s="1">
        <v>1306109.0</v>
      </c>
      <c r="U1722" s="1"/>
      <c r="V1722" s="1"/>
      <c r="W1722" s="1"/>
      <c r="X1722" s="1"/>
      <c r="Y1722" s="1" t="s">
        <v>7556</v>
      </c>
      <c r="Z1722" s="1" t="s">
        <v>2066</v>
      </c>
      <c r="AA1722" s="1" t="s">
        <v>2067</v>
      </c>
      <c r="AB1722" s="1"/>
      <c r="AC1722" s="1"/>
      <c r="AD1722" s="1"/>
      <c r="AE1722" s="1"/>
      <c r="AG1722" s="2" t="str">
        <f>"0140062742"</f>
        <v>0140062742</v>
      </c>
      <c r="AH1722" s="2" t="str">
        <f>"9780140062748"</f>
        <v>9780140062748</v>
      </c>
      <c r="AI1722" s="1">
        <v>0.0</v>
      </c>
      <c r="AJ1722" s="1">
        <v>3.84</v>
      </c>
      <c r="AK1722" s="1" t="s">
        <v>460</v>
      </c>
      <c r="AL1722" s="1" t="s">
        <v>28</v>
      </c>
      <c r="AM1722" s="1">
        <v>424.0</v>
      </c>
      <c r="AN1722" s="1">
        <v>1982.0</v>
      </c>
      <c r="AO1722" s="1">
        <v>1982.0</v>
      </c>
      <c r="AQ1722" s="3">
        <v>44261.0</v>
      </c>
      <c r="AR1722" s="1" t="s">
        <v>31</v>
      </c>
      <c r="AS1722" s="1" t="s">
        <v>7557</v>
      </c>
      <c r="AT1722" s="1" t="s">
        <v>31</v>
      </c>
      <c r="AX1722" s="1">
        <v>0.0</v>
      </c>
      <c r="AY1722" s="1">
        <v>0.0</v>
      </c>
    </row>
    <row r="1723" spans="20:51" ht="15.75" hidden="1">
      <c r="T1723" s="1">
        <v>1803369.0</v>
      </c>
      <c r="U1723" s="1"/>
      <c r="V1723" s="1"/>
      <c r="W1723" s="1"/>
      <c r="X1723" s="1"/>
      <c r="Y1723" s="1" t="s">
        <v>7558</v>
      </c>
      <c r="Z1723" s="1" t="s">
        <v>7559</v>
      </c>
      <c r="AA1723" s="1" t="s">
        <v>7560</v>
      </c>
      <c r="AB1723" s="1"/>
      <c r="AC1723" s="1"/>
      <c r="AD1723" s="1"/>
      <c r="AE1723" s="1"/>
      <c r="AG1723" s="2" t="str">
        <f>"9875662550"</f>
        <v>9875662550</v>
      </c>
      <c r="AH1723" s="2" t="str">
        <f>"9789875662551"</f>
        <v>9789875662551</v>
      </c>
      <c r="AI1723" s="1">
        <v>0.0</v>
      </c>
      <c r="AJ1723" s="1">
        <v>3.97</v>
      </c>
      <c r="AK1723" s="1" t="s">
        <v>7561</v>
      </c>
      <c r="AL1723" s="1" t="s">
        <v>28</v>
      </c>
      <c r="AM1723" s="1">
        <v>359.0</v>
      </c>
      <c r="AN1723" s="1">
        <v>2014.0</v>
      </c>
      <c r="AO1723" s="1">
        <v>1994.0</v>
      </c>
      <c r="AQ1723" s="3">
        <v>44258.0</v>
      </c>
      <c r="AR1723" s="1" t="s">
        <v>31</v>
      </c>
      <c r="AS1723" s="1" t="s">
        <v>7562</v>
      </c>
      <c r="AT1723" s="1" t="s">
        <v>31</v>
      </c>
      <c r="AX1723" s="1">
        <v>0.0</v>
      </c>
      <c r="AY1723" s="1">
        <v>0.0</v>
      </c>
    </row>
    <row r="1724" spans="20:51" ht="15.75" hidden="1">
      <c r="T1724" s="1">
        <v>5.1997883E7</v>
      </c>
      <c r="U1724" s="1"/>
      <c r="V1724" s="1"/>
      <c r="W1724" s="1"/>
      <c r="X1724" s="1"/>
      <c r="Y1724" s="1" t="s">
        <v>7563</v>
      </c>
      <c r="Z1724" s="1" t="s">
        <v>7564</v>
      </c>
      <c r="AA1724" s="1" t="s">
        <v>7565</v>
      </c>
      <c r="AB1724" s="1"/>
      <c r="AC1724" s="1"/>
      <c r="AD1724" s="1"/>
      <c r="AE1724" s="1"/>
      <c r="AG1724" s="2" t="str">
        <f t="shared" si="139" ref="AG1724:AH1724">""</f>
        <v/>
      </c>
      <c r="AH1724" s="2" t="str">
        <f t="shared" si="139"/>
        <v/>
      </c>
      <c r="AI1724" s="1">
        <v>0.0</v>
      </c>
      <c r="AJ1724" s="1">
        <v>4.15</v>
      </c>
      <c r="AK1724" s="1" t="s">
        <v>7566</v>
      </c>
      <c r="AN1724" s="1">
        <v>2020.0</v>
      </c>
      <c r="AO1724" s="1">
        <v>2020.0</v>
      </c>
      <c r="AQ1724" s="3">
        <v>44258.0</v>
      </c>
      <c r="AR1724" s="1" t="s">
        <v>31</v>
      </c>
      <c r="AS1724" s="1" t="s">
        <v>7567</v>
      </c>
      <c r="AT1724" s="1" t="s">
        <v>31</v>
      </c>
      <c r="AX1724" s="1">
        <v>0.0</v>
      </c>
      <c r="AY1724" s="1">
        <v>0.0</v>
      </c>
    </row>
    <row r="1725" spans="20:51" ht="15.75" hidden="1">
      <c r="T1725" s="1">
        <v>4.909979E7</v>
      </c>
      <c r="U1725" s="1"/>
      <c r="V1725" s="1"/>
      <c r="W1725" s="1"/>
      <c r="X1725" s="1"/>
      <c r="Y1725" s="1" t="s">
        <v>7568</v>
      </c>
      <c r="Z1725" s="1" t="s">
        <v>7569</v>
      </c>
      <c r="AA1725" s="1" t="s">
        <v>7570</v>
      </c>
      <c r="AB1725" s="1"/>
      <c r="AC1725" s="1"/>
      <c r="AD1725" s="1"/>
      <c r="AE1725" s="1"/>
      <c r="AG1725" s="2" t="str">
        <f>"0525559663"</f>
        <v>0525559663</v>
      </c>
      <c r="AH1725" s="2" t="str">
        <f>"9780525559665"</f>
        <v>9780525559665</v>
      </c>
      <c r="AI1725" s="1">
        <v>0.0</v>
      </c>
      <c r="AJ1725" s="1">
        <v>3.91</v>
      </c>
      <c r="AK1725" s="1" t="s">
        <v>1236</v>
      </c>
      <c r="AL1725" s="1" t="s">
        <v>41</v>
      </c>
      <c r="AM1725" s="1">
        <v>432.0</v>
      </c>
      <c r="AN1725" s="1">
        <v>2020.0</v>
      </c>
      <c r="AO1725" s="1">
        <v>2018.0</v>
      </c>
      <c r="AQ1725" s="3">
        <v>44258.0</v>
      </c>
      <c r="AR1725" s="1" t="s">
        <v>31</v>
      </c>
      <c r="AS1725" s="1" t="s">
        <v>7571</v>
      </c>
      <c r="AT1725" s="1" t="s">
        <v>31</v>
      </c>
      <c r="AX1725" s="1">
        <v>0.0</v>
      </c>
      <c r="AY1725" s="1">
        <v>0.0</v>
      </c>
    </row>
    <row r="1726" spans="20:51" ht="15.75" hidden="1">
      <c r="T1726" s="1">
        <v>1156196.0</v>
      </c>
      <c r="U1726" s="1"/>
      <c r="V1726" s="1"/>
      <c r="W1726" s="1"/>
      <c r="X1726" s="1"/>
      <c r="Y1726" s="1" t="s">
        <v>7572</v>
      </c>
      <c r="Z1726" s="1" t="s">
        <v>7573</v>
      </c>
      <c r="AA1726" s="1" t="s">
        <v>7574</v>
      </c>
      <c r="AB1726" s="1"/>
      <c r="AC1726" s="1"/>
      <c r="AD1726" s="1"/>
      <c r="AE1726" s="1"/>
      <c r="AF1726" s="1" t="s">
        <v>7575</v>
      </c>
      <c r="AG1726" s="2" t="str">
        <f>"0195067789"</f>
        <v>0195067789</v>
      </c>
      <c r="AH1726" s="2" t="str">
        <f>"9780195067781"</f>
        <v>9780195067781</v>
      </c>
      <c r="AI1726" s="1">
        <v>0.0</v>
      </c>
      <c r="AJ1726" s="1">
        <v>4.36</v>
      </c>
      <c r="AK1726" s="1" t="s">
        <v>214</v>
      </c>
      <c r="AL1726" s="1" t="s">
        <v>28</v>
      </c>
      <c r="AM1726" s="1">
        <v>304.0</v>
      </c>
      <c r="AN1726" s="1">
        <v>1991.0</v>
      </c>
      <c r="AO1726" s="1">
        <v>1987.0</v>
      </c>
      <c r="AQ1726" s="3">
        <v>44258.0</v>
      </c>
      <c r="AR1726" s="1" t="s">
        <v>31</v>
      </c>
      <c r="AS1726" s="1" t="s">
        <v>7576</v>
      </c>
      <c r="AT1726" s="1" t="s">
        <v>31</v>
      </c>
      <c r="AX1726" s="1">
        <v>0.0</v>
      </c>
      <c r="AY1726" s="1">
        <v>0.0</v>
      </c>
    </row>
    <row r="1727" spans="20:51" ht="15.75" hidden="1">
      <c r="T1727" s="1">
        <v>305532.0</v>
      </c>
      <c r="U1727" s="1"/>
      <c r="V1727" s="1"/>
      <c r="W1727" s="1"/>
      <c r="X1727" s="1"/>
      <c r="Y1727" s="1" t="s">
        <v>7577</v>
      </c>
      <c r="Z1727" s="1" t="s">
        <v>7578</v>
      </c>
      <c r="AA1727" s="1" t="s">
        <v>7579</v>
      </c>
      <c r="AB1727" s="1"/>
      <c r="AC1727" s="1"/>
      <c r="AD1727" s="1"/>
      <c r="AE1727" s="1"/>
      <c r="AF1727" s="1" t="s">
        <v>7580</v>
      </c>
      <c r="AG1727" s="2" t="str">
        <f>"1400079756"</f>
        <v>1400079756</v>
      </c>
      <c r="AH1727" s="2" t="str">
        <f>"9781400079759"</f>
        <v>9781400079759</v>
      </c>
      <c r="AI1727" s="1">
        <v>0.0</v>
      </c>
      <c r="AJ1727" s="1">
        <v>3.7</v>
      </c>
      <c r="AK1727" s="1" t="s">
        <v>2017</v>
      </c>
      <c r="AL1727" s="1" t="s">
        <v>28</v>
      </c>
      <c r="AM1727" s="1">
        <v>384.0</v>
      </c>
      <c r="AN1727" s="1">
        <v>2007.0</v>
      </c>
      <c r="AO1727" s="1">
        <v>2007.0</v>
      </c>
      <c r="AQ1727" s="3">
        <v>44257.0</v>
      </c>
      <c r="AR1727" s="1" t="s">
        <v>31</v>
      </c>
      <c r="AS1727" s="1" t="s">
        <v>7581</v>
      </c>
      <c r="AT1727" s="1" t="s">
        <v>31</v>
      </c>
      <c r="AX1727" s="1">
        <v>0.0</v>
      </c>
      <c r="AY1727" s="1">
        <v>0.0</v>
      </c>
    </row>
    <row r="1728" spans="20:51" ht="15.75" hidden="1">
      <c r="T1728" s="1">
        <v>2.6125916E7</v>
      </c>
      <c r="U1728" s="1"/>
      <c r="V1728" s="1"/>
      <c r="W1728" s="1"/>
      <c r="X1728" s="1"/>
      <c r="Y1728" s="1" t="s">
        <v>7582</v>
      </c>
      <c r="Z1728" s="1" t="s">
        <v>7583</v>
      </c>
      <c r="AA1728" s="1" t="s">
        <v>7584</v>
      </c>
      <c r="AB1728" s="1"/>
      <c r="AC1728" s="1"/>
      <c r="AD1728" s="1"/>
      <c r="AE1728" s="1"/>
      <c r="AG1728" s="2" t="str">
        <f t="shared" si="140" ref="AG1728:AH1728">""</f>
        <v/>
      </c>
      <c r="AH1728" s="2" t="str">
        <f t="shared" si="140"/>
        <v/>
      </c>
      <c r="AI1728" s="1">
        <v>0.0</v>
      </c>
      <c r="AJ1728" s="1">
        <v>3.1</v>
      </c>
      <c r="AK1728" s="1" t="s">
        <v>7585</v>
      </c>
      <c r="AO1728" s="1">
        <v>2015.0</v>
      </c>
      <c r="AQ1728" s="3">
        <v>44257.0</v>
      </c>
      <c r="AR1728" s="1" t="s">
        <v>31</v>
      </c>
      <c r="AS1728" s="1" t="s">
        <v>7586</v>
      </c>
      <c r="AT1728" s="1" t="s">
        <v>31</v>
      </c>
      <c r="AX1728" s="1">
        <v>0.0</v>
      </c>
      <c r="AY1728" s="1">
        <v>0.0</v>
      </c>
    </row>
    <row r="1729" spans="20:51" ht="15.75" hidden="1">
      <c r="T1729" s="1">
        <v>720591.0</v>
      </c>
      <c r="U1729" s="1"/>
      <c r="V1729" s="1"/>
      <c r="W1729" s="1"/>
      <c r="X1729" s="1"/>
      <c r="Y1729" s="1" t="s">
        <v>7587</v>
      </c>
      <c r="Z1729" s="1" t="s">
        <v>7588</v>
      </c>
      <c r="AA1729" s="1" t="s">
        <v>7589</v>
      </c>
      <c r="AB1729" s="1"/>
      <c r="AC1729" s="1"/>
      <c r="AD1729" s="1"/>
      <c r="AE1729" s="1"/>
      <c r="AG1729" s="2" t="str">
        <f>"000715612X"</f>
        <v>000715612X</v>
      </c>
      <c r="AH1729" s="2" t="str">
        <f>"9780007156122"</f>
        <v>9780007156122</v>
      </c>
      <c r="AI1729" s="1">
        <v>0.0</v>
      </c>
      <c r="AJ1729" s="1">
        <v>3.64</v>
      </c>
      <c r="AK1729" s="1" t="s">
        <v>474</v>
      </c>
      <c r="AL1729" s="1" t="s">
        <v>28</v>
      </c>
      <c r="AM1729" s="1">
        <v>368.0</v>
      </c>
      <c r="AN1729" s="1">
        <v>2004.0</v>
      </c>
      <c r="AO1729" s="1">
        <v>2003.0</v>
      </c>
      <c r="AQ1729" s="3">
        <v>44257.0</v>
      </c>
      <c r="AR1729" s="1" t="s">
        <v>31</v>
      </c>
      <c r="AS1729" s="1" t="s">
        <v>7590</v>
      </c>
      <c r="AT1729" s="1" t="s">
        <v>31</v>
      </c>
      <c r="AX1729" s="1">
        <v>0.0</v>
      </c>
      <c r="AY1729" s="1">
        <v>0.0</v>
      </c>
    </row>
    <row r="1730" spans="20:51" ht="15.75" hidden="1">
      <c r="T1730" s="1">
        <v>2635557.0</v>
      </c>
      <c r="U1730" s="1"/>
      <c r="V1730" s="1"/>
      <c r="W1730" s="1"/>
      <c r="X1730" s="1"/>
      <c r="Y1730" s="1" t="s">
        <v>7591</v>
      </c>
      <c r="Z1730" s="1" t="s">
        <v>7583</v>
      </c>
      <c r="AA1730" s="1" t="s">
        <v>7584</v>
      </c>
      <c r="AB1730" s="1"/>
      <c r="AC1730" s="1"/>
      <c r="AD1730" s="1"/>
      <c r="AE1730" s="1"/>
      <c r="AF1730" s="1" t="s">
        <v>1849</v>
      </c>
      <c r="AG1730" s="2" t="str">
        <f>"0811217078"</f>
        <v>0811217078</v>
      </c>
      <c r="AH1730" s="2" t="str">
        <f>"9780811217071"</f>
        <v>9780811217071</v>
      </c>
      <c r="AI1730" s="1">
        <v>0.0</v>
      </c>
      <c r="AJ1730" s="1">
        <v>3.78</v>
      </c>
      <c r="AK1730" s="1" t="s">
        <v>95</v>
      </c>
      <c r="AL1730" s="1" t="s">
        <v>28</v>
      </c>
      <c r="AM1730" s="1">
        <v>142.0</v>
      </c>
      <c r="AN1730" s="1">
        <v>2008.0</v>
      </c>
      <c r="AO1730" s="1">
        <v>2004.0</v>
      </c>
      <c r="AQ1730" s="3">
        <v>44257.0</v>
      </c>
      <c r="AR1730" s="1" t="s">
        <v>31</v>
      </c>
      <c r="AS1730" s="1" t="s">
        <v>7592</v>
      </c>
      <c r="AT1730" s="1" t="s">
        <v>31</v>
      </c>
      <c r="AX1730" s="1">
        <v>0.0</v>
      </c>
      <c r="AY1730" s="1">
        <v>0.0</v>
      </c>
    </row>
    <row r="1731" spans="20:51" ht="15.75" hidden="1">
      <c r="T1731" s="1">
        <v>29791.0</v>
      </c>
      <c r="U1731" s="1"/>
      <c r="V1731" s="1"/>
      <c r="W1731" s="1"/>
      <c r="X1731" s="1"/>
      <c r="Y1731" s="1" t="s">
        <v>7593</v>
      </c>
      <c r="Z1731" s="1" t="s">
        <v>7594</v>
      </c>
      <c r="AA1731" s="1" t="s">
        <v>7595</v>
      </c>
      <c r="AB1731" s="1"/>
      <c r="AC1731" s="1"/>
      <c r="AD1731" s="1"/>
      <c r="AE1731" s="1"/>
      <c r="AG1731" s="2" t="str">
        <f>"0375404937"</f>
        <v>0375404937</v>
      </c>
      <c r="AH1731" s="2" t="str">
        <f>"9780375404931"</f>
        <v>9780375404931</v>
      </c>
      <c r="AI1731" s="1">
        <v>0.0</v>
      </c>
      <c r="AJ1731" s="1">
        <v>3.68</v>
      </c>
      <c r="AK1731" s="1" t="s">
        <v>634</v>
      </c>
      <c r="AL1731" s="1" t="s">
        <v>41</v>
      </c>
      <c r="AM1731" s="1">
        <v>339.0</v>
      </c>
      <c r="AN1731" s="1">
        <v>2007.0</v>
      </c>
      <c r="AO1731" s="1">
        <v>2005.0</v>
      </c>
      <c r="AQ1731" s="3">
        <v>44257.0</v>
      </c>
      <c r="AR1731" s="1" t="s">
        <v>31</v>
      </c>
      <c r="AS1731" s="1" t="s">
        <v>7596</v>
      </c>
      <c r="AT1731" s="1" t="s">
        <v>31</v>
      </c>
      <c r="AX1731" s="1">
        <v>0.0</v>
      </c>
      <c r="AY1731" s="1">
        <v>0.0</v>
      </c>
    </row>
    <row r="1732" spans="20:51" ht="15.75" hidden="1">
      <c r="T1732" s="1">
        <v>35743.0</v>
      </c>
      <c r="U1732" s="1"/>
      <c r="V1732" s="1"/>
      <c r="W1732" s="1"/>
      <c r="X1732" s="1"/>
      <c r="Y1732" s="1" t="s">
        <v>7597</v>
      </c>
      <c r="Z1732" s="1" t="s">
        <v>5499</v>
      </c>
      <c r="AA1732" s="1" t="s">
        <v>5500</v>
      </c>
      <c r="AB1732" s="1"/>
      <c r="AC1732" s="1"/>
      <c r="AD1732" s="1"/>
      <c r="AE1732" s="1"/>
      <c r="AF1732" s="1" t="s">
        <v>455</v>
      </c>
      <c r="AG1732" s="2" t="str">
        <f>"0099483505"</f>
        <v>0099483505</v>
      </c>
      <c r="AH1732" s="2" t="str">
        <f>"9780099483502"</f>
        <v>9780099483502</v>
      </c>
      <c r="AI1732" s="1">
        <v>0.0</v>
      </c>
      <c r="AJ1732" s="1">
        <v>3.95</v>
      </c>
      <c r="AK1732" s="1" t="s">
        <v>83</v>
      </c>
      <c r="AL1732" s="1" t="s">
        <v>28</v>
      </c>
      <c r="AM1732" s="1">
        <v>580.0</v>
      </c>
      <c r="AN1732" s="1">
        <v>2005.0</v>
      </c>
      <c r="AO1732" s="1">
        <v>1959.0</v>
      </c>
      <c r="AQ1732" s="3">
        <v>44256.0</v>
      </c>
      <c r="AR1732" s="1" t="s">
        <v>31</v>
      </c>
      <c r="AS1732" s="1" t="s">
        <v>7598</v>
      </c>
      <c r="AT1732" s="1" t="s">
        <v>31</v>
      </c>
      <c r="AX1732" s="1">
        <v>0.0</v>
      </c>
      <c r="AY1732" s="1">
        <v>0.0</v>
      </c>
    </row>
    <row r="1733" spans="20:51" ht="15.75" hidden="1">
      <c r="T1733" s="1">
        <v>3429363.0</v>
      </c>
      <c r="U1733" s="1"/>
      <c r="V1733" s="1"/>
      <c r="W1733" s="1"/>
      <c r="X1733" s="1"/>
      <c r="Y1733" s="1" t="s">
        <v>7599</v>
      </c>
      <c r="Z1733" s="1" t="s">
        <v>2131</v>
      </c>
      <c r="AA1733" s="1" t="s">
        <v>2132</v>
      </c>
      <c r="AB1733" s="1"/>
      <c r="AC1733" s="1"/>
      <c r="AD1733" s="1"/>
      <c r="AE1733" s="1"/>
      <c r="AG1733" s="2" t="str">
        <f>"1934633151"</f>
        <v>1934633151</v>
      </c>
      <c r="AH1733" s="2" t="str">
        <f>"9781934633151"</f>
        <v>9781934633151</v>
      </c>
      <c r="AI1733" s="1">
        <v>0.0</v>
      </c>
      <c r="AJ1733" s="1">
        <v>3.93</v>
      </c>
      <c r="AK1733" s="1" t="s">
        <v>7600</v>
      </c>
      <c r="AL1733" s="1" t="s">
        <v>41</v>
      </c>
      <c r="AM1733" s="1">
        <v>192.0</v>
      </c>
      <c r="AN1733" s="1">
        <v>2008.0</v>
      </c>
      <c r="AO1733" s="1">
        <v>2008.0</v>
      </c>
      <c r="AQ1733" s="3">
        <v>44254.0</v>
      </c>
      <c r="AR1733" s="1" t="s">
        <v>31</v>
      </c>
      <c r="AS1733" s="1" t="s">
        <v>7601</v>
      </c>
      <c r="AT1733" s="1" t="s">
        <v>31</v>
      </c>
      <c r="AX1733" s="1">
        <v>0.0</v>
      </c>
      <c r="AY1733" s="1">
        <v>0.0</v>
      </c>
    </row>
    <row r="1734" spans="20:51" ht="15.75" hidden="1">
      <c r="T1734" s="1">
        <v>3.4230648E7</v>
      </c>
      <c r="U1734" s="1"/>
      <c r="V1734" s="1"/>
      <c r="W1734" s="1"/>
      <c r="X1734" s="1"/>
      <c r="Y1734" s="1" t="s">
        <v>7602</v>
      </c>
      <c r="Z1734" s="1" t="s">
        <v>7603</v>
      </c>
      <c r="AA1734" s="1" t="s">
        <v>7604</v>
      </c>
      <c r="AB1734" s="1"/>
      <c r="AC1734" s="1"/>
      <c r="AD1734" s="1"/>
      <c r="AE1734" s="1"/>
      <c r="AF1734" s="1" t="s">
        <v>7605</v>
      </c>
      <c r="AG1734" s="2" t="str">
        <f t="shared" si="141" ref="AG1734:AH1734">""</f>
        <v/>
      </c>
      <c r="AH1734" s="2" t="str">
        <f t="shared" si="141"/>
        <v/>
      </c>
      <c r="AI1734" s="1">
        <v>0.0</v>
      </c>
      <c r="AJ1734" s="1">
        <v>3.92</v>
      </c>
      <c r="AK1734" s="1" t="s">
        <v>89</v>
      </c>
      <c r="AL1734" s="1" t="s">
        <v>59</v>
      </c>
      <c r="AM1734" s="1">
        <v>209.0</v>
      </c>
      <c r="AN1734" s="1">
        <v>2017.0</v>
      </c>
      <c r="AO1734" s="1">
        <v>2014.0</v>
      </c>
      <c r="AQ1734" s="3">
        <v>44254.0</v>
      </c>
      <c r="AR1734" s="1" t="s">
        <v>31</v>
      </c>
      <c r="AS1734" s="1" t="s">
        <v>7606</v>
      </c>
      <c r="AT1734" s="1" t="s">
        <v>31</v>
      </c>
      <c r="AX1734" s="1">
        <v>0.0</v>
      </c>
      <c r="AY1734" s="1">
        <v>0.0</v>
      </c>
    </row>
    <row r="1735" spans="20:51" ht="15.75" hidden="1">
      <c r="T1735" s="1">
        <v>1.5712878E7</v>
      </c>
      <c r="U1735" s="1"/>
      <c r="V1735" s="1"/>
      <c r="W1735" s="1"/>
      <c r="X1735" s="1"/>
      <c r="Y1735" s="1" t="s">
        <v>7607</v>
      </c>
      <c r="Z1735" s="1" t="s">
        <v>7608</v>
      </c>
      <c r="AA1735" s="1" t="s">
        <v>7609</v>
      </c>
      <c r="AB1735" s="1"/>
      <c r="AC1735" s="1"/>
      <c r="AD1735" s="1"/>
      <c r="AE1735" s="1"/>
      <c r="AF1735" s="1" t="s">
        <v>7610</v>
      </c>
      <c r="AG1735" s="2" t="str">
        <f>"1934824682"</f>
        <v>1934824682</v>
      </c>
      <c r="AH1735" s="2" t="str">
        <f>"9781934824689"</f>
        <v>9781934824689</v>
      </c>
      <c r="AI1735" s="1">
        <v>0.0</v>
      </c>
      <c r="AJ1735" s="1">
        <v>3.95</v>
      </c>
      <c r="AK1735" s="1" t="s">
        <v>1566</v>
      </c>
      <c r="AL1735" s="1" t="s">
        <v>28</v>
      </c>
      <c r="AM1735" s="1">
        <v>208.0</v>
      </c>
      <c r="AN1735" s="1">
        <v>2012.0</v>
      </c>
      <c r="AO1735" s="1">
        <v>2012.0</v>
      </c>
      <c r="AQ1735" s="3">
        <v>44252.0</v>
      </c>
      <c r="AR1735" s="1" t="s">
        <v>31</v>
      </c>
      <c r="AS1735" s="1" t="s">
        <v>7611</v>
      </c>
      <c r="AT1735" s="1" t="s">
        <v>31</v>
      </c>
      <c r="AX1735" s="1">
        <v>0.0</v>
      </c>
      <c r="AY1735" s="1">
        <v>0.0</v>
      </c>
    </row>
    <row r="1736" spans="20:51" ht="15.75" hidden="1">
      <c r="T1736" s="1">
        <v>3.0047022E7</v>
      </c>
      <c r="U1736" s="1"/>
      <c r="V1736" s="1"/>
      <c r="W1736" s="1"/>
      <c r="X1736" s="1"/>
      <c r="Y1736" s="1" t="s">
        <v>7612</v>
      </c>
      <c r="Z1736" s="1" t="s">
        <v>7613</v>
      </c>
      <c r="AA1736" s="1" t="s">
        <v>7614</v>
      </c>
      <c r="AB1736" s="1"/>
      <c r="AC1736" s="1"/>
      <c r="AD1736" s="1"/>
      <c r="AE1736" s="1"/>
      <c r="AF1736" s="1" t="s">
        <v>7615</v>
      </c>
      <c r="AG1736" s="2" t="str">
        <f>"0811216438"</f>
        <v>0811216438</v>
      </c>
      <c r="AH1736" s="2" t="str">
        <f>"9780811216432"</f>
        <v>9780811216432</v>
      </c>
      <c r="AI1736" s="1">
        <v>0.0</v>
      </c>
      <c r="AJ1736" s="1">
        <v>4.27</v>
      </c>
      <c r="AK1736" s="1" t="s">
        <v>95</v>
      </c>
      <c r="AL1736" s="1" t="s">
        <v>65</v>
      </c>
      <c r="AM1736" s="1">
        <v>384.0</v>
      </c>
      <c r="AN1736" s="1">
        <v>2016.0</v>
      </c>
      <c r="AO1736" s="1">
        <v>1968.0</v>
      </c>
      <c r="AQ1736" s="3">
        <v>44252.0</v>
      </c>
      <c r="AR1736" s="1" t="s">
        <v>31</v>
      </c>
      <c r="AS1736" s="1" t="s">
        <v>7616</v>
      </c>
      <c r="AT1736" s="1" t="s">
        <v>31</v>
      </c>
      <c r="AX1736" s="1">
        <v>0.0</v>
      </c>
      <c r="AY1736" s="1">
        <v>0.0</v>
      </c>
    </row>
    <row r="1737" spans="20:51" ht="15.75" hidden="1">
      <c r="T1737" s="1">
        <v>1153141.0</v>
      </c>
      <c r="U1737" s="1"/>
      <c r="V1737" s="1"/>
      <c r="W1737" s="1"/>
      <c r="X1737" s="1"/>
      <c r="Y1737" s="1" t="s">
        <v>7617</v>
      </c>
      <c r="Z1737" s="1" t="s">
        <v>6202</v>
      </c>
      <c r="AA1737" s="1" t="s">
        <v>6203</v>
      </c>
      <c r="AB1737" s="1"/>
      <c r="AC1737" s="1"/>
      <c r="AD1737" s="1"/>
      <c r="AE1737" s="1"/>
      <c r="AG1737" s="2" t="str">
        <f>"9682700701"</f>
        <v>9682700701</v>
      </c>
      <c r="AH1737" s="2" t="str">
        <f>"9789682700705"</f>
        <v>9789682700705</v>
      </c>
      <c r="AI1737" s="1">
        <v>0.0</v>
      </c>
      <c r="AJ1737" s="1">
        <v>4.03</v>
      </c>
      <c r="AK1737" s="1" t="s">
        <v>7618</v>
      </c>
      <c r="AL1737" s="1" t="s">
        <v>28</v>
      </c>
      <c r="AM1737" s="1">
        <v>163.0</v>
      </c>
      <c r="AN1737" s="1">
        <v>1971.0</v>
      </c>
      <c r="AO1737" s="1">
        <v>1952.0</v>
      </c>
      <c r="AQ1737" s="3">
        <v>44252.0</v>
      </c>
      <c r="AR1737" s="1" t="s">
        <v>31</v>
      </c>
      <c r="AS1737" s="1" t="s">
        <v>7619</v>
      </c>
      <c r="AT1737" s="1" t="s">
        <v>31</v>
      </c>
      <c r="AX1737" s="1">
        <v>0.0</v>
      </c>
      <c r="AY1737" s="1">
        <v>0.0</v>
      </c>
    </row>
    <row r="1738" spans="20:51" ht="15.75" hidden="1">
      <c r="T1738" s="1">
        <v>1.3195198E7</v>
      </c>
      <c r="U1738" s="1"/>
      <c r="V1738" s="1"/>
      <c r="W1738" s="1"/>
      <c r="X1738" s="1"/>
      <c r="Y1738" s="1" t="s">
        <v>7620</v>
      </c>
      <c r="Z1738" s="1" t="s">
        <v>7621</v>
      </c>
      <c r="AA1738" s="1" t="s">
        <v>7622</v>
      </c>
      <c r="AB1738" s="1"/>
      <c r="AC1738" s="1"/>
      <c r="AD1738" s="1"/>
      <c r="AE1738" s="1"/>
      <c r="AG1738" s="2" t="str">
        <f>"8492403241"</f>
        <v>8492403241</v>
      </c>
      <c r="AH1738" s="2" t="str">
        <f>"9788492403240"</f>
        <v>9788492403240</v>
      </c>
      <c r="AI1738" s="1">
        <v>0.0</v>
      </c>
      <c r="AJ1738" s="1">
        <v>4.18</v>
      </c>
      <c r="AK1738" s="1" t="s">
        <v>7623</v>
      </c>
      <c r="AL1738" s="1" t="s">
        <v>28</v>
      </c>
      <c r="AM1738" s="1">
        <v>128.0</v>
      </c>
      <c r="AN1738" s="1">
        <v>2011.0</v>
      </c>
      <c r="AO1738" s="1">
        <v>1907.0</v>
      </c>
      <c r="AQ1738" s="3">
        <v>44252.0</v>
      </c>
      <c r="AR1738" s="1" t="s">
        <v>31</v>
      </c>
      <c r="AS1738" s="1" t="s">
        <v>7624</v>
      </c>
      <c r="AT1738" s="1" t="s">
        <v>31</v>
      </c>
      <c r="AX1738" s="1">
        <v>0.0</v>
      </c>
      <c r="AY1738" s="1">
        <v>0.0</v>
      </c>
    </row>
    <row r="1739" spans="20:51" ht="15.75" hidden="1">
      <c r="T1739" s="1">
        <v>164019.0</v>
      </c>
      <c r="U1739" s="1"/>
      <c r="V1739" s="1"/>
      <c r="W1739" s="1"/>
      <c r="X1739" s="1"/>
      <c r="Y1739" s="1" t="s">
        <v>7625</v>
      </c>
      <c r="Z1739" s="1" t="s">
        <v>7626</v>
      </c>
      <c r="AA1739" s="1" t="s">
        <v>7627</v>
      </c>
      <c r="AB1739" s="1"/>
      <c r="AC1739" s="1"/>
      <c r="AD1739" s="1"/>
      <c r="AE1739" s="1"/>
      <c r="AF1739" s="1" t="s">
        <v>7628</v>
      </c>
      <c r="AG1739" s="2" t="str">
        <f>"0375757872"</f>
        <v>0375757872</v>
      </c>
      <c r="AH1739" s="2" t="str">
        <f>"9780375757877"</f>
        <v>9780375757877</v>
      </c>
      <c r="AI1739" s="1">
        <v>0.0</v>
      </c>
      <c r="AJ1739" s="1">
        <v>3.89</v>
      </c>
      <c r="AK1739" s="1" t="s">
        <v>522</v>
      </c>
      <c r="AL1739" s="1" t="s">
        <v>28</v>
      </c>
      <c r="AM1739" s="1">
        <v>320.0</v>
      </c>
      <c r="AN1739" s="1">
        <v>2001.0</v>
      </c>
      <c r="AO1739" s="1">
        <v>1899.0</v>
      </c>
      <c r="AQ1739" s="3">
        <v>44252.0</v>
      </c>
      <c r="AR1739" s="1" t="s">
        <v>31</v>
      </c>
      <c r="AS1739" s="1" t="s">
        <v>7629</v>
      </c>
      <c r="AT1739" s="1" t="s">
        <v>31</v>
      </c>
      <c r="AX1739" s="1">
        <v>0.0</v>
      </c>
      <c r="AY1739" s="1">
        <v>0.0</v>
      </c>
    </row>
    <row r="1740" spans="20:51" ht="15.75" hidden="1">
      <c r="T1740" s="1">
        <v>2418471.0</v>
      </c>
      <c r="U1740" s="1"/>
      <c r="V1740" s="1"/>
      <c r="W1740" s="1"/>
      <c r="X1740" s="1"/>
      <c r="Y1740" s="1" t="s">
        <v>7630</v>
      </c>
      <c r="Z1740" s="1" t="s">
        <v>7631</v>
      </c>
      <c r="AA1740" s="1" t="s">
        <v>7632</v>
      </c>
      <c r="AB1740" s="1"/>
      <c r="AC1740" s="1"/>
      <c r="AD1740" s="1"/>
      <c r="AE1740" s="1"/>
      <c r="AF1740" s="1" t="s">
        <v>7633</v>
      </c>
      <c r="AG1740" s="2" t="str">
        <f>"0791472744"</f>
        <v>0791472744</v>
      </c>
      <c r="AH1740" s="2" t="str">
        <f>"9780791472743"</f>
        <v>9780791472743</v>
      </c>
      <c r="AI1740" s="1">
        <v>0.0</v>
      </c>
      <c r="AJ1740" s="1">
        <v>3.82</v>
      </c>
      <c r="AK1740" s="1" t="s">
        <v>7634</v>
      </c>
      <c r="AL1740" s="1" t="s">
        <v>28</v>
      </c>
      <c r="AM1740" s="1">
        <v>110.0</v>
      </c>
      <c r="AN1740" s="1">
        <v>2007.0</v>
      </c>
      <c r="AO1740" s="1">
        <v>1907.0</v>
      </c>
      <c r="AQ1740" s="3">
        <v>44252.0</v>
      </c>
      <c r="AR1740" s="1" t="s">
        <v>31</v>
      </c>
      <c r="AS1740" s="1" t="s">
        <v>7635</v>
      </c>
      <c r="AT1740" s="1" t="s">
        <v>31</v>
      </c>
      <c r="AX1740" s="1">
        <v>0.0</v>
      </c>
      <c r="AY1740" s="1">
        <v>0.0</v>
      </c>
    </row>
    <row r="1741" spans="20:51" ht="15.75" hidden="1">
      <c r="T1741" s="1">
        <v>72052.0</v>
      </c>
      <c r="U1741" s="1"/>
      <c r="V1741" s="1"/>
      <c r="W1741" s="1"/>
      <c r="X1741" s="1"/>
      <c r="Y1741" s="1" t="s">
        <v>7636</v>
      </c>
      <c r="Z1741" s="1" t="s">
        <v>1404</v>
      </c>
      <c r="AA1741" s="1" t="s">
        <v>1405</v>
      </c>
      <c r="AB1741" s="1"/>
      <c r="AC1741" s="1"/>
      <c r="AD1741" s="1"/>
      <c r="AE1741" s="1"/>
      <c r="AF1741" s="1" t="s">
        <v>7637</v>
      </c>
      <c r="AG1741" s="2" t="str">
        <f>"0811215091"</f>
        <v>0811215091</v>
      </c>
      <c r="AH1741" s="2" t="str">
        <f>"9780811215091"</f>
        <v>9780811215091</v>
      </c>
      <c r="AI1741" s="1">
        <v>0.0</v>
      </c>
      <c r="AJ1741" s="1">
        <v>4.44</v>
      </c>
      <c r="AK1741" s="1" t="s">
        <v>95</v>
      </c>
      <c r="AL1741" s="1" t="s">
        <v>28</v>
      </c>
      <c r="AM1741" s="1">
        <v>312.0</v>
      </c>
      <c r="AN1741" s="1">
        <v>2002.0</v>
      </c>
      <c r="AO1741" s="1">
        <v>2006.0</v>
      </c>
      <c r="AQ1741" s="3">
        <v>44252.0</v>
      </c>
      <c r="AR1741" s="1" t="s">
        <v>31</v>
      </c>
      <c r="AS1741" s="1" t="s">
        <v>7638</v>
      </c>
      <c r="AT1741" s="1" t="s">
        <v>31</v>
      </c>
      <c r="AX1741" s="1">
        <v>0.0</v>
      </c>
      <c r="AY1741" s="1">
        <v>0.0</v>
      </c>
    </row>
    <row r="1742" spans="20:51" ht="15.75" hidden="1">
      <c r="T1742" s="1">
        <v>7955660.0</v>
      </c>
      <c r="U1742" s="1"/>
      <c r="V1742" s="1"/>
      <c r="W1742" s="1"/>
      <c r="X1742" s="1"/>
      <c r="Y1742" s="1" t="s">
        <v>7639</v>
      </c>
      <c r="Z1742" s="1" t="s">
        <v>7640</v>
      </c>
      <c r="AA1742" s="1" t="s">
        <v>7641</v>
      </c>
      <c r="AB1742" s="1"/>
      <c r="AC1742" s="1"/>
      <c r="AD1742" s="1"/>
      <c r="AE1742" s="1"/>
      <c r="AG1742" s="2" t="str">
        <f>"1587299046"</f>
        <v>1587299046</v>
      </c>
      <c r="AH1742" s="2" t="str">
        <f>"9781587299049"</f>
        <v>9781587299049</v>
      </c>
      <c r="AI1742" s="1">
        <v>0.0</v>
      </c>
      <c r="AJ1742" s="1">
        <v>4.26</v>
      </c>
      <c r="AK1742" s="1" t="s">
        <v>7642</v>
      </c>
      <c r="AL1742" s="1" t="s">
        <v>28</v>
      </c>
      <c r="AM1742" s="1">
        <v>321.0</v>
      </c>
      <c r="AN1742" s="1">
        <v>2010.0</v>
      </c>
      <c r="AO1742" s="1">
        <v>2010.0</v>
      </c>
      <c r="AQ1742" s="3">
        <v>44252.0</v>
      </c>
      <c r="AR1742" s="1" t="s">
        <v>31</v>
      </c>
      <c r="AS1742" s="1" t="s">
        <v>7643</v>
      </c>
      <c r="AT1742" s="1" t="s">
        <v>31</v>
      </c>
      <c r="AX1742" s="1">
        <v>0.0</v>
      </c>
      <c r="AY1742" s="1">
        <v>0.0</v>
      </c>
    </row>
    <row r="1743" spans="20:51" ht="15.75" hidden="1">
      <c r="T1743" s="1">
        <v>329326.0</v>
      </c>
      <c r="U1743" s="1"/>
      <c r="V1743" s="1"/>
      <c r="W1743" s="1"/>
      <c r="X1743" s="1"/>
      <c r="Y1743" s="1" t="s">
        <v>7644</v>
      </c>
      <c r="Z1743" s="1" t="s">
        <v>1755</v>
      </c>
      <c r="AA1743" s="1" t="s">
        <v>1756</v>
      </c>
      <c r="AB1743" s="1"/>
      <c r="AC1743" s="1"/>
      <c r="AD1743" s="1"/>
      <c r="AE1743" s="1"/>
      <c r="AG1743" s="2" t="str">
        <f>"0375709231"</f>
        <v>0375709231</v>
      </c>
      <c r="AH1743" s="2" t="str">
        <f>"9780375709234"</f>
        <v>9780375709234</v>
      </c>
      <c r="AI1743" s="1">
        <v>0.0</v>
      </c>
      <c r="AJ1743" s="1">
        <v>3.9</v>
      </c>
      <c r="AK1743" s="1" t="s">
        <v>83</v>
      </c>
      <c r="AL1743" s="1" t="s">
        <v>28</v>
      </c>
      <c r="AM1743" s="1">
        <v>356.0</v>
      </c>
      <c r="AN1743" s="1">
        <v>2002.0</v>
      </c>
      <c r="AO1743" s="1">
        <v>2000.0</v>
      </c>
      <c r="AQ1743" s="3">
        <v>44251.0</v>
      </c>
      <c r="AR1743" s="1" t="s">
        <v>31</v>
      </c>
      <c r="AS1743" s="1" t="s">
        <v>7645</v>
      </c>
      <c r="AT1743" s="1" t="s">
        <v>31</v>
      </c>
      <c r="AX1743" s="1">
        <v>0.0</v>
      </c>
      <c r="AY1743" s="1">
        <v>0.0</v>
      </c>
    </row>
    <row r="1744" spans="20:51" ht="15.75" hidden="1">
      <c r="T1744" s="1">
        <v>247241.0</v>
      </c>
      <c r="U1744" s="1"/>
      <c r="V1744" s="1"/>
      <c r="W1744" s="1"/>
      <c r="X1744" s="1"/>
      <c r="Y1744" s="1" t="s">
        <v>7646</v>
      </c>
      <c r="Z1744" s="1" t="s">
        <v>6710</v>
      </c>
      <c r="AA1744" s="1" t="s">
        <v>7647</v>
      </c>
      <c r="AB1744" s="1"/>
      <c r="AC1744" s="1"/>
      <c r="AD1744" s="1"/>
      <c r="AE1744" s="1"/>
      <c r="AG1744" s="2" t="str">
        <f>"0872862968"</f>
        <v>0872862968</v>
      </c>
      <c r="AH1744" s="2" t="str">
        <f>"9780872862968"</f>
        <v>9780872862968</v>
      </c>
      <c r="AI1744" s="1">
        <v>0.0</v>
      </c>
      <c r="AJ1744" s="1">
        <v>3.77</v>
      </c>
      <c r="AK1744" s="1" t="s">
        <v>6788</v>
      </c>
      <c r="AL1744" s="1" t="s">
        <v>28</v>
      </c>
      <c r="AM1744" s="1">
        <v>136.0</v>
      </c>
      <c r="AN1744" s="1">
        <v>2001.0</v>
      </c>
      <c r="AO1744" s="1">
        <v>1994.0</v>
      </c>
      <c r="AQ1744" s="3">
        <v>44250.0</v>
      </c>
      <c r="AR1744" s="1" t="s">
        <v>31</v>
      </c>
      <c r="AS1744" s="1" t="s">
        <v>7648</v>
      </c>
      <c r="AT1744" s="1" t="s">
        <v>31</v>
      </c>
      <c r="AX1744" s="1">
        <v>0.0</v>
      </c>
      <c r="AY1744" s="1">
        <v>0.0</v>
      </c>
    </row>
    <row r="1745" spans="20:51" ht="15.75" hidden="1">
      <c r="T1745" s="1">
        <v>128456.0</v>
      </c>
      <c r="U1745" s="1"/>
      <c r="V1745" s="1"/>
      <c r="W1745" s="1"/>
      <c r="X1745" s="1"/>
      <c r="Y1745" s="1" t="s">
        <v>7649</v>
      </c>
      <c r="Z1745" s="1" t="s">
        <v>7650</v>
      </c>
      <c r="AA1745" s="1" t="s">
        <v>7651</v>
      </c>
      <c r="AB1745" s="1"/>
      <c r="AC1745" s="1"/>
      <c r="AD1745" s="1"/>
      <c r="AE1745" s="1"/>
      <c r="AF1745" s="1" t="s">
        <v>7652</v>
      </c>
      <c r="AG1745" s="2" t="str">
        <f>"1566492513"</f>
        <v>1566492513</v>
      </c>
      <c r="AH1745" s="2" t="str">
        <f>"9781566492515"</f>
        <v>9781566492515</v>
      </c>
      <c r="AI1745" s="1">
        <v>0.0</v>
      </c>
      <c r="AJ1745" s="1">
        <v>4.11</v>
      </c>
      <c r="AK1745" s="1" t="s">
        <v>7653</v>
      </c>
      <c r="AL1745" s="1" t="s">
        <v>28</v>
      </c>
      <c r="AM1745" s="1">
        <v>480.0</v>
      </c>
      <c r="AN1745" s="1">
        <v>2002.0</v>
      </c>
      <c r="AO1745" s="1">
        <v>2001.0</v>
      </c>
      <c r="AQ1745" s="3">
        <v>44250.0</v>
      </c>
      <c r="AR1745" s="1" t="s">
        <v>31</v>
      </c>
      <c r="AS1745" s="1" t="s">
        <v>7654</v>
      </c>
      <c r="AT1745" s="1" t="s">
        <v>31</v>
      </c>
      <c r="AX1745" s="1">
        <v>0.0</v>
      </c>
      <c r="AY1745" s="1">
        <v>0.0</v>
      </c>
    </row>
    <row r="1746" spans="20:51" ht="15.75" hidden="1">
      <c r="T1746" s="1">
        <v>128458.0</v>
      </c>
      <c r="U1746" s="1"/>
      <c r="V1746" s="1"/>
      <c r="W1746" s="1"/>
      <c r="X1746" s="1"/>
      <c r="Y1746" s="1" t="s">
        <v>7655</v>
      </c>
      <c r="Z1746" s="1" t="s">
        <v>7656</v>
      </c>
      <c r="AA1746" s="1" t="s">
        <v>7657</v>
      </c>
      <c r="AB1746" s="1"/>
      <c r="AC1746" s="1"/>
      <c r="AD1746" s="1"/>
      <c r="AE1746" s="1"/>
      <c r="AF1746" s="1" t="s">
        <v>7658</v>
      </c>
      <c r="AG1746" s="2" t="str">
        <f>"0812970152"</f>
        <v>0812970152</v>
      </c>
      <c r="AH1746" s="2" t="str">
        <f>"9780812970159"</f>
        <v>9780812970159</v>
      </c>
      <c r="AI1746" s="1">
        <v>0.0</v>
      </c>
      <c r="AJ1746" s="1">
        <v>4.26</v>
      </c>
      <c r="AK1746" s="1" t="s">
        <v>7659</v>
      </c>
      <c r="AL1746" s="1" t="s">
        <v>28</v>
      </c>
      <c r="AM1746" s="1">
        <v>416.0</v>
      </c>
      <c r="AN1746" s="1">
        <v>2004.0</v>
      </c>
      <c r="AO1746" s="1">
        <v>1997.0</v>
      </c>
      <c r="AQ1746" s="3">
        <v>44250.0</v>
      </c>
      <c r="AR1746" s="1" t="s">
        <v>31</v>
      </c>
      <c r="AS1746" s="1" t="s">
        <v>7660</v>
      </c>
      <c r="AT1746" s="1" t="s">
        <v>31</v>
      </c>
      <c r="AX1746" s="1">
        <v>0.0</v>
      </c>
      <c r="AY1746" s="1">
        <v>0.0</v>
      </c>
    </row>
    <row r="1747" spans="20:51" ht="15.75" hidden="1">
      <c r="T1747" s="1">
        <v>3.3931796E7</v>
      </c>
      <c r="U1747" s="1"/>
      <c r="V1747" s="1"/>
      <c r="W1747" s="1"/>
      <c r="X1747" s="1"/>
      <c r="Y1747" s="1" t="s">
        <v>7661</v>
      </c>
      <c r="Z1747" s="1" t="s">
        <v>1203</v>
      </c>
      <c r="AA1747" s="1" t="s">
        <v>1204</v>
      </c>
      <c r="AB1747" s="1"/>
      <c r="AC1747" s="1"/>
      <c r="AD1747" s="1"/>
      <c r="AE1747" s="1"/>
      <c r="AF1747" s="1" t="s">
        <v>7662</v>
      </c>
      <c r="AG1747" s="2" t="str">
        <f>"082236896X"</f>
        <v>082236896X</v>
      </c>
      <c r="AH1747" s="2" t="str">
        <f>"9780822368960"</f>
        <v>9780822368960</v>
      </c>
      <c r="AI1747" s="1">
        <v>0.0</v>
      </c>
      <c r="AJ1747" s="1">
        <v>4.1</v>
      </c>
      <c r="AK1747" s="1" t="s">
        <v>5239</v>
      </c>
      <c r="AL1747" s="1" t="s">
        <v>28</v>
      </c>
      <c r="AM1747" s="1">
        <v>304.0</v>
      </c>
      <c r="AN1747" s="1">
        <v>2017.0</v>
      </c>
      <c r="AO1747" s="1">
        <v>1939.0</v>
      </c>
      <c r="AQ1747" s="3">
        <v>44250.0</v>
      </c>
      <c r="AR1747" s="1" t="s">
        <v>31</v>
      </c>
      <c r="AS1747" s="1" t="s">
        <v>7663</v>
      </c>
      <c r="AT1747" s="1" t="s">
        <v>31</v>
      </c>
      <c r="AX1747" s="1">
        <v>0.0</v>
      </c>
      <c r="AY1747" s="1">
        <v>0.0</v>
      </c>
    </row>
    <row r="1748" spans="20:51" ht="15.75" hidden="1">
      <c r="T1748" s="1">
        <v>1.6128896E7</v>
      </c>
      <c r="U1748" s="1"/>
      <c r="V1748" s="1"/>
      <c r="W1748" s="1"/>
      <c r="X1748" s="1"/>
      <c r="Y1748" s="1" t="s">
        <v>7664</v>
      </c>
      <c r="Z1748" s="1" t="s">
        <v>1203</v>
      </c>
      <c r="AA1748" s="1" t="s">
        <v>1204</v>
      </c>
      <c r="AB1748" s="1"/>
      <c r="AC1748" s="1"/>
      <c r="AD1748" s="1"/>
      <c r="AE1748" s="1"/>
      <c r="AF1748" s="1" t="s">
        <v>7665</v>
      </c>
      <c r="AG1748" s="2" t="str">
        <f>"0810128969"</f>
        <v>0810128969</v>
      </c>
      <c r="AH1748" s="2" t="str">
        <f>"9780810128965"</f>
        <v>9780810128965</v>
      </c>
      <c r="AI1748" s="1">
        <v>0.0</v>
      </c>
      <c r="AJ1748" s="1">
        <v>4.75</v>
      </c>
      <c r="AK1748" s="1" t="s">
        <v>1894</v>
      </c>
      <c r="AL1748" s="1" t="s">
        <v>28</v>
      </c>
      <c r="AM1748" s="1">
        <v>112.0</v>
      </c>
      <c r="AN1748" s="1">
        <v>2013.0</v>
      </c>
      <c r="AO1748" s="1">
        <v>2013.0</v>
      </c>
      <c r="AQ1748" s="3">
        <v>44250.0</v>
      </c>
      <c r="AR1748" s="1" t="s">
        <v>31</v>
      </c>
      <c r="AS1748" s="1" t="s">
        <v>7666</v>
      </c>
      <c r="AT1748" s="1" t="s">
        <v>31</v>
      </c>
      <c r="AX1748" s="1">
        <v>0.0</v>
      </c>
      <c r="AY1748" s="1">
        <v>0.0</v>
      </c>
    </row>
    <row r="1749" spans="20:51" ht="15.75" hidden="1">
      <c r="T1749" s="1">
        <v>5.5347007E7</v>
      </c>
      <c r="U1749" s="1"/>
      <c r="V1749" s="1"/>
      <c r="W1749" s="1"/>
      <c r="X1749" s="1"/>
      <c r="Y1749" s="1" t="s">
        <v>7667</v>
      </c>
      <c r="Z1749" s="1" t="s">
        <v>7668</v>
      </c>
      <c r="AA1749" s="1" t="s">
        <v>7669</v>
      </c>
      <c r="AB1749" s="1"/>
      <c r="AC1749" s="1"/>
      <c r="AD1749" s="1"/>
      <c r="AE1749" s="1"/>
      <c r="AG1749" s="2" t="str">
        <f>"164622017X"</f>
        <v>164622017X</v>
      </c>
      <c r="AH1749" s="2" t="str">
        <f>"9781646220175"</f>
        <v>9781646220175</v>
      </c>
      <c r="AI1749" s="1">
        <v>0.0</v>
      </c>
      <c r="AJ1749" s="1">
        <v>3.53</v>
      </c>
      <c r="AK1749" s="1" t="s">
        <v>703</v>
      </c>
      <c r="AL1749" s="1" t="s">
        <v>28</v>
      </c>
      <c r="AM1749" s="1">
        <v>272.0</v>
      </c>
      <c r="AN1749" s="1">
        <v>2021.0</v>
      </c>
      <c r="AO1749" s="1">
        <v>2021.0</v>
      </c>
      <c r="AQ1749" s="3">
        <v>44245.0</v>
      </c>
      <c r="AR1749" s="1" t="s">
        <v>31</v>
      </c>
      <c r="AS1749" s="1" t="s">
        <v>7670</v>
      </c>
      <c r="AT1749" s="1" t="s">
        <v>31</v>
      </c>
      <c r="AX1749" s="1">
        <v>0.0</v>
      </c>
      <c r="AY1749" s="1">
        <v>0.0</v>
      </c>
    </row>
    <row r="1750" spans="20:51" ht="15.75" hidden="1">
      <c r="T1750" s="1">
        <v>258637.0</v>
      </c>
      <c r="U1750" s="1"/>
      <c r="V1750" s="1"/>
      <c r="W1750" s="1"/>
      <c r="X1750" s="1"/>
      <c r="Y1750" s="1" t="s">
        <v>7671</v>
      </c>
      <c r="Z1750" s="1" t="s">
        <v>7672</v>
      </c>
      <c r="AA1750" s="1" t="s">
        <v>7673</v>
      </c>
      <c r="AB1750" s="1"/>
      <c r="AC1750" s="1"/>
      <c r="AD1750" s="1"/>
      <c r="AE1750" s="1"/>
      <c r="AF1750" s="1" t="s">
        <v>7674</v>
      </c>
      <c r="AG1750" s="2" t="str">
        <f>"1564783111"</f>
        <v>1564783111</v>
      </c>
      <c r="AH1750" s="2" t="str">
        <f>"9781564783110"</f>
        <v>9781564783110</v>
      </c>
      <c r="AI1750" s="1">
        <v>0.0</v>
      </c>
      <c r="AJ1750" s="1">
        <v>4.01</v>
      </c>
      <c r="AK1750" s="1" t="s">
        <v>27</v>
      </c>
      <c r="AL1750" s="1" t="s">
        <v>28</v>
      </c>
      <c r="AM1750" s="1">
        <v>164.0</v>
      </c>
      <c r="AN1750" s="1">
        <v>2001.0</v>
      </c>
      <c r="AO1750" s="1">
        <v>1922.0</v>
      </c>
      <c r="AQ1750" s="3">
        <v>44245.0</v>
      </c>
      <c r="AR1750" s="1" t="s">
        <v>31</v>
      </c>
      <c r="AS1750" s="1" t="s">
        <v>7675</v>
      </c>
      <c r="AT1750" s="1" t="s">
        <v>31</v>
      </c>
      <c r="AX1750" s="1">
        <v>0.0</v>
      </c>
      <c r="AY1750" s="1">
        <v>0.0</v>
      </c>
    </row>
    <row r="1751" spans="20:51" ht="15.75" hidden="1">
      <c r="T1751" s="1">
        <v>3.3253215E7</v>
      </c>
      <c r="U1751" s="1"/>
      <c r="V1751" s="1"/>
      <c r="W1751" s="1"/>
      <c r="X1751" s="1"/>
      <c r="Y1751" s="1" t="s">
        <v>7676</v>
      </c>
      <c r="Z1751" s="1" t="s">
        <v>7677</v>
      </c>
      <c r="AA1751" s="1" t="s">
        <v>7678</v>
      </c>
      <c r="AB1751" s="1"/>
      <c r="AC1751" s="1"/>
      <c r="AD1751" s="1"/>
      <c r="AE1751" s="1"/>
      <c r="AG1751" s="2" t="str">
        <f t="shared" si="142" ref="AG1751:AH1751">""</f>
        <v/>
      </c>
      <c r="AH1751" s="2" t="str">
        <f t="shared" si="142"/>
        <v/>
      </c>
      <c r="AI1751" s="1">
        <v>0.0</v>
      </c>
      <c r="AJ1751" s="1">
        <v>4.5</v>
      </c>
      <c r="AK1751" s="1" t="s">
        <v>7679</v>
      </c>
      <c r="AL1751" s="1" t="s">
        <v>41</v>
      </c>
      <c r="AM1751" s="1">
        <v>582.0</v>
      </c>
      <c r="AN1751" s="1">
        <v>2017.0</v>
      </c>
      <c r="AO1751" s="1">
        <v>2017.0</v>
      </c>
      <c r="AQ1751" s="3">
        <v>44245.0</v>
      </c>
      <c r="AR1751" s="1" t="s">
        <v>31</v>
      </c>
      <c r="AS1751" s="1" t="s">
        <v>7680</v>
      </c>
      <c r="AT1751" s="1" t="s">
        <v>31</v>
      </c>
      <c r="AX1751" s="1">
        <v>0.0</v>
      </c>
      <c r="AY1751" s="1">
        <v>0.0</v>
      </c>
    </row>
    <row r="1752" spans="20:51" ht="15.75" hidden="1">
      <c r="T1752" s="1">
        <v>243705.0</v>
      </c>
      <c r="U1752" s="1"/>
      <c r="V1752" s="1"/>
      <c r="W1752" s="1"/>
      <c r="X1752" s="1"/>
      <c r="Y1752" s="1" t="s">
        <v>7681</v>
      </c>
      <c r="Z1752" s="1" t="s">
        <v>1715</v>
      </c>
      <c r="AA1752" s="1" t="s">
        <v>1716</v>
      </c>
      <c r="AB1752" s="1"/>
      <c r="AC1752" s="1"/>
      <c r="AD1752" s="1"/>
      <c r="AE1752" s="1"/>
      <c r="AG1752" s="2" t="str">
        <f t="shared" si="143" ref="AG1752:AH1752">""</f>
        <v/>
      </c>
      <c r="AH1752" s="2" t="str">
        <f t="shared" si="143"/>
        <v/>
      </c>
      <c r="AI1752" s="1">
        <v>0.0</v>
      </c>
      <c r="AJ1752" s="1">
        <v>3.98</v>
      </c>
      <c r="AK1752" s="1" t="s">
        <v>83</v>
      </c>
      <c r="AL1752" s="1" t="s">
        <v>28</v>
      </c>
      <c r="AM1752" s="1">
        <v>283.0</v>
      </c>
      <c r="AN1752" s="1">
        <v>1998.0</v>
      </c>
      <c r="AO1752" s="1">
        <v>1963.0</v>
      </c>
      <c r="AQ1752" s="3">
        <v>44242.0</v>
      </c>
      <c r="AR1752" s="1" t="s">
        <v>31</v>
      </c>
      <c r="AS1752" s="1" t="s">
        <v>7682</v>
      </c>
      <c r="AT1752" s="1" t="s">
        <v>31</v>
      </c>
      <c r="AX1752" s="1">
        <v>0.0</v>
      </c>
      <c r="AY1752" s="1">
        <v>0.0</v>
      </c>
    </row>
    <row r="1753" spans="20:51" ht="15.75" hidden="1">
      <c r="T1753" s="1">
        <v>7502821.0</v>
      </c>
      <c r="U1753" s="1"/>
      <c r="V1753" s="1"/>
      <c r="W1753" s="1"/>
      <c r="X1753" s="1"/>
      <c r="Y1753" s="1" t="s">
        <v>979</v>
      </c>
      <c r="Z1753" s="1" t="s">
        <v>7683</v>
      </c>
      <c r="AA1753" s="1" t="s">
        <v>7684</v>
      </c>
      <c r="AB1753" s="1"/>
      <c r="AC1753" s="1"/>
      <c r="AD1753" s="1"/>
      <c r="AE1753" s="1"/>
      <c r="AG1753" s="2" t="str">
        <f>"0641509022"</f>
        <v>0641509022</v>
      </c>
      <c r="AH1753" s="2" t="str">
        <f>"9780641509025"</f>
        <v>9780641509025</v>
      </c>
      <c r="AI1753" s="1">
        <v>0.0</v>
      </c>
      <c r="AJ1753" s="1">
        <v>3.0</v>
      </c>
      <c r="AL1753" s="1" t="s">
        <v>41</v>
      </c>
      <c r="AM1753" s="1">
        <v>246.0</v>
      </c>
      <c r="AN1753" s="1">
        <v>2003.0</v>
      </c>
      <c r="AO1753" s="1">
        <v>2003.0</v>
      </c>
      <c r="AQ1753" s="3">
        <v>44242.0</v>
      </c>
      <c r="AR1753" s="1" t="s">
        <v>31</v>
      </c>
      <c r="AS1753" s="1" t="s">
        <v>7685</v>
      </c>
      <c r="AT1753" s="1" t="s">
        <v>31</v>
      </c>
      <c r="AX1753" s="1">
        <v>0.0</v>
      </c>
      <c r="AY1753" s="1">
        <v>0.0</v>
      </c>
    </row>
    <row r="1754" spans="20:51" ht="15.75" hidden="1">
      <c r="T1754" s="1">
        <v>1.8465875E7</v>
      </c>
      <c r="U1754" s="1"/>
      <c r="V1754" s="1"/>
      <c r="W1754" s="1"/>
      <c r="X1754" s="1"/>
      <c r="Y1754" s="1" t="s">
        <v>7686</v>
      </c>
      <c r="Z1754" s="1" t="s">
        <v>7687</v>
      </c>
      <c r="AA1754" s="1" t="s">
        <v>7688</v>
      </c>
      <c r="AB1754" s="1"/>
      <c r="AC1754" s="1"/>
      <c r="AD1754" s="1"/>
      <c r="AE1754" s="1"/>
      <c r="AG1754" s="2" t="str">
        <f>"077043617X"</f>
        <v>077043617X</v>
      </c>
      <c r="AH1754" s="2" t="str">
        <f>"9780770436179"</f>
        <v>9780770436179</v>
      </c>
      <c r="AI1754" s="1">
        <v>0.0</v>
      </c>
      <c r="AJ1754" s="1">
        <v>4.16</v>
      </c>
      <c r="AK1754" s="1" t="s">
        <v>3169</v>
      </c>
      <c r="AL1754" s="1" t="s">
        <v>41</v>
      </c>
      <c r="AM1754" s="1">
        <v>406.0</v>
      </c>
      <c r="AN1754" s="1">
        <v>2014.0</v>
      </c>
      <c r="AO1754" s="1">
        <v>2014.0</v>
      </c>
      <c r="AQ1754" s="3">
        <v>44239.0</v>
      </c>
      <c r="AR1754" s="1" t="s">
        <v>31</v>
      </c>
      <c r="AS1754" s="1" t="s">
        <v>7689</v>
      </c>
      <c r="AT1754" s="1" t="s">
        <v>31</v>
      </c>
      <c r="AX1754" s="1">
        <v>0.0</v>
      </c>
      <c r="AY1754" s="1">
        <v>0.0</v>
      </c>
    </row>
    <row r="1755" spans="20:51" ht="15.75" hidden="1">
      <c r="T1755" s="1">
        <v>4.3715643E7</v>
      </c>
      <c r="U1755" s="1"/>
      <c r="V1755" s="1"/>
      <c r="W1755" s="1"/>
      <c r="X1755" s="1"/>
      <c r="Y1755" s="1" t="s">
        <v>7690</v>
      </c>
      <c r="Z1755" s="1" t="s">
        <v>7691</v>
      </c>
      <c r="AA1755" s="1" t="s">
        <v>7692</v>
      </c>
      <c r="AB1755" s="1"/>
      <c r="AC1755" s="1"/>
      <c r="AD1755" s="1"/>
      <c r="AE1755" s="1"/>
      <c r="AF1755" s="1" t="s">
        <v>7693</v>
      </c>
      <c r="AG1755" s="2" t="str">
        <f t="shared" si="144" ref="AG1755:AH1755">""</f>
        <v/>
      </c>
      <c r="AH1755" s="2" t="str">
        <f t="shared" si="144"/>
        <v/>
      </c>
      <c r="AI1755" s="1">
        <v>0.0</v>
      </c>
      <c r="AJ1755" s="1">
        <v>3.72</v>
      </c>
      <c r="AK1755" s="1" t="s">
        <v>671</v>
      </c>
      <c r="AL1755" s="1" t="s">
        <v>59</v>
      </c>
      <c r="AM1755" s="1">
        <v>223.0</v>
      </c>
      <c r="AN1755" s="1">
        <v>2021.0</v>
      </c>
      <c r="AQ1755" s="3">
        <v>44236.0</v>
      </c>
      <c r="AR1755" s="1" t="s">
        <v>31</v>
      </c>
      <c r="AS1755" s="1" t="s">
        <v>7694</v>
      </c>
      <c r="AT1755" s="1" t="s">
        <v>31</v>
      </c>
      <c r="AX1755" s="1">
        <v>0.0</v>
      </c>
      <c r="AY1755" s="1">
        <v>0.0</v>
      </c>
    </row>
    <row r="1756" spans="20:51" ht="15.75" hidden="1">
      <c r="T1756" s="1">
        <v>116760.0</v>
      </c>
      <c r="U1756" s="1"/>
      <c r="V1756" s="1"/>
      <c r="W1756" s="1"/>
      <c r="X1756" s="1"/>
      <c r="Y1756" s="1" t="s">
        <v>7695</v>
      </c>
      <c r="Z1756" s="1" t="s">
        <v>7696</v>
      </c>
      <c r="AA1756" s="1" t="s">
        <v>7697</v>
      </c>
      <c r="AB1756" s="1"/>
      <c r="AC1756" s="1"/>
      <c r="AD1756" s="1"/>
      <c r="AE1756" s="1"/>
      <c r="AG1756" s="2" t="str">
        <f>"1582432554"</f>
        <v>1582432554</v>
      </c>
      <c r="AH1756" s="2" t="str">
        <f>"9781582432557"</f>
        <v>9781582432557</v>
      </c>
      <c r="AI1756" s="1">
        <v>0.0</v>
      </c>
      <c r="AJ1756" s="1">
        <v>3.78</v>
      </c>
      <c r="AK1756" s="1" t="s">
        <v>6479</v>
      </c>
      <c r="AL1756" s="1" t="s">
        <v>28</v>
      </c>
      <c r="AM1756" s="1">
        <v>208.0</v>
      </c>
      <c r="AN1756" s="1">
        <v>2002.0</v>
      </c>
      <c r="AO1756" s="1">
        <v>2001.0</v>
      </c>
      <c r="AQ1756" s="3">
        <v>44235.0</v>
      </c>
      <c r="AR1756" s="1" t="s">
        <v>31</v>
      </c>
      <c r="AS1756" s="1" t="s">
        <v>7698</v>
      </c>
      <c r="AT1756" s="1" t="s">
        <v>31</v>
      </c>
      <c r="AX1756" s="1">
        <v>0.0</v>
      </c>
      <c r="AY1756" s="1">
        <v>0.0</v>
      </c>
    </row>
    <row r="1757" spans="20:51" ht="15.75" hidden="1">
      <c r="T1757" s="1">
        <v>2.4934647E7</v>
      </c>
      <c r="U1757" s="1"/>
      <c r="V1757" s="1"/>
      <c r="W1757" s="1"/>
      <c r="X1757" s="1"/>
      <c r="Y1757" s="1" t="s">
        <v>7699</v>
      </c>
      <c r="Z1757" s="1" t="s">
        <v>7700</v>
      </c>
      <c r="AA1757" s="1" t="s">
        <v>7701</v>
      </c>
      <c r="AB1757" s="1"/>
      <c r="AC1757" s="1"/>
      <c r="AD1757" s="1"/>
      <c r="AE1757" s="1"/>
      <c r="AG1757" s="2" t="str">
        <f>"8423349322"</f>
        <v>8423349322</v>
      </c>
      <c r="AH1757" s="2" t="str">
        <f>"9788423349326"</f>
        <v>9788423349326</v>
      </c>
      <c r="AI1757" s="1">
        <v>0.0</v>
      </c>
      <c r="AJ1757" s="1">
        <v>3.39</v>
      </c>
      <c r="AK1757" s="1" t="s">
        <v>7702</v>
      </c>
      <c r="AL1757" s="1" t="s">
        <v>28</v>
      </c>
      <c r="AM1757" s="1">
        <v>268.0</v>
      </c>
      <c r="AN1757" s="1">
        <v>2015.0</v>
      </c>
      <c r="AO1757" s="1">
        <v>2015.0</v>
      </c>
      <c r="AQ1757" s="3">
        <v>44235.0</v>
      </c>
      <c r="AR1757" s="1" t="s">
        <v>31</v>
      </c>
      <c r="AS1757" s="1" t="s">
        <v>7703</v>
      </c>
      <c r="AT1757" s="1" t="s">
        <v>31</v>
      </c>
      <c r="AX1757" s="1">
        <v>0.0</v>
      </c>
      <c r="AY1757" s="1">
        <v>0.0</v>
      </c>
    </row>
    <row r="1758" spans="20:51" ht="15.75" hidden="1">
      <c r="T1758" s="1">
        <v>179744.0</v>
      </c>
      <c r="U1758" s="1"/>
      <c r="V1758" s="1"/>
      <c r="W1758" s="1"/>
      <c r="X1758" s="1"/>
      <c r="Y1758" s="1" t="s">
        <v>7704</v>
      </c>
      <c r="Z1758" s="1" t="s">
        <v>2952</v>
      </c>
      <c r="AA1758" s="1" t="s">
        <v>7705</v>
      </c>
      <c r="AB1758" s="1"/>
      <c r="AC1758" s="1"/>
      <c r="AD1758" s="1"/>
      <c r="AE1758" s="1"/>
      <c r="AG1758" s="2" t="str">
        <f>"0192861980"</f>
        <v>0192861980</v>
      </c>
      <c r="AH1758" s="2" t="str">
        <f>"9780192861986"</f>
        <v>9780192861986</v>
      </c>
      <c r="AI1758" s="1">
        <v>0.0</v>
      </c>
      <c r="AJ1758" s="1">
        <v>3.9</v>
      </c>
      <c r="AK1758" s="1" t="s">
        <v>214</v>
      </c>
      <c r="AL1758" s="1" t="s">
        <v>28</v>
      </c>
      <c r="AM1758" s="1">
        <v>602.0</v>
      </c>
      <c r="AN1758" s="1">
        <v>1999.0</v>
      </c>
      <c r="AO1758" s="1">
        <v>1989.0</v>
      </c>
      <c r="AQ1758" s="3">
        <v>44235.0</v>
      </c>
      <c r="AR1758" s="1" t="s">
        <v>31</v>
      </c>
      <c r="AS1758" s="1" t="s">
        <v>7706</v>
      </c>
      <c r="AT1758" s="1" t="s">
        <v>31</v>
      </c>
      <c r="AX1758" s="1">
        <v>0.0</v>
      </c>
      <c r="AY1758" s="1">
        <v>0.0</v>
      </c>
    </row>
    <row r="1759" spans="20:51" ht="15.75" hidden="1">
      <c r="T1759" s="1">
        <v>2.8818688E7</v>
      </c>
      <c r="U1759" s="1"/>
      <c r="V1759" s="1"/>
      <c r="W1759" s="1"/>
      <c r="X1759" s="1"/>
      <c r="Y1759" s="1" t="s">
        <v>7707</v>
      </c>
      <c r="Z1759" s="1" t="s">
        <v>7708</v>
      </c>
      <c r="AA1759" s="1" t="s">
        <v>7709</v>
      </c>
      <c r="AB1759" s="1"/>
      <c r="AC1759" s="1"/>
      <c r="AD1759" s="1"/>
      <c r="AE1759" s="1"/>
      <c r="AG1759" s="2" t="str">
        <f>"1556594992"</f>
        <v>1556594992</v>
      </c>
      <c r="AH1759" s="2" t="str">
        <f>"9781556594991"</f>
        <v>9781556594991</v>
      </c>
      <c r="AI1759" s="1">
        <v>0.0</v>
      </c>
      <c r="AJ1759" s="1">
        <v>4.28</v>
      </c>
      <c r="AK1759" s="1" t="s">
        <v>7710</v>
      </c>
      <c r="AL1759" s="1" t="s">
        <v>41</v>
      </c>
      <c r="AM1759" s="1">
        <v>96.0</v>
      </c>
      <c r="AN1759" s="1">
        <v>2016.0</v>
      </c>
      <c r="AO1759" s="1">
        <v>2016.0</v>
      </c>
      <c r="AQ1759" s="3">
        <v>44228.0</v>
      </c>
      <c r="AR1759" s="1" t="s">
        <v>31</v>
      </c>
      <c r="AS1759" s="1" t="s">
        <v>7711</v>
      </c>
      <c r="AT1759" s="1" t="s">
        <v>31</v>
      </c>
      <c r="AX1759" s="1">
        <v>0.0</v>
      </c>
      <c r="AY1759" s="1">
        <v>0.0</v>
      </c>
    </row>
    <row r="1760" spans="20:51" ht="15.75" hidden="1">
      <c r="T1760" s="1">
        <v>5.4304256E7</v>
      </c>
      <c r="U1760" s="1"/>
      <c r="V1760" s="1"/>
      <c r="W1760" s="1"/>
      <c r="X1760" s="1"/>
      <c r="Y1760" s="1" t="s">
        <v>7712</v>
      </c>
      <c r="Z1760" s="1" t="s">
        <v>7713</v>
      </c>
      <c r="AA1760" s="1" t="s">
        <v>7714</v>
      </c>
      <c r="AB1760" s="1"/>
      <c r="AC1760" s="1"/>
      <c r="AD1760" s="1"/>
      <c r="AE1760" s="1"/>
      <c r="AF1760" s="1" t="s">
        <v>7715</v>
      </c>
      <c r="AG1760" s="2" t="str">
        <f>"198211021X"</f>
        <v>198211021X</v>
      </c>
      <c r="AH1760" s="2" t="str">
        <f>"9781982110215"</f>
        <v>9781982110215</v>
      </c>
      <c r="AI1760" s="1">
        <v>0.0</v>
      </c>
      <c r="AJ1760" s="1">
        <v>3.13</v>
      </c>
      <c r="AK1760" s="1" t="s">
        <v>345</v>
      </c>
      <c r="AL1760" s="1" t="s">
        <v>28</v>
      </c>
      <c r="AM1760" s="1">
        <v>288.0</v>
      </c>
      <c r="AN1760" s="1">
        <v>2021.0</v>
      </c>
      <c r="AO1760" s="1">
        <v>2021.0</v>
      </c>
      <c r="AQ1760" s="3">
        <v>44216.0</v>
      </c>
      <c r="AR1760" s="1" t="s">
        <v>31</v>
      </c>
      <c r="AS1760" s="1" t="s">
        <v>7716</v>
      </c>
      <c r="AT1760" s="1" t="s">
        <v>31</v>
      </c>
      <c r="AX1760" s="1">
        <v>0.0</v>
      </c>
      <c r="AY1760" s="1">
        <v>0.0</v>
      </c>
    </row>
    <row r="1761" spans="20:51" ht="15.75" hidden="1">
      <c r="T1761" s="1">
        <v>5.2299568E7</v>
      </c>
      <c r="U1761" s="1"/>
      <c r="V1761" s="1"/>
      <c r="W1761" s="1"/>
      <c r="X1761" s="1"/>
      <c r="Y1761" s="1" t="s">
        <v>7717</v>
      </c>
      <c r="Z1761" s="1" t="s">
        <v>7718</v>
      </c>
      <c r="AA1761" s="1" t="s">
        <v>7719</v>
      </c>
      <c r="AB1761" s="1"/>
      <c r="AC1761" s="1"/>
      <c r="AD1761" s="1"/>
      <c r="AE1761" s="1"/>
      <c r="AG1761" s="2" t="str">
        <f>"1612198627"</f>
        <v>1612198627</v>
      </c>
      <c r="AH1761" s="2" t="str">
        <f>""</f>
        <v/>
      </c>
      <c r="AI1761" s="1">
        <v>0.0</v>
      </c>
      <c r="AJ1761" s="1">
        <v>4.17</v>
      </c>
      <c r="AK1761" s="1" t="s">
        <v>1708</v>
      </c>
      <c r="AL1761" s="1" t="s">
        <v>41</v>
      </c>
      <c r="AN1761" s="1">
        <v>2021.0</v>
      </c>
      <c r="AO1761" s="1">
        <v>2021.0</v>
      </c>
      <c r="AQ1761" s="3">
        <v>44216.0</v>
      </c>
      <c r="AR1761" s="1" t="s">
        <v>31</v>
      </c>
      <c r="AS1761" s="1" t="s">
        <v>7720</v>
      </c>
      <c r="AT1761" s="1" t="s">
        <v>31</v>
      </c>
      <c r="AX1761" s="1">
        <v>0.0</v>
      </c>
      <c r="AY1761" s="1">
        <v>0.0</v>
      </c>
    </row>
    <row r="1762" spans="20:51" ht="15.75" hidden="1">
      <c r="T1762" s="1">
        <v>5.4777446E7</v>
      </c>
      <c r="U1762" s="1"/>
      <c r="V1762" s="1"/>
      <c r="W1762" s="1"/>
      <c r="X1762" s="1"/>
      <c r="Y1762" s="1" t="s">
        <v>7721</v>
      </c>
      <c r="Z1762" s="1" t="s">
        <v>7722</v>
      </c>
      <c r="AA1762" s="1" t="s">
        <v>7723</v>
      </c>
      <c r="AB1762" s="1"/>
      <c r="AC1762" s="1"/>
      <c r="AD1762" s="1"/>
      <c r="AE1762" s="1"/>
      <c r="AG1762" s="2" t="str">
        <f>""</f>
        <v/>
      </c>
      <c r="AH1762" s="2" t="str">
        <f>"9781646220267"</f>
        <v>9781646220267</v>
      </c>
      <c r="AI1762" s="1">
        <v>0.0</v>
      </c>
      <c r="AJ1762" s="1">
        <v>3.84</v>
      </c>
      <c r="AK1762" s="1" t="s">
        <v>703</v>
      </c>
      <c r="AL1762" s="1" t="s">
        <v>41</v>
      </c>
      <c r="AM1762" s="1">
        <v>288.0</v>
      </c>
      <c r="AN1762" s="1">
        <v>2021.0</v>
      </c>
      <c r="AO1762" s="1">
        <v>2021.0</v>
      </c>
      <c r="AQ1762" s="3">
        <v>44216.0</v>
      </c>
      <c r="AR1762" s="1" t="s">
        <v>31</v>
      </c>
      <c r="AS1762" s="1" t="s">
        <v>7724</v>
      </c>
      <c r="AT1762" s="1" t="s">
        <v>31</v>
      </c>
      <c r="AX1762" s="1">
        <v>0.0</v>
      </c>
      <c r="AY1762" s="1">
        <v>0.0</v>
      </c>
    </row>
    <row r="1763" spans="20:51" ht="15.75" hidden="1">
      <c r="T1763" s="1">
        <v>5.30412E7</v>
      </c>
      <c r="U1763" s="1"/>
      <c r="V1763" s="1"/>
      <c r="W1763" s="1"/>
      <c r="X1763" s="1"/>
      <c r="Y1763" s="1" t="s">
        <v>7725</v>
      </c>
      <c r="Z1763" s="1" t="s">
        <v>7726</v>
      </c>
      <c r="AA1763" s="1" t="s">
        <v>7727</v>
      </c>
      <c r="AB1763" s="1"/>
      <c r="AC1763" s="1"/>
      <c r="AD1763" s="1"/>
      <c r="AE1763" s="1"/>
      <c r="AG1763" s="2" t="str">
        <f>"1603589023"</f>
        <v>1603589023</v>
      </c>
      <c r="AH1763" s="2" t="str">
        <f>"9781603589024"</f>
        <v>9781603589024</v>
      </c>
      <c r="AI1763" s="1">
        <v>0.0</v>
      </c>
      <c r="AJ1763" s="1">
        <v>4.17</v>
      </c>
      <c r="AK1763" s="1" t="s">
        <v>7728</v>
      </c>
      <c r="AL1763" s="1" t="s">
        <v>41</v>
      </c>
      <c r="AM1763" s="1">
        <v>288.0</v>
      </c>
      <c r="AN1763" s="1">
        <v>2020.0</v>
      </c>
      <c r="AO1763" s="1">
        <v>2020.0</v>
      </c>
      <c r="AQ1763" s="3">
        <v>44214.0</v>
      </c>
      <c r="AR1763" s="1" t="s">
        <v>31</v>
      </c>
      <c r="AS1763" s="1" t="s">
        <v>7729</v>
      </c>
      <c r="AT1763" s="1" t="s">
        <v>31</v>
      </c>
      <c r="AX1763" s="1">
        <v>0.0</v>
      </c>
      <c r="AY1763" s="1">
        <v>0.0</v>
      </c>
    </row>
    <row r="1764" spans="20:51" ht="15.75" hidden="1">
      <c r="T1764" s="1">
        <v>239690.0</v>
      </c>
      <c r="U1764" s="1"/>
      <c r="V1764" s="1"/>
      <c r="W1764" s="1"/>
      <c r="X1764" s="1"/>
      <c r="Y1764" s="1" t="s">
        <v>7730</v>
      </c>
      <c r="Z1764" s="1" t="s">
        <v>4483</v>
      </c>
      <c r="AA1764" s="1" t="s">
        <v>4484</v>
      </c>
      <c r="AB1764" s="1"/>
      <c r="AC1764" s="1"/>
      <c r="AD1764" s="1"/>
      <c r="AE1764" s="1"/>
      <c r="AG1764" s="2" t="str">
        <f>"0822314215"</f>
        <v>0822314215</v>
      </c>
      <c r="AH1764" s="2" t="str">
        <f>"9780822314219"</f>
        <v>9780822314219</v>
      </c>
      <c r="AI1764" s="1">
        <v>0.0</v>
      </c>
      <c r="AJ1764" s="1">
        <v>4.26</v>
      </c>
      <c r="AK1764" s="1" t="s">
        <v>896</v>
      </c>
      <c r="AL1764" s="1" t="s">
        <v>28</v>
      </c>
      <c r="AM1764" s="1">
        <v>304.0</v>
      </c>
      <c r="AN1764" s="1">
        <v>1993.0</v>
      </c>
      <c r="AO1764" s="1">
        <v>1993.0</v>
      </c>
      <c r="AQ1764" s="3">
        <v>44214.0</v>
      </c>
      <c r="AR1764" s="1" t="s">
        <v>31</v>
      </c>
      <c r="AS1764" s="1" t="s">
        <v>7731</v>
      </c>
      <c r="AT1764" s="1" t="s">
        <v>31</v>
      </c>
      <c r="AX1764" s="1">
        <v>0.0</v>
      </c>
      <c r="AY1764" s="1">
        <v>0.0</v>
      </c>
    </row>
    <row r="1765" spans="20:51" ht="15.75" hidden="1">
      <c r="T1765" s="1">
        <v>239930.0</v>
      </c>
      <c r="U1765" s="1"/>
      <c r="V1765" s="1"/>
      <c r="W1765" s="1"/>
      <c r="X1765" s="1"/>
      <c r="Y1765" s="1" t="s">
        <v>7732</v>
      </c>
      <c r="Z1765" s="1" t="s">
        <v>7733</v>
      </c>
      <c r="AA1765" s="1" t="s">
        <v>7734</v>
      </c>
      <c r="AB1765" s="1"/>
      <c r="AC1765" s="1"/>
      <c r="AD1765" s="1"/>
      <c r="AE1765" s="1"/>
      <c r="AG1765" s="2" t="str">
        <f>"0814718752"</f>
        <v>0814718752</v>
      </c>
      <c r="AH1765" s="2" t="str">
        <f>"9780814718759"</f>
        <v>9780814718759</v>
      </c>
      <c r="AI1765" s="1">
        <v>0.0</v>
      </c>
      <c r="AJ1765" s="1">
        <v>4.14</v>
      </c>
      <c r="AK1765" s="1" t="s">
        <v>777</v>
      </c>
      <c r="AL1765" s="1" t="s">
        <v>28</v>
      </c>
      <c r="AM1765" s="1">
        <v>678.0</v>
      </c>
      <c r="AN1765" s="1">
        <v>1997.0</v>
      </c>
      <c r="AO1765" s="1">
        <v>1997.0</v>
      </c>
      <c r="AQ1765" s="3">
        <v>44214.0</v>
      </c>
      <c r="AR1765" s="1" t="s">
        <v>31</v>
      </c>
      <c r="AS1765" s="1" t="s">
        <v>7735</v>
      </c>
      <c r="AT1765" s="1" t="s">
        <v>31</v>
      </c>
      <c r="AX1765" s="1">
        <v>0.0</v>
      </c>
      <c r="AY1765" s="1">
        <v>0.0</v>
      </c>
    </row>
    <row r="1766" spans="20:51" ht="15.75" hidden="1">
      <c r="T1766" s="1">
        <v>3.3301083E7</v>
      </c>
      <c r="U1766" s="1"/>
      <c r="V1766" s="1"/>
      <c r="W1766" s="1"/>
      <c r="X1766" s="1"/>
      <c r="Y1766" s="1" t="s">
        <v>7736</v>
      </c>
      <c r="Z1766" s="1" t="s">
        <v>7737</v>
      </c>
      <c r="AA1766" s="1" t="s">
        <v>7738</v>
      </c>
      <c r="AB1766" s="1"/>
      <c r="AC1766" s="1"/>
      <c r="AD1766" s="1"/>
      <c r="AE1766" s="1"/>
      <c r="AG1766" s="2" t="str">
        <f>"1910695416"</f>
        <v>1910695416</v>
      </c>
      <c r="AH1766" s="2" t="str">
        <f>"9781910695418"</f>
        <v>9781910695418</v>
      </c>
      <c r="AI1766" s="1">
        <v>0.0</v>
      </c>
      <c r="AJ1766" s="1">
        <v>4.14</v>
      </c>
      <c r="AK1766" s="1" t="s">
        <v>138</v>
      </c>
      <c r="AL1766" s="1" t="s">
        <v>28</v>
      </c>
      <c r="AM1766" s="1">
        <v>152.0</v>
      </c>
      <c r="AN1766" s="1">
        <v>2017.0</v>
      </c>
      <c r="AO1766" s="1">
        <v>2017.0</v>
      </c>
      <c r="AQ1766" s="3">
        <v>44213.0</v>
      </c>
      <c r="AR1766" s="1" t="s">
        <v>31</v>
      </c>
      <c r="AS1766" s="1" t="s">
        <v>7739</v>
      </c>
      <c r="AT1766" s="1" t="s">
        <v>31</v>
      </c>
      <c r="AX1766" s="1">
        <v>0.0</v>
      </c>
      <c r="AY1766" s="1">
        <v>0.0</v>
      </c>
    </row>
    <row r="1767" spans="20:51" ht="15.75" hidden="1">
      <c r="T1767" s="1">
        <v>3.4847511E7</v>
      </c>
      <c r="U1767" s="1"/>
      <c r="V1767" s="1"/>
      <c r="W1767" s="1"/>
      <c r="X1767" s="1"/>
      <c r="Y1767" s="1" t="s">
        <v>7740</v>
      </c>
      <c r="Z1767" s="1" t="s">
        <v>4415</v>
      </c>
      <c r="AA1767" s="1" t="s">
        <v>4416</v>
      </c>
      <c r="AB1767" s="1"/>
      <c r="AC1767" s="1"/>
      <c r="AD1767" s="1"/>
      <c r="AE1767" s="1"/>
      <c r="AG1767" s="2" t="str">
        <f>"6073152736"</f>
        <v>6073152736</v>
      </c>
      <c r="AH1767" s="2" t="str">
        <f>"9786073152730"</f>
        <v>9786073152730</v>
      </c>
      <c r="AI1767" s="1">
        <v>0.0</v>
      </c>
      <c r="AJ1767" s="1">
        <v>4.07</v>
      </c>
      <c r="AK1767" s="1" t="s">
        <v>7741</v>
      </c>
      <c r="AL1767" s="1" t="s">
        <v>28</v>
      </c>
      <c r="AM1767" s="1">
        <v>224.0</v>
      </c>
      <c r="AN1767" s="1">
        <v>2017.0</v>
      </c>
      <c r="AO1767" s="1">
        <v>2017.0</v>
      </c>
      <c r="AQ1767" s="3">
        <v>44212.0</v>
      </c>
      <c r="AR1767" s="1" t="s">
        <v>31</v>
      </c>
      <c r="AS1767" s="1" t="s">
        <v>7742</v>
      </c>
      <c r="AT1767" s="1" t="s">
        <v>31</v>
      </c>
      <c r="AX1767" s="1">
        <v>0.0</v>
      </c>
      <c r="AY1767" s="1">
        <v>0.0</v>
      </c>
    </row>
    <row r="1768" spans="20:51" ht="15.75" hidden="1">
      <c r="T1768" s="1">
        <v>6014397.0</v>
      </c>
      <c r="U1768" s="1"/>
      <c r="V1768" s="1"/>
      <c r="W1768" s="1"/>
      <c r="X1768" s="1"/>
      <c r="Y1768" s="1" t="s">
        <v>7743</v>
      </c>
      <c r="Z1768" s="1" t="s">
        <v>7744</v>
      </c>
      <c r="AA1768" s="1" t="s">
        <v>7745</v>
      </c>
      <c r="AB1768" s="1"/>
      <c r="AC1768" s="1"/>
      <c r="AD1768" s="1"/>
      <c r="AE1768" s="1"/>
      <c r="AG1768" s="2" t="str">
        <f>"8483109301"</f>
        <v>8483109301</v>
      </c>
      <c r="AH1768" s="2" t="str">
        <f>"9788483109304"</f>
        <v>9788483109304</v>
      </c>
      <c r="AI1768" s="1">
        <v>0.0</v>
      </c>
      <c r="AJ1768" s="1">
        <v>4.25</v>
      </c>
      <c r="AK1768" s="1" t="s">
        <v>7746</v>
      </c>
      <c r="AL1768" s="1" t="s">
        <v>28</v>
      </c>
      <c r="AM1768" s="1">
        <v>96.0</v>
      </c>
      <c r="AN1768" s="1">
        <v>2004.0</v>
      </c>
      <c r="AO1768" s="1">
        <v>2004.0</v>
      </c>
      <c r="AQ1768" s="3">
        <v>44211.0</v>
      </c>
      <c r="AR1768" s="1" t="s">
        <v>31</v>
      </c>
      <c r="AS1768" s="1" t="s">
        <v>7747</v>
      </c>
      <c r="AT1768" s="1" t="s">
        <v>31</v>
      </c>
      <c r="AX1768" s="1">
        <v>0.0</v>
      </c>
      <c r="AY1768" s="1">
        <v>0.0</v>
      </c>
    </row>
    <row r="1769" spans="20:51" ht="15.75" hidden="1">
      <c r="T1769" s="1">
        <v>1.822383E7</v>
      </c>
      <c r="U1769" s="1"/>
      <c r="V1769" s="1"/>
      <c r="W1769" s="1"/>
      <c r="X1769" s="1"/>
      <c r="Y1769" s="1" t="s">
        <v>7748</v>
      </c>
      <c r="Z1769" s="1" t="s">
        <v>1679</v>
      </c>
      <c r="AA1769" s="1" t="s">
        <v>1680</v>
      </c>
      <c r="AB1769" s="1"/>
      <c r="AC1769" s="1"/>
      <c r="AD1769" s="1"/>
      <c r="AE1769" s="1"/>
      <c r="AG1769" s="2" t="str">
        <f t="shared" si="145" ref="AG1769:AG1771">""</f>
        <v/>
      </c>
      <c r="AH1769" s="2" t="str">
        <f>"9789875669079"</f>
        <v>9789875669079</v>
      </c>
      <c r="AI1769" s="1">
        <v>0.0</v>
      </c>
      <c r="AJ1769" s="1">
        <v>4.11</v>
      </c>
      <c r="AK1769" s="1" t="s">
        <v>7749</v>
      </c>
      <c r="AL1769" s="1" t="s">
        <v>28</v>
      </c>
      <c r="AM1769" s="1">
        <v>240.0</v>
      </c>
      <c r="AN1769" s="1">
        <v>2013.0</v>
      </c>
      <c r="AO1769" s="1">
        <v>2013.0</v>
      </c>
      <c r="AQ1769" s="3">
        <v>44206.0</v>
      </c>
      <c r="AR1769" s="1" t="s">
        <v>31</v>
      </c>
      <c r="AS1769" s="1" t="s">
        <v>7750</v>
      </c>
      <c r="AT1769" s="1" t="s">
        <v>31</v>
      </c>
      <c r="AX1769" s="1">
        <v>0.0</v>
      </c>
      <c r="AY1769" s="1">
        <v>0.0</v>
      </c>
    </row>
    <row r="1770" spans="20:51" ht="15.75" hidden="1">
      <c r="T1770" s="1">
        <v>787971.0</v>
      </c>
      <c r="U1770" s="1"/>
      <c r="V1770" s="1"/>
      <c r="W1770" s="1"/>
      <c r="X1770" s="1"/>
      <c r="Y1770" s="1" t="s">
        <v>7751</v>
      </c>
      <c r="Z1770" s="1" t="s">
        <v>1256</v>
      </c>
      <c r="AA1770" s="1" t="s">
        <v>1257</v>
      </c>
      <c r="AB1770" s="1"/>
      <c r="AC1770" s="1"/>
      <c r="AD1770" s="1"/>
      <c r="AE1770" s="1"/>
      <c r="AG1770" s="2" t="str">
        <f t="shared" si="145"/>
        <v/>
      </c>
      <c r="AH1770" s="2" t="str">
        <f t="shared" si="146" ref="AH1770:AH1771">""</f>
        <v/>
      </c>
      <c r="AI1770" s="1">
        <v>0.0</v>
      </c>
      <c r="AJ1770" s="1">
        <v>4.19</v>
      </c>
      <c r="AK1770" s="1" t="s">
        <v>7752</v>
      </c>
      <c r="AN1770" s="1">
        <v>1998.0</v>
      </c>
      <c r="AO1770" s="1">
        <v>1988.0</v>
      </c>
      <c r="AQ1770" s="3">
        <v>44206.0</v>
      </c>
      <c r="AR1770" s="1" t="s">
        <v>31</v>
      </c>
      <c r="AS1770" s="1" t="s">
        <v>7753</v>
      </c>
      <c r="AT1770" s="1" t="s">
        <v>31</v>
      </c>
      <c r="AX1770" s="1">
        <v>0.0</v>
      </c>
      <c r="AY1770" s="1">
        <v>0.0</v>
      </c>
    </row>
    <row r="1771" spans="20:51" ht="15.75" hidden="1">
      <c r="T1771" s="1">
        <v>3.0069692E7</v>
      </c>
      <c r="U1771" s="1"/>
      <c r="V1771" s="1"/>
      <c r="W1771" s="1"/>
      <c r="X1771" s="1"/>
      <c r="Y1771" s="1" t="s">
        <v>7754</v>
      </c>
      <c r="Z1771" s="1" t="s">
        <v>7755</v>
      </c>
      <c r="AA1771" s="1" t="s">
        <v>7756</v>
      </c>
      <c r="AB1771" s="1"/>
      <c r="AC1771" s="1"/>
      <c r="AD1771" s="1"/>
      <c r="AE1771" s="1"/>
      <c r="AF1771" s="1" t="s">
        <v>7757</v>
      </c>
      <c r="AG1771" s="2" t="str">
        <f t="shared" si="145"/>
        <v/>
      </c>
      <c r="AH1771" s="2" t="str">
        <f t="shared" si="146"/>
        <v/>
      </c>
      <c r="AI1771" s="1">
        <v>0.0</v>
      </c>
      <c r="AJ1771" s="1">
        <v>3.75</v>
      </c>
      <c r="AK1771" s="1" t="s">
        <v>3442</v>
      </c>
      <c r="AL1771" s="1" t="s">
        <v>28</v>
      </c>
      <c r="AM1771" s="1">
        <v>220.0</v>
      </c>
      <c r="AN1771" s="1">
        <v>2016.0</v>
      </c>
      <c r="AQ1771" s="4">
        <v>44122.0</v>
      </c>
      <c r="AR1771" s="1" t="s">
        <v>31</v>
      </c>
      <c r="AS1771" s="1" t="s">
        <v>7758</v>
      </c>
      <c r="AT1771" s="1" t="s">
        <v>31</v>
      </c>
      <c r="AX1771" s="1">
        <v>0.0</v>
      </c>
      <c r="AY1771" s="1">
        <v>0.0</v>
      </c>
    </row>
    <row r="1772" spans="20:51" ht="15.75" hidden="1">
      <c r="T1772" s="1">
        <v>1038873.0</v>
      </c>
      <c r="U1772" s="1"/>
      <c r="V1772" s="1"/>
      <c r="W1772" s="1"/>
      <c r="X1772" s="1"/>
      <c r="Y1772" s="1" t="s">
        <v>7759</v>
      </c>
      <c r="Z1772" s="1" t="s">
        <v>4700</v>
      </c>
      <c r="AA1772" s="1" t="s">
        <v>4701</v>
      </c>
      <c r="AB1772" s="1"/>
      <c r="AC1772" s="1"/>
      <c r="AD1772" s="1"/>
      <c r="AE1772" s="1"/>
      <c r="AG1772" s="2" t="str">
        <f>"0192100246"</f>
        <v>0192100246</v>
      </c>
      <c r="AH1772" s="2" t="str">
        <f>"9780192100245"</f>
        <v>9780192100245</v>
      </c>
      <c r="AI1772" s="1">
        <v>0.0</v>
      </c>
      <c r="AJ1772" s="1">
        <v>3.75</v>
      </c>
      <c r="AK1772" s="1" t="s">
        <v>1186</v>
      </c>
      <c r="AL1772" s="1" t="s">
        <v>41</v>
      </c>
      <c r="AM1772" s="1">
        <v>296.0</v>
      </c>
      <c r="AN1772" s="1">
        <v>1999.0</v>
      </c>
      <c r="AO1772" s="1">
        <v>1999.0</v>
      </c>
      <c r="AQ1772" s="3">
        <v>44206.0</v>
      </c>
      <c r="AR1772" s="1" t="s">
        <v>31</v>
      </c>
      <c r="AS1772" s="1" t="s">
        <v>7760</v>
      </c>
      <c r="AT1772" s="1" t="s">
        <v>31</v>
      </c>
      <c r="AX1772" s="1">
        <v>0.0</v>
      </c>
      <c r="AY1772" s="1">
        <v>0.0</v>
      </c>
    </row>
    <row r="1773" spans="20:51" ht="15.75" hidden="1">
      <c r="T1773" s="1">
        <v>1.8006759E7</v>
      </c>
      <c r="U1773" s="1"/>
      <c r="V1773" s="1"/>
      <c r="W1773" s="1"/>
      <c r="X1773" s="1"/>
      <c r="Y1773" s="1" t="s">
        <v>7761</v>
      </c>
      <c r="Z1773" s="1" t="s">
        <v>7762</v>
      </c>
      <c r="AA1773" s="1" t="s">
        <v>7763</v>
      </c>
      <c r="AB1773" s="1"/>
      <c r="AC1773" s="1"/>
      <c r="AD1773" s="1"/>
      <c r="AE1773" s="1"/>
      <c r="AF1773" s="1" t="s">
        <v>7764</v>
      </c>
      <c r="AG1773" s="2" t="str">
        <f>"0984649786"</f>
        <v>0984649786</v>
      </c>
      <c r="AH1773" s="2" t="str">
        <f>"9780984649785"</f>
        <v>9780984649785</v>
      </c>
      <c r="AI1773" s="1">
        <v>0.0</v>
      </c>
      <c r="AJ1773" s="1">
        <v>0.0</v>
      </c>
      <c r="AK1773" s="1" t="s">
        <v>7765</v>
      </c>
      <c r="AL1773" s="1" t="s">
        <v>28</v>
      </c>
      <c r="AM1773" s="1">
        <v>144.0</v>
      </c>
      <c r="AN1773" s="1">
        <v>2014.0</v>
      </c>
      <c r="AO1773" s="1">
        <v>2014.0</v>
      </c>
      <c r="AQ1773" s="3">
        <v>44205.0</v>
      </c>
      <c r="AR1773" s="1" t="s">
        <v>31</v>
      </c>
      <c r="AS1773" s="1" t="s">
        <v>7766</v>
      </c>
      <c r="AT1773" s="1" t="s">
        <v>31</v>
      </c>
      <c r="AX1773" s="1">
        <v>0.0</v>
      </c>
      <c r="AY1773" s="1">
        <v>0.0</v>
      </c>
    </row>
    <row r="1774" spans="20:51" ht="15.75" hidden="1">
      <c r="T1774" s="1">
        <v>3281454.0</v>
      </c>
      <c r="U1774" s="1"/>
      <c r="V1774" s="1"/>
      <c r="W1774" s="1"/>
      <c r="X1774" s="1"/>
      <c r="Y1774" s="1" t="s">
        <v>7767</v>
      </c>
      <c r="Z1774" s="1" t="s">
        <v>7768</v>
      </c>
      <c r="AA1774" s="1" t="s">
        <v>7769</v>
      </c>
      <c r="AB1774" s="1"/>
      <c r="AC1774" s="1"/>
      <c r="AD1774" s="1"/>
      <c r="AE1774" s="1"/>
      <c r="AF1774" s="1" t="s">
        <v>7770</v>
      </c>
      <c r="AG1774" s="2" t="str">
        <f>"9586553469"</f>
        <v>9586553469</v>
      </c>
      <c r="AH1774" s="2" t="str">
        <f>"9789586553469"</f>
        <v>9789586553469</v>
      </c>
      <c r="AI1774" s="1">
        <v>0.0</v>
      </c>
      <c r="AJ1774" s="1">
        <v>4.2</v>
      </c>
      <c r="AK1774" s="1" t="s">
        <v>7771</v>
      </c>
      <c r="AO1774" s="1">
        <v>1976.0</v>
      </c>
      <c r="AQ1774" s="3">
        <v>43976.0</v>
      </c>
      <c r="AR1774" s="1" t="s">
        <v>31</v>
      </c>
      <c r="AS1774" s="1" t="s">
        <v>7772</v>
      </c>
      <c r="AT1774" s="1" t="s">
        <v>31</v>
      </c>
      <c r="AX1774" s="1">
        <v>0.0</v>
      </c>
      <c r="AY1774" s="1">
        <v>0.0</v>
      </c>
    </row>
    <row r="1775" spans="20:51" ht="15.75" hidden="1">
      <c r="T1775" s="1">
        <v>1.7573647E7</v>
      </c>
      <c r="U1775" s="1"/>
      <c r="V1775" s="1"/>
      <c r="W1775" s="1"/>
      <c r="X1775" s="1"/>
      <c r="Y1775" s="1" t="s">
        <v>7773</v>
      </c>
      <c r="Z1775" s="1" t="s">
        <v>7774</v>
      </c>
      <c r="AA1775" s="1" t="s">
        <v>7775</v>
      </c>
      <c r="AB1775" s="1"/>
      <c r="AC1775" s="1"/>
      <c r="AD1775" s="1"/>
      <c r="AE1775" s="1"/>
      <c r="AG1775" s="2" t="str">
        <f>"0393064425"</f>
        <v>0393064425</v>
      </c>
      <c r="AH1775" s="2" t="str">
        <f>"9780393064421"</f>
        <v>9780393064421</v>
      </c>
      <c r="AI1775" s="1">
        <v>0.0</v>
      </c>
      <c r="AJ1775" s="1">
        <v>3.96</v>
      </c>
      <c r="AK1775" s="1" t="s">
        <v>113</v>
      </c>
      <c r="AL1775" s="1" t="s">
        <v>41</v>
      </c>
      <c r="AM1775" s="1">
        <v>352.0</v>
      </c>
      <c r="AN1775" s="1">
        <v>2013.0</v>
      </c>
      <c r="AO1775" s="1">
        <v>2013.0</v>
      </c>
      <c r="AQ1775" s="3">
        <v>44205.0</v>
      </c>
      <c r="AR1775" s="1" t="s">
        <v>31</v>
      </c>
      <c r="AS1775" s="1" t="s">
        <v>7776</v>
      </c>
      <c r="AT1775" s="1" t="s">
        <v>31</v>
      </c>
      <c r="AX1775" s="1">
        <v>0.0</v>
      </c>
      <c r="AY1775" s="1">
        <v>0.0</v>
      </c>
    </row>
    <row r="1776" spans="20:51" ht="15.75" hidden="1">
      <c r="T1776" s="1">
        <v>329336.0</v>
      </c>
      <c r="U1776" s="1"/>
      <c r="V1776" s="1"/>
      <c r="W1776" s="1"/>
      <c r="X1776" s="1"/>
      <c r="Y1776" s="1" t="s">
        <v>7777</v>
      </c>
      <c r="Z1776" s="1" t="s">
        <v>7778</v>
      </c>
      <c r="AA1776" s="1" t="s">
        <v>7779</v>
      </c>
      <c r="AB1776" s="1"/>
      <c r="AC1776" s="1"/>
      <c r="AD1776" s="1"/>
      <c r="AE1776" s="1"/>
      <c r="AG1776" s="2" t="str">
        <f>"0140296476"</f>
        <v>0140296476</v>
      </c>
      <c r="AH1776" s="2" t="str">
        <f>"9780140296471"</f>
        <v>9780140296471</v>
      </c>
      <c r="AI1776" s="1">
        <v>0.0</v>
      </c>
      <c r="AJ1776" s="1">
        <v>3.97</v>
      </c>
      <c r="AK1776" s="1" t="s">
        <v>151</v>
      </c>
      <c r="AL1776" s="1" t="s">
        <v>28</v>
      </c>
      <c r="AM1776" s="1">
        <v>248.0</v>
      </c>
      <c r="AN1776" s="1">
        <v>2000.0</v>
      </c>
      <c r="AO1776" s="1">
        <v>2000.0</v>
      </c>
      <c r="AQ1776" s="3">
        <v>44205.0</v>
      </c>
      <c r="AR1776" s="1" t="s">
        <v>31</v>
      </c>
      <c r="AS1776" s="1" t="s">
        <v>7780</v>
      </c>
      <c r="AT1776" s="1" t="s">
        <v>31</v>
      </c>
      <c r="AX1776" s="1">
        <v>0.0</v>
      </c>
      <c r="AY1776" s="1">
        <v>0.0</v>
      </c>
    </row>
    <row r="1777" spans="20:51" ht="15.75" hidden="1">
      <c r="T1777" s="1">
        <v>19596.0</v>
      </c>
      <c r="U1777" s="1"/>
      <c r="V1777" s="1"/>
      <c r="W1777" s="1"/>
      <c r="X1777" s="1"/>
      <c r="Y1777" s="1" t="s">
        <v>7781</v>
      </c>
      <c r="Z1777" s="1" t="s">
        <v>7782</v>
      </c>
      <c r="AA1777" s="1" t="s">
        <v>7783</v>
      </c>
      <c r="AB1777" s="1"/>
      <c r="AC1777" s="1"/>
      <c r="AD1777" s="1"/>
      <c r="AE1777" s="1"/>
      <c r="AG1777" s="2" t="str">
        <f>"0812971426"</f>
        <v>0812971426</v>
      </c>
      <c r="AH1777" s="2" t="str">
        <f>"9780812971422"</f>
        <v>9780812971422</v>
      </c>
      <c r="AI1777" s="1">
        <v>0.0</v>
      </c>
      <c r="AJ1777" s="1">
        <v>3.81</v>
      </c>
      <c r="AK1777" s="1" t="s">
        <v>2105</v>
      </c>
      <c r="AL1777" s="1" t="s">
        <v>28</v>
      </c>
      <c r="AM1777" s="1">
        <v>448.0</v>
      </c>
      <c r="AN1777" s="1">
        <v>2004.0</v>
      </c>
      <c r="AO1777" s="1">
        <v>2003.0</v>
      </c>
      <c r="AQ1777" s="3">
        <v>44205.0</v>
      </c>
      <c r="AR1777" s="1" t="s">
        <v>31</v>
      </c>
      <c r="AS1777" s="1" t="s">
        <v>7784</v>
      </c>
      <c r="AT1777" s="1" t="s">
        <v>31</v>
      </c>
      <c r="AX1777" s="1">
        <v>0.0</v>
      </c>
      <c r="AY1777" s="1">
        <v>0.0</v>
      </c>
    </row>
    <row r="1778" spans="20:51" ht="15.75" hidden="1">
      <c r="T1778" s="1">
        <v>3.8212121E7</v>
      </c>
      <c r="U1778" s="1"/>
      <c r="V1778" s="1"/>
      <c r="W1778" s="1"/>
      <c r="X1778" s="1"/>
      <c r="Y1778" s="1" t="s">
        <v>7785</v>
      </c>
      <c r="Z1778" s="1" t="s">
        <v>7786</v>
      </c>
      <c r="AA1778" s="1" t="s">
        <v>7787</v>
      </c>
      <c r="AB1778" s="1"/>
      <c r="AC1778" s="1"/>
      <c r="AD1778" s="1"/>
      <c r="AE1778" s="1"/>
      <c r="AF1778" s="1" t="s">
        <v>7788</v>
      </c>
      <c r="AG1778" s="2" t="str">
        <f>"0393356280"</f>
        <v>0393356280</v>
      </c>
      <c r="AH1778" s="2" t="str">
        <f>"9780393356281"</f>
        <v>9780393356281</v>
      </c>
      <c r="AI1778" s="1">
        <v>0.0</v>
      </c>
      <c r="AJ1778" s="1">
        <v>4.3</v>
      </c>
      <c r="AK1778" s="1" t="s">
        <v>7789</v>
      </c>
      <c r="AL1778" s="1" t="s">
        <v>28</v>
      </c>
      <c r="AM1778" s="1">
        <v>256.0</v>
      </c>
      <c r="AN1778" s="1">
        <v>2018.0</v>
      </c>
      <c r="AO1778" s="1">
        <v>2017.0</v>
      </c>
      <c r="AQ1778" s="3">
        <v>44205.0</v>
      </c>
      <c r="AR1778" s="1" t="s">
        <v>31</v>
      </c>
      <c r="AS1778" s="1" t="s">
        <v>7790</v>
      </c>
      <c r="AT1778" s="1" t="s">
        <v>31</v>
      </c>
      <c r="AX1778" s="1">
        <v>0.0</v>
      </c>
      <c r="AY1778" s="1">
        <v>0.0</v>
      </c>
    </row>
    <row r="1779" spans="20:51" ht="15.75" hidden="1">
      <c r="T1779" s="1">
        <v>2183.0</v>
      </c>
      <c r="U1779" s="1"/>
      <c r="V1779" s="1"/>
      <c r="W1779" s="1"/>
      <c r="X1779" s="1"/>
      <c r="Y1779" s="1" t="s">
        <v>7791</v>
      </c>
      <c r="Z1779" s="1" t="s">
        <v>7491</v>
      </c>
      <c r="AA1779" s="1" t="s">
        <v>7492</v>
      </c>
      <c r="AB1779" s="1"/>
      <c r="AC1779" s="1"/>
      <c r="AD1779" s="1"/>
      <c r="AE1779" s="1"/>
      <c r="AF1779" s="1" t="s">
        <v>7792</v>
      </c>
      <c r="AG1779" s="2" t="str">
        <f>"0140447970"</f>
        <v>0140447970</v>
      </c>
      <c r="AH1779" s="2" t="str">
        <f>"9780140447972"</f>
        <v>9780140447972</v>
      </c>
      <c r="AI1779" s="1">
        <v>0.0</v>
      </c>
      <c r="AJ1779" s="1">
        <v>3.81</v>
      </c>
      <c r="AK1779" s="1" t="s">
        <v>7793</v>
      </c>
      <c r="AL1779" s="1" t="s">
        <v>28</v>
      </c>
      <c r="AM1779" s="1">
        <v>460.0</v>
      </c>
      <c r="AN1779" s="1">
        <v>2004.0</v>
      </c>
      <c r="AO1779" s="1">
        <v>1869.0</v>
      </c>
      <c r="AQ1779" s="3">
        <v>44205.0</v>
      </c>
      <c r="AR1779" s="1" t="s">
        <v>31</v>
      </c>
      <c r="AS1779" s="1" t="s">
        <v>7794</v>
      </c>
      <c r="AT1779" s="1" t="s">
        <v>31</v>
      </c>
      <c r="AX1779" s="1">
        <v>0.0</v>
      </c>
      <c r="AY1779" s="1">
        <v>0.0</v>
      </c>
    </row>
    <row r="1780" spans="20:51" ht="15.75" hidden="1">
      <c r="T1780" s="1">
        <v>92570.0</v>
      </c>
      <c r="U1780" s="1"/>
      <c r="V1780" s="1"/>
      <c r="W1780" s="1"/>
      <c r="X1780" s="1"/>
      <c r="Y1780" s="1" t="s">
        <v>7795</v>
      </c>
      <c r="Z1780" s="1" t="s">
        <v>7796</v>
      </c>
      <c r="AA1780" s="1" t="s">
        <v>7797</v>
      </c>
      <c r="AB1780" s="1"/>
      <c r="AC1780" s="1"/>
      <c r="AD1780" s="1"/>
      <c r="AE1780" s="1"/>
      <c r="AF1780" s="1" t="s">
        <v>7798</v>
      </c>
      <c r="AG1780" s="2" t="str">
        <f>"1400077540"</f>
        <v>1400077540</v>
      </c>
      <c r="AH1780" s="2" t="str">
        <f>"9781400077540"</f>
        <v>9781400077540</v>
      </c>
      <c r="AI1780" s="1">
        <v>0.0</v>
      </c>
      <c r="AJ1780" s="1">
        <v>4.04</v>
      </c>
      <c r="AK1780" s="1" t="s">
        <v>83</v>
      </c>
      <c r="AL1780" s="1" t="s">
        <v>28</v>
      </c>
      <c r="AM1780" s="1">
        <v>208.0</v>
      </c>
      <c r="AN1780" s="1">
        <v>2006.0</v>
      </c>
      <c r="AO1780" s="1">
        <v>1983.0</v>
      </c>
      <c r="AQ1780" s="3">
        <v>44204.0</v>
      </c>
      <c r="AR1780" s="1" t="s">
        <v>31</v>
      </c>
      <c r="AS1780" s="1" t="s">
        <v>7799</v>
      </c>
      <c r="AT1780" s="1" t="s">
        <v>31</v>
      </c>
      <c r="AX1780" s="1">
        <v>0.0</v>
      </c>
      <c r="AY1780" s="1">
        <v>0.0</v>
      </c>
    </row>
    <row r="1781" spans="20:51" ht="15.75" hidden="1">
      <c r="T1781" s="1">
        <v>919661.0</v>
      </c>
      <c r="U1781" s="1"/>
      <c r="V1781" s="1"/>
      <c r="W1781" s="1"/>
      <c r="X1781" s="1"/>
      <c r="Y1781" s="1" t="s">
        <v>7800</v>
      </c>
      <c r="Z1781" s="1" t="s">
        <v>7801</v>
      </c>
      <c r="AA1781" s="1" t="s">
        <v>7802</v>
      </c>
      <c r="AB1781" s="1"/>
      <c r="AC1781" s="1"/>
      <c r="AD1781" s="1"/>
      <c r="AE1781" s="1"/>
      <c r="AF1781" s="1" t="s">
        <v>7803</v>
      </c>
      <c r="AG1781" s="2" t="str">
        <f>"189095182X"</f>
        <v>189095182X</v>
      </c>
      <c r="AH1781" s="2" t="str">
        <f>"9781890951825"</f>
        <v>9781890951825</v>
      </c>
      <c r="AI1781" s="1">
        <v>0.0</v>
      </c>
      <c r="AJ1781" s="1">
        <v>4.08</v>
      </c>
      <c r="AK1781" s="1" t="s">
        <v>2840</v>
      </c>
      <c r="AL1781" s="1" t="s">
        <v>41</v>
      </c>
      <c r="AM1781" s="1">
        <v>102.0</v>
      </c>
      <c r="AN1781" s="1">
        <v>2007.0</v>
      </c>
      <c r="AO1781" s="1">
        <v>2005.0</v>
      </c>
      <c r="AQ1781" s="3">
        <v>44204.0</v>
      </c>
      <c r="AR1781" s="1" t="s">
        <v>31</v>
      </c>
      <c r="AS1781" s="1" t="s">
        <v>7804</v>
      </c>
      <c r="AT1781" s="1" t="s">
        <v>31</v>
      </c>
      <c r="AX1781" s="1">
        <v>0.0</v>
      </c>
      <c r="AY1781" s="1">
        <v>0.0</v>
      </c>
    </row>
    <row r="1782" spans="20:51" ht="15.75" hidden="1">
      <c r="T1782" s="1">
        <v>4.4179431E7</v>
      </c>
      <c r="U1782" s="1"/>
      <c r="V1782" s="1"/>
      <c r="W1782" s="1"/>
      <c r="X1782" s="1"/>
      <c r="Y1782" s="1" t="s">
        <v>7805</v>
      </c>
      <c r="Z1782" s="1" t="s">
        <v>7806</v>
      </c>
      <c r="AA1782" s="1" t="s">
        <v>7807</v>
      </c>
      <c r="AB1782" s="1"/>
      <c r="AC1782" s="1"/>
      <c r="AD1782" s="1"/>
      <c r="AE1782" s="1"/>
      <c r="AG1782" s="2" t="str">
        <f>"022647626X"</f>
        <v>022647626X</v>
      </c>
      <c r="AH1782" s="2" t="str">
        <f>"9780226476261"</f>
        <v>9780226476261</v>
      </c>
      <c r="AI1782" s="1">
        <v>0.0</v>
      </c>
      <c r="AJ1782" s="1">
        <v>3.66</v>
      </c>
      <c r="AK1782" s="1" t="s">
        <v>224</v>
      </c>
      <c r="AL1782" s="1" t="s">
        <v>41</v>
      </c>
      <c r="AM1782" s="1">
        <v>320.0</v>
      </c>
      <c r="AN1782" s="1">
        <v>2019.0</v>
      </c>
      <c r="AQ1782" s="3">
        <v>44204.0</v>
      </c>
      <c r="AR1782" s="1" t="s">
        <v>31</v>
      </c>
      <c r="AS1782" s="1" t="s">
        <v>7808</v>
      </c>
      <c r="AT1782" s="1" t="s">
        <v>31</v>
      </c>
      <c r="AX1782" s="1">
        <v>0.0</v>
      </c>
      <c r="AY1782" s="1">
        <v>0.0</v>
      </c>
    </row>
    <row r="1783" spans="20:51" ht="15.75" hidden="1">
      <c r="T1783" s="1">
        <v>4.0363341E7</v>
      </c>
      <c r="U1783" s="1"/>
      <c r="V1783" s="1"/>
      <c r="W1783" s="1"/>
      <c r="X1783" s="1"/>
      <c r="Y1783" s="1" t="s">
        <v>7809</v>
      </c>
      <c r="Z1783" s="1" t="s">
        <v>7810</v>
      </c>
      <c r="AA1783" s="1" t="s">
        <v>7811</v>
      </c>
      <c r="AB1783" s="1"/>
      <c r="AC1783" s="1"/>
      <c r="AD1783" s="1"/>
      <c r="AE1783" s="1"/>
      <c r="AG1783" s="2" t="str">
        <f>"1786636395"</f>
        <v>1786636395</v>
      </c>
      <c r="AH1783" s="2" t="str">
        <f>"9781786636393"</f>
        <v>9781786636393</v>
      </c>
      <c r="AI1783" s="1">
        <v>0.0</v>
      </c>
      <c r="AJ1783" s="1">
        <v>3.96</v>
      </c>
      <c r="AK1783" s="1" t="s">
        <v>1973</v>
      </c>
      <c r="AL1783" s="1" t="s">
        <v>28</v>
      </c>
      <c r="AM1783" s="1">
        <v>202.0</v>
      </c>
      <c r="AN1783" s="1">
        <v>2019.0</v>
      </c>
      <c r="AO1783" s="1">
        <v>2019.0</v>
      </c>
      <c r="AQ1783" s="3">
        <v>44204.0</v>
      </c>
      <c r="AR1783" s="1" t="s">
        <v>31</v>
      </c>
      <c r="AS1783" s="1" t="s">
        <v>7812</v>
      </c>
      <c r="AT1783" s="1" t="s">
        <v>31</v>
      </c>
      <c r="AX1783" s="1">
        <v>0.0</v>
      </c>
      <c r="AY1783" s="1">
        <v>0.0</v>
      </c>
    </row>
    <row r="1784" spans="20:51" ht="15.75" hidden="1">
      <c r="T1784" s="1">
        <v>3.2660819E7</v>
      </c>
      <c r="U1784" s="1"/>
      <c r="V1784" s="1"/>
      <c r="W1784" s="1"/>
      <c r="X1784" s="1"/>
      <c r="Y1784" s="1" t="s">
        <v>7813</v>
      </c>
      <c r="Z1784" s="1" t="s">
        <v>7814</v>
      </c>
      <c r="AA1784" s="1" t="s">
        <v>7815</v>
      </c>
      <c r="AB1784" s="1"/>
      <c r="AC1784" s="1"/>
      <c r="AD1784" s="1"/>
      <c r="AE1784" s="1"/>
      <c r="AF1784" s="1" t="s">
        <v>7816</v>
      </c>
      <c r="AG1784" s="2" t="str">
        <f>"1442650451"</f>
        <v>1442650451</v>
      </c>
      <c r="AH1784" s="2" t="str">
        <f>"9781442650459"</f>
        <v>9781442650459</v>
      </c>
      <c r="AI1784" s="1">
        <v>0.0</v>
      </c>
      <c r="AJ1784" s="1">
        <v>3.65</v>
      </c>
      <c r="AK1784" s="1" t="s">
        <v>7817</v>
      </c>
      <c r="AL1784" s="1" t="s">
        <v>41</v>
      </c>
      <c r="AM1784" s="1">
        <v>256.0</v>
      </c>
      <c r="AN1784" s="1">
        <v>2017.0</v>
      </c>
      <c r="AQ1784" s="3">
        <v>44204.0</v>
      </c>
      <c r="AR1784" s="1" t="s">
        <v>31</v>
      </c>
      <c r="AS1784" s="1" t="s">
        <v>7818</v>
      </c>
      <c r="AT1784" s="1" t="s">
        <v>31</v>
      </c>
      <c r="AX1784" s="1">
        <v>0.0</v>
      </c>
      <c r="AY1784" s="1">
        <v>0.0</v>
      </c>
    </row>
    <row r="1785" spans="20:51" ht="15.75" hidden="1">
      <c r="T1785" s="1">
        <v>403120.0</v>
      </c>
      <c r="U1785" s="1"/>
      <c r="V1785" s="1"/>
      <c r="W1785" s="1"/>
      <c r="X1785" s="1"/>
      <c r="Y1785" s="1" t="s">
        <v>7819</v>
      </c>
      <c r="Z1785" s="1" t="s">
        <v>7820</v>
      </c>
      <c r="AA1785" s="1" t="s">
        <v>7821</v>
      </c>
      <c r="AB1785" s="1"/>
      <c r="AC1785" s="1"/>
      <c r="AD1785" s="1"/>
      <c r="AE1785" s="1"/>
      <c r="AG1785" s="2" t="str">
        <f>"0898706041"</f>
        <v>0898706041</v>
      </c>
      <c r="AH1785" s="2" t="str">
        <f>"9780898706048"</f>
        <v>9780898706048</v>
      </c>
      <c r="AI1785" s="1">
        <v>0.0</v>
      </c>
      <c r="AJ1785" s="1">
        <v>4.37</v>
      </c>
      <c r="AK1785" s="1" t="s">
        <v>6031</v>
      </c>
      <c r="AL1785" s="1" t="s">
        <v>28</v>
      </c>
      <c r="AM1785" s="1">
        <v>401.0</v>
      </c>
      <c r="AN1785" s="1">
        <v>1998.0</v>
      </c>
      <c r="AO1785" s="1">
        <v>1955.0</v>
      </c>
      <c r="AQ1785" s="3">
        <v>44200.0</v>
      </c>
      <c r="AR1785" s="1" t="s">
        <v>31</v>
      </c>
      <c r="AS1785" s="1" t="s">
        <v>7822</v>
      </c>
      <c r="AT1785" s="1" t="s">
        <v>31</v>
      </c>
      <c r="AX1785" s="1">
        <v>0.0</v>
      </c>
      <c r="AY1785" s="1">
        <v>0.0</v>
      </c>
    </row>
    <row r="1786" spans="20:51" ht="15.75" hidden="1">
      <c r="T1786" s="1">
        <v>4.5892264E7</v>
      </c>
      <c r="U1786" s="1"/>
      <c r="V1786" s="1"/>
      <c r="W1786" s="1"/>
      <c r="X1786" s="1"/>
      <c r="Y1786" s="1" t="s">
        <v>7823</v>
      </c>
      <c r="Z1786" s="1" t="s">
        <v>7124</v>
      </c>
      <c r="AA1786" s="1" t="s">
        <v>7125</v>
      </c>
      <c r="AB1786" s="1"/>
      <c r="AC1786" s="1"/>
      <c r="AD1786" s="1"/>
      <c r="AE1786" s="1"/>
      <c r="AG1786" s="2" t="str">
        <f>"0374282153"</f>
        <v>0374282153</v>
      </c>
      <c r="AH1786" s="2" t="str">
        <f>"9780374282158"</f>
        <v>9780374282158</v>
      </c>
      <c r="AI1786" s="1">
        <v>0.0</v>
      </c>
      <c r="AJ1786" s="1">
        <v>3.73</v>
      </c>
      <c r="AK1786" s="1" t="s">
        <v>89</v>
      </c>
      <c r="AL1786" s="1" t="s">
        <v>41</v>
      </c>
      <c r="AM1786" s="1">
        <v>176.0</v>
      </c>
      <c r="AN1786" s="1">
        <v>2020.0</v>
      </c>
      <c r="AO1786" s="1">
        <v>2020.0</v>
      </c>
      <c r="AQ1786" s="3">
        <v>44199.0</v>
      </c>
      <c r="AR1786" s="1" t="s">
        <v>31</v>
      </c>
      <c r="AS1786" s="1" t="s">
        <v>7824</v>
      </c>
      <c r="AT1786" s="1" t="s">
        <v>31</v>
      </c>
      <c r="AX1786" s="1">
        <v>0.0</v>
      </c>
      <c r="AY1786" s="1">
        <v>0.0</v>
      </c>
    </row>
    <row r="1787" spans="20:51" ht="15.75" hidden="1">
      <c r="T1787" s="1">
        <v>3.6422677E7</v>
      </c>
      <c r="U1787" s="1"/>
      <c r="V1787" s="1"/>
      <c r="W1787" s="1"/>
      <c r="X1787" s="1"/>
      <c r="Y1787" s="1" t="s">
        <v>7825</v>
      </c>
      <c r="Z1787" s="1" t="s">
        <v>7826</v>
      </c>
      <c r="AA1787" s="1" t="s">
        <v>7827</v>
      </c>
      <c r="AB1787" s="1"/>
      <c r="AC1787" s="1"/>
      <c r="AD1787" s="1"/>
      <c r="AE1787" s="1"/>
      <c r="AG1787" s="2" t="str">
        <f t="shared" si="147" ref="AG1787:AH1787">""</f>
        <v/>
      </c>
      <c r="AH1787" s="2" t="str">
        <f t="shared" si="147"/>
        <v/>
      </c>
      <c r="AI1787" s="1">
        <v>0.0</v>
      </c>
      <c r="AJ1787" s="1">
        <v>4.4</v>
      </c>
      <c r="AK1787" s="1" t="s">
        <v>605</v>
      </c>
      <c r="AL1787" s="1" t="s">
        <v>59</v>
      </c>
      <c r="AM1787" s="1">
        <v>274.0</v>
      </c>
      <c r="AN1787" s="1">
        <v>2017.0</v>
      </c>
      <c r="AQ1787" s="3">
        <v>44199.0</v>
      </c>
      <c r="AR1787" s="1" t="s">
        <v>31</v>
      </c>
      <c r="AS1787" s="1" t="s">
        <v>7828</v>
      </c>
      <c r="AT1787" s="1" t="s">
        <v>31</v>
      </c>
      <c r="AX1787" s="1">
        <v>0.0</v>
      </c>
      <c r="AY1787" s="1">
        <v>0.0</v>
      </c>
    </row>
    <row r="1788" spans="20:51" ht="15.75" hidden="1">
      <c r="T1788" s="1">
        <v>3.4706146E7</v>
      </c>
      <c r="U1788" s="1"/>
      <c r="V1788" s="1"/>
      <c r="W1788" s="1"/>
      <c r="X1788" s="1"/>
      <c r="Y1788" s="1" t="s">
        <v>7829</v>
      </c>
      <c r="Z1788" s="1" t="s">
        <v>7830</v>
      </c>
      <c r="AA1788" s="1" t="s">
        <v>7831</v>
      </c>
      <c r="AB1788" s="1"/>
      <c r="AC1788" s="1"/>
      <c r="AD1788" s="1"/>
      <c r="AE1788" s="1"/>
      <c r="AG1788" s="2" t="str">
        <f t="shared" si="148" ref="AG1788:AH1788">""</f>
        <v/>
      </c>
      <c r="AH1788" s="2" t="str">
        <f t="shared" si="148"/>
        <v/>
      </c>
      <c r="AI1788" s="1">
        <v>0.0</v>
      </c>
      <c r="AJ1788" s="1">
        <v>4.0</v>
      </c>
      <c r="AK1788" s="1" t="s">
        <v>2611</v>
      </c>
      <c r="AL1788" s="1" t="s">
        <v>59</v>
      </c>
      <c r="AM1788" s="1">
        <v>292.0</v>
      </c>
      <c r="AN1788" s="1">
        <v>2015.0</v>
      </c>
      <c r="AQ1788" s="3">
        <v>44199.0</v>
      </c>
      <c r="AR1788" s="1" t="s">
        <v>31</v>
      </c>
      <c r="AS1788" s="1" t="s">
        <v>7832</v>
      </c>
      <c r="AT1788" s="1" t="s">
        <v>31</v>
      </c>
      <c r="AX1788" s="1">
        <v>0.0</v>
      </c>
      <c r="AY1788" s="1">
        <v>0.0</v>
      </c>
    </row>
    <row r="1789" spans="20:51" ht="15.75" hidden="1">
      <c r="T1789" s="1">
        <v>1.2381053E7</v>
      </c>
      <c r="U1789" s="1"/>
      <c r="V1789" s="1"/>
      <c r="W1789" s="1"/>
      <c r="X1789" s="1"/>
      <c r="Y1789" s="1" t="s">
        <v>7833</v>
      </c>
      <c r="Z1789" s="1" t="s">
        <v>7834</v>
      </c>
      <c r="AA1789" s="1" t="s">
        <v>7835</v>
      </c>
      <c r="AB1789" s="1"/>
      <c r="AC1789" s="1"/>
      <c r="AD1789" s="1"/>
      <c r="AE1789" s="1"/>
      <c r="AF1789" s="1" t="s">
        <v>7836</v>
      </c>
      <c r="AG1789" s="2" t="str">
        <f>"1118114957"</f>
        <v>1118114957</v>
      </c>
      <c r="AH1789" s="2" t="str">
        <f>"9781118114957"</f>
        <v>9781118114957</v>
      </c>
      <c r="AI1789" s="1">
        <v>0.0</v>
      </c>
      <c r="AJ1789" s="1">
        <v>3.5</v>
      </c>
      <c r="AK1789" s="1" t="s">
        <v>2617</v>
      </c>
      <c r="AL1789" s="1" t="s">
        <v>41</v>
      </c>
      <c r="AM1789" s="1">
        <v>208.0</v>
      </c>
      <c r="AN1789" s="1">
        <v>2011.0</v>
      </c>
      <c r="AO1789" s="1">
        <v>2011.0</v>
      </c>
      <c r="AQ1789" s="3">
        <v>44199.0</v>
      </c>
      <c r="AR1789" s="1" t="s">
        <v>31</v>
      </c>
      <c r="AS1789" s="1" t="s">
        <v>7837</v>
      </c>
      <c r="AT1789" s="1" t="s">
        <v>31</v>
      </c>
      <c r="AX1789" s="1">
        <v>0.0</v>
      </c>
      <c r="AY1789" s="1">
        <v>0.0</v>
      </c>
    </row>
    <row r="1790" spans="20:51" ht="15.75" hidden="1">
      <c r="T1790" s="1">
        <v>1.8377995E7</v>
      </c>
      <c r="U1790" s="1"/>
      <c r="V1790" s="1"/>
      <c r="W1790" s="1"/>
      <c r="X1790" s="1"/>
      <c r="Y1790" s="1" t="s">
        <v>7838</v>
      </c>
      <c r="Z1790" s="1" t="s">
        <v>7839</v>
      </c>
      <c r="AA1790" s="1" t="s">
        <v>7840</v>
      </c>
      <c r="AB1790" s="1"/>
      <c r="AC1790" s="1"/>
      <c r="AD1790" s="1"/>
      <c r="AE1790" s="1"/>
      <c r="AG1790" s="2" t="str">
        <f>"0393243370"</f>
        <v>0393243370</v>
      </c>
      <c r="AH1790" s="2" t="str">
        <f>"9780393243376"</f>
        <v>9780393243376</v>
      </c>
      <c r="AI1790" s="1">
        <v>0.0</v>
      </c>
      <c r="AJ1790" s="1">
        <v>3.75</v>
      </c>
      <c r="AK1790" s="1" t="s">
        <v>113</v>
      </c>
      <c r="AL1790" s="1" t="s">
        <v>41</v>
      </c>
      <c r="AM1790" s="1">
        <v>288.0</v>
      </c>
      <c r="AN1790" s="1">
        <v>2014.0</v>
      </c>
      <c r="AO1790" s="1">
        <v>2014.0</v>
      </c>
      <c r="AQ1790" s="3">
        <v>44199.0</v>
      </c>
      <c r="AR1790" s="1" t="s">
        <v>31</v>
      </c>
      <c r="AS1790" s="1" t="s">
        <v>7841</v>
      </c>
      <c r="AT1790" s="1" t="s">
        <v>31</v>
      </c>
      <c r="AX1790" s="1">
        <v>0.0</v>
      </c>
      <c r="AY1790" s="1">
        <v>0.0</v>
      </c>
    </row>
    <row r="1791" spans="20:51" ht="15.75" hidden="1">
      <c r="T1791" s="1">
        <v>394616.0</v>
      </c>
      <c r="U1791" s="1"/>
      <c r="V1791" s="1"/>
      <c r="W1791" s="1"/>
      <c r="X1791" s="1"/>
      <c r="Y1791" s="1" t="s">
        <v>7842</v>
      </c>
      <c r="Z1791" s="1" t="s">
        <v>7843</v>
      </c>
      <c r="AA1791" s="1" t="s">
        <v>7844</v>
      </c>
      <c r="AB1791" s="1"/>
      <c r="AC1791" s="1"/>
      <c r="AD1791" s="1"/>
      <c r="AE1791" s="1"/>
      <c r="AG1791" s="2" t="str">
        <f>"0060932236"</f>
        <v>0060932236</v>
      </c>
      <c r="AH1791" s="2" t="str">
        <f>"9780060932237"</f>
        <v>9780060932237</v>
      </c>
      <c r="AI1791" s="1">
        <v>0.0</v>
      </c>
      <c r="AJ1791" s="1">
        <v>4.31</v>
      </c>
      <c r="AK1791" s="1" t="s">
        <v>1031</v>
      </c>
      <c r="AL1791" s="1" t="s">
        <v>28</v>
      </c>
      <c r="AM1791" s="1">
        <v>384.0</v>
      </c>
      <c r="AN1791" s="1">
        <v>2006.0</v>
      </c>
      <c r="AO1791" s="1">
        <v>1936.0</v>
      </c>
      <c r="AQ1791" s="3">
        <v>44198.0</v>
      </c>
      <c r="AR1791" s="1" t="s">
        <v>31</v>
      </c>
      <c r="AS1791" s="1" t="s">
        <v>7845</v>
      </c>
      <c r="AT1791" s="1" t="s">
        <v>31</v>
      </c>
      <c r="AX1791" s="1">
        <v>0.0</v>
      </c>
      <c r="AY1791" s="1">
        <v>0.0</v>
      </c>
    </row>
    <row r="1792" spans="20:51" ht="15.75" hidden="1">
      <c r="T1792" s="1">
        <v>5.3066001E7</v>
      </c>
      <c r="U1792" s="1"/>
      <c r="V1792" s="1"/>
      <c r="W1792" s="1"/>
      <c r="X1792" s="1"/>
      <c r="Y1792" s="1" t="s">
        <v>7846</v>
      </c>
      <c r="Z1792" s="1" t="s">
        <v>7847</v>
      </c>
      <c r="AA1792" s="1" t="s">
        <v>7848</v>
      </c>
      <c r="AB1792" s="1"/>
      <c r="AC1792" s="1"/>
      <c r="AD1792" s="1"/>
      <c r="AE1792" s="1"/>
      <c r="AF1792" s="1" t="s">
        <v>7849</v>
      </c>
      <c r="AG1792" s="2" t="str">
        <f t="shared" si="149" ref="AG1792:AH1792">""</f>
        <v/>
      </c>
      <c r="AH1792" s="2" t="str">
        <f t="shared" si="149"/>
        <v/>
      </c>
      <c r="AI1792" s="1">
        <v>0.0</v>
      </c>
      <c r="AJ1792" s="1">
        <v>4.22</v>
      </c>
      <c r="AK1792" s="1" t="s">
        <v>7850</v>
      </c>
      <c r="AL1792" s="1" t="s">
        <v>59</v>
      </c>
      <c r="AM1792" s="1">
        <v>207.0</v>
      </c>
      <c r="AN1792" s="1">
        <v>2020.0</v>
      </c>
      <c r="AQ1792" s="3">
        <v>44198.0</v>
      </c>
      <c r="AR1792" s="1" t="s">
        <v>31</v>
      </c>
      <c r="AS1792" s="1" t="s">
        <v>7851</v>
      </c>
      <c r="AT1792" s="1" t="s">
        <v>31</v>
      </c>
      <c r="AX1792" s="1">
        <v>0.0</v>
      </c>
      <c r="AY1792" s="1">
        <v>0.0</v>
      </c>
    </row>
    <row r="1793" spans="20:51" ht="15.75" hidden="1">
      <c r="T1793" s="1">
        <v>5.0695164E7</v>
      </c>
      <c r="U1793" s="1"/>
      <c r="V1793" s="1"/>
      <c r="W1793" s="1"/>
      <c r="X1793" s="1"/>
      <c r="Y1793" s="1" t="s">
        <v>7852</v>
      </c>
      <c r="Z1793" s="1" t="s">
        <v>7853</v>
      </c>
      <c r="AA1793" s="1" t="s">
        <v>7854</v>
      </c>
      <c r="AB1793" s="1"/>
      <c r="AC1793" s="1"/>
      <c r="AD1793" s="1"/>
      <c r="AE1793" s="1"/>
      <c r="AG1793" s="2" t="str">
        <f>"0593188934"</f>
        <v>0593188934</v>
      </c>
      <c r="AH1793" s="2" t="str">
        <f>"9780593188934"</f>
        <v>9780593188934</v>
      </c>
      <c r="AI1793" s="1">
        <v>0.0</v>
      </c>
      <c r="AJ1793" s="1">
        <v>4.16</v>
      </c>
      <c r="AK1793" s="1" t="s">
        <v>387</v>
      </c>
      <c r="AL1793" s="1" t="s">
        <v>41</v>
      </c>
      <c r="AM1793" s="1">
        <v>288.0</v>
      </c>
      <c r="AN1793" s="1">
        <v>2020.0</v>
      </c>
      <c r="AO1793" s="1">
        <v>2020.0</v>
      </c>
      <c r="AQ1793" s="4">
        <v>44196.0</v>
      </c>
      <c r="AR1793" s="1" t="s">
        <v>31</v>
      </c>
      <c r="AS1793" s="1" t="s">
        <v>7855</v>
      </c>
      <c r="AT1793" s="1" t="s">
        <v>31</v>
      </c>
      <c r="AX1793" s="1">
        <v>0.0</v>
      </c>
      <c r="AY1793" s="1">
        <v>0.0</v>
      </c>
    </row>
    <row r="1794" spans="20:51" ht="15.75" hidden="1">
      <c r="T1794" s="1">
        <v>2.4453883E7</v>
      </c>
      <c r="U1794" s="1"/>
      <c r="V1794" s="1"/>
      <c r="W1794" s="1"/>
      <c r="X1794" s="1"/>
      <c r="Y1794" s="1" t="s">
        <v>7856</v>
      </c>
      <c r="Z1794" s="1" t="s">
        <v>7640</v>
      </c>
      <c r="AA1794" s="1" t="s">
        <v>7641</v>
      </c>
      <c r="AB1794" s="1"/>
      <c r="AC1794" s="1"/>
      <c r="AD1794" s="1"/>
      <c r="AE1794" s="1"/>
      <c r="AG1794" s="2" t="str">
        <f>"0472052535"</f>
        <v>0472052535</v>
      </c>
      <c r="AH1794" s="2" t="str">
        <f>"9780472052530"</f>
        <v>9780472052530</v>
      </c>
      <c r="AI1794" s="1">
        <v>0.0</v>
      </c>
      <c r="AJ1794" s="1">
        <v>4.18</v>
      </c>
      <c r="AK1794" s="1" t="s">
        <v>5170</v>
      </c>
      <c r="AL1794" s="1" t="s">
        <v>28</v>
      </c>
      <c r="AM1794" s="1">
        <v>240.0</v>
      </c>
      <c r="AN1794" s="1">
        <v>2015.0</v>
      </c>
      <c r="AO1794" s="1">
        <v>2015.0</v>
      </c>
      <c r="AQ1794" s="4">
        <v>44194.0</v>
      </c>
      <c r="AR1794" s="1" t="s">
        <v>31</v>
      </c>
      <c r="AS1794" s="1" t="s">
        <v>7857</v>
      </c>
      <c r="AT1794" s="1" t="s">
        <v>31</v>
      </c>
      <c r="AX1794" s="1">
        <v>0.0</v>
      </c>
      <c r="AY1794" s="1">
        <v>0.0</v>
      </c>
    </row>
    <row r="1795" spans="20:51" ht="15.75" hidden="1">
      <c r="T1795" s="1">
        <v>2388828.0</v>
      </c>
      <c r="U1795" s="1"/>
      <c r="V1795" s="1"/>
      <c r="W1795" s="1"/>
      <c r="X1795" s="1"/>
      <c r="Y1795" s="1" t="s">
        <v>7858</v>
      </c>
      <c r="Z1795" s="1" t="s">
        <v>7859</v>
      </c>
      <c r="AA1795" s="1" t="s">
        <v>7860</v>
      </c>
      <c r="AB1795" s="1"/>
      <c r="AC1795" s="1"/>
      <c r="AD1795" s="1"/>
      <c r="AE1795" s="1"/>
      <c r="AG1795" s="2" t="str">
        <f>"0262523191"</f>
        <v>0262523191</v>
      </c>
      <c r="AH1795" s="2" t="str">
        <f>"9780262523196"</f>
        <v>9780262523196</v>
      </c>
      <c r="AI1795" s="1">
        <v>0.0</v>
      </c>
      <c r="AJ1795" s="1">
        <v>3.76</v>
      </c>
      <c r="AK1795" s="1" t="s">
        <v>5344</v>
      </c>
      <c r="AL1795" s="1" t="s">
        <v>28</v>
      </c>
      <c r="AM1795" s="1">
        <v>640.0</v>
      </c>
      <c r="AN1795" s="1">
        <v>2001.0</v>
      </c>
      <c r="AO1795" s="1">
        <v>2000.0</v>
      </c>
      <c r="AQ1795" s="4">
        <v>44192.0</v>
      </c>
      <c r="AR1795" s="1" t="s">
        <v>31</v>
      </c>
      <c r="AS1795" s="1" t="s">
        <v>7861</v>
      </c>
      <c r="AT1795" s="1" t="s">
        <v>31</v>
      </c>
      <c r="AX1795" s="1">
        <v>0.0</v>
      </c>
      <c r="AY1795" s="1">
        <v>0.0</v>
      </c>
    </row>
    <row r="1796" spans="20:51" ht="15.75" hidden="1">
      <c r="T1796" s="1">
        <v>5.1285194E7</v>
      </c>
      <c r="U1796" s="1"/>
      <c r="V1796" s="1"/>
      <c r="W1796" s="1"/>
      <c r="X1796" s="1"/>
      <c r="Y1796" s="1" t="s">
        <v>7862</v>
      </c>
      <c r="Z1796" s="1" t="s">
        <v>7859</v>
      </c>
      <c r="AA1796" s="1" t="s">
        <v>7860</v>
      </c>
      <c r="AB1796" s="1"/>
      <c r="AC1796" s="1"/>
      <c r="AD1796" s="1"/>
      <c r="AE1796" s="1"/>
      <c r="AG1796" s="2" t="str">
        <f t="shared" si="150" ref="AG1796:AH1796">""</f>
        <v/>
      </c>
      <c r="AH1796" s="2" t="str">
        <f t="shared" si="150"/>
        <v/>
      </c>
      <c r="AI1796" s="1">
        <v>0.0</v>
      </c>
      <c r="AJ1796" s="1">
        <v>3.38</v>
      </c>
      <c r="AK1796" s="1" t="s">
        <v>224</v>
      </c>
      <c r="AL1796" s="1" t="s">
        <v>59</v>
      </c>
      <c r="AM1796" s="1">
        <v>278.0</v>
      </c>
      <c r="AN1796" s="1">
        <v>2019.0</v>
      </c>
      <c r="AQ1796" s="4">
        <v>44192.0</v>
      </c>
      <c r="AR1796" s="1" t="s">
        <v>31</v>
      </c>
      <c r="AS1796" s="1" t="s">
        <v>7863</v>
      </c>
      <c r="AT1796" s="1" t="s">
        <v>31</v>
      </c>
      <c r="AX1796" s="1">
        <v>0.0</v>
      </c>
      <c r="AY1796" s="1">
        <v>0.0</v>
      </c>
    </row>
    <row r="1797" spans="20:51" ht="15.75" hidden="1">
      <c r="T1797" s="1">
        <v>5.5623604E7</v>
      </c>
      <c r="U1797" s="1"/>
      <c r="V1797" s="1"/>
      <c r="W1797" s="1"/>
      <c r="X1797" s="1"/>
      <c r="Y1797" s="1" t="s">
        <v>7864</v>
      </c>
      <c r="Z1797" s="1" t="s">
        <v>7865</v>
      </c>
      <c r="AA1797" s="1" t="s">
        <v>7866</v>
      </c>
      <c r="AB1797" s="1"/>
      <c r="AC1797" s="1"/>
      <c r="AD1797" s="1"/>
      <c r="AE1797" s="1"/>
      <c r="AG1797" s="2" t="str">
        <f>"022678021X"</f>
        <v>022678021X</v>
      </c>
      <c r="AH1797" s="2" t="str">
        <f>"9780226780214"</f>
        <v>9780226780214</v>
      </c>
      <c r="AI1797" s="1">
        <v>0.0</v>
      </c>
      <c r="AJ1797" s="1">
        <v>0.0</v>
      </c>
      <c r="AK1797" s="1" t="s">
        <v>224</v>
      </c>
      <c r="AL1797" s="1" t="s">
        <v>41</v>
      </c>
      <c r="AM1797" s="1">
        <v>224.0</v>
      </c>
      <c r="AN1797" s="1">
        <v>2021.0</v>
      </c>
      <c r="AQ1797" s="4">
        <v>44192.0</v>
      </c>
      <c r="AR1797" s="1" t="s">
        <v>31</v>
      </c>
      <c r="AS1797" s="1" t="s">
        <v>7867</v>
      </c>
      <c r="AT1797" s="1" t="s">
        <v>31</v>
      </c>
      <c r="AX1797" s="1">
        <v>0.0</v>
      </c>
      <c r="AY1797" s="1">
        <v>0.0</v>
      </c>
    </row>
    <row r="1798" spans="20:51" ht="15.75" hidden="1">
      <c r="T1798" s="1">
        <v>550912.0</v>
      </c>
      <c r="U1798" s="1"/>
      <c r="V1798" s="1"/>
      <c r="W1798" s="1"/>
      <c r="X1798" s="1"/>
      <c r="Y1798" s="1" t="s">
        <v>7868</v>
      </c>
      <c r="Z1798" s="1" t="s">
        <v>7869</v>
      </c>
      <c r="AA1798" s="1" t="s">
        <v>7870</v>
      </c>
      <c r="AB1798" s="1"/>
      <c r="AC1798" s="1"/>
      <c r="AD1798" s="1"/>
      <c r="AE1798" s="1"/>
      <c r="AG1798" s="2" t="str">
        <f>"0345456874"</f>
        <v>0345456874</v>
      </c>
      <c r="AH1798" s="2" t="str">
        <f>"9780345456878"</f>
        <v>9780345456878</v>
      </c>
      <c r="AI1798" s="1">
        <v>0.0</v>
      </c>
      <c r="AJ1798" s="1">
        <v>3.76</v>
      </c>
      <c r="AK1798" s="1" t="s">
        <v>321</v>
      </c>
      <c r="AL1798" s="1" t="s">
        <v>41</v>
      </c>
      <c r="AM1798" s="1">
        <v>304.0</v>
      </c>
      <c r="AN1798" s="1">
        <v>2005.0</v>
      </c>
      <c r="AO1798" s="1">
        <v>2005.0</v>
      </c>
      <c r="AQ1798" s="4">
        <v>44192.0</v>
      </c>
      <c r="AR1798" s="1" t="s">
        <v>31</v>
      </c>
      <c r="AS1798" s="1" t="s">
        <v>7871</v>
      </c>
      <c r="AT1798" s="1" t="s">
        <v>31</v>
      </c>
      <c r="AX1798" s="1">
        <v>0.0</v>
      </c>
      <c r="AY1798" s="1">
        <v>0.0</v>
      </c>
    </row>
    <row r="1799" spans="20:51" ht="15.75" hidden="1">
      <c r="T1799" s="1">
        <v>1378145.0</v>
      </c>
      <c r="U1799" s="1"/>
      <c r="V1799" s="1"/>
      <c r="W1799" s="1"/>
      <c r="X1799" s="1"/>
      <c r="Y1799" s="1" t="s">
        <v>7872</v>
      </c>
      <c r="Z1799" s="1" t="s">
        <v>7869</v>
      </c>
      <c r="AA1799" s="1" t="s">
        <v>7870</v>
      </c>
      <c r="AB1799" s="1"/>
      <c r="AC1799" s="1"/>
      <c r="AD1799" s="1"/>
      <c r="AE1799" s="1"/>
      <c r="AG1799" s="2" t="str">
        <f>"0671028146"</f>
        <v>0671028146</v>
      </c>
      <c r="AH1799" s="2" t="str">
        <f>"9780671028145"</f>
        <v>9780671028145</v>
      </c>
      <c r="AI1799" s="1">
        <v>0.0</v>
      </c>
      <c r="AJ1799" s="1">
        <v>3.72</v>
      </c>
      <c r="AK1799" s="1" t="s">
        <v>1168</v>
      </c>
      <c r="AL1799" s="1" t="s">
        <v>41</v>
      </c>
      <c r="AM1799" s="1">
        <v>368.0</v>
      </c>
      <c r="AN1799" s="1">
        <v>2001.0</v>
      </c>
      <c r="AO1799" s="1">
        <v>2001.0</v>
      </c>
      <c r="AQ1799" s="4">
        <v>44192.0</v>
      </c>
      <c r="AR1799" s="1" t="s">
        <v>31</v>
      </c>
      <c r="AS1799" s="1" t="s">
        <v>7873</v>
      </c>
      <c r="AT1799" s="1" t="s">
        <v>31</v>
      </c>
      <c r="AX1799" s="1">
        <v>0.0</v>
      </c>
      <c r="AY1799" s="1">
        <v>0.0</v>
      </c>
    </row>
    <row r="1800" spans="20:51" ht="15.75" hidden="1">
      <c r="T1800" s="1">
        <v>3.4524645E7</v>
      </c>
      <c r="U1800" s="1"/>
      <c r="V1800" s="1"/>
      <c r="W1800" s="1"/>
      <c r="X1800" s="1"/>
      <c r="Y1800" s="1" t="s">
        <v>7874</v>
      </c>
      <c r="Z1800" s="1" t="s">
        <v>7865</v>
      </c>
      <c r="AA1800" s="1" t="s">
        <v>7866</v>
      </c>
      <c r="AB1800" s="1"/>
      <c r="AC1800" s="1"/>
      <c r="AD1800" s="1"/>
      <c r="AE1800" s="1"/>
      <c r="AG1800" s="2" t="str">
        <f>"022651319X"</f>
        <v>022651319X</v>
      </c>
      <c r="AH1800" s="2" t="str">
        <f>"9780226513195"</f>
        <v>9780226513195</v>
      </c>
      <c r="AI1800" s="1">
        <v>0.0</v>
      </c>
      <c r="AJ1800" s="1">
        <v>2.8</v>
      </c>
      <c r="AK1800" s="1" t="s">
        <v>224</v>
      </c>
      <c r="AL1800" s="1" t="s">
        <v>28</v>
      </c>
      <c r="AM1800" s="1">
        <v>224.0</v>
      </c>
      <c r="AN1800" s="1">
        <v>2018.0</v>
      </c>
      <c r="AQ1800" s="4">
        <v>44192.0</v>
      </c>
      <c r="AR1800" s="1" t="s">
        <v>31</v>
      </c>
      <c r="AS1800" s="1" t="s">
        <v>7875</v>
      </c>
      <c r="AT1800" s="1" t="s">
        <v>31</v>
      </c>
      <c r="AX1800" s="1">
        <v>0.0</v>
      </c>
      <c r="AY1800" s="1">
        <v>0.0</v>
      </c>
    </row>
    <row r="1801" spans="20:51" ht="15.75" hidden="1">
      <c r="T1801" s="1">
        <v>1.7802165E7</v>
      </c>
      <c r="U1801" s="1"/>
      <c r="V1801" s="1"/>
      <c r="W1801" s="1"/>
      <c r="X1801" s="1"/>
      <c r="Y1801" s="1" t="s">
        <v>7876</v>
      </c>
      <c r="Z1801" s="1" t="s">
        <v>7877</v>
      </c>
      <c r="AA1801" s="1" t="s">
        <v>7878</v>
      </c>
      <c r="AB1801" s="1"/>
      <c r="AC1801" s="1"/>
      <c r="AD1801" s="1"/>
      <c r="AE1801" s="1"/>
      <c r="AG1801" s="2" t="str">
        <f>"082235568X"</f>
        <v>082235568X</v>
      </c>
      <c r="AH1801" s="2" t="str">
        <f>"9780822355687"</f>
        <v>9780822355687</v>
      </c>
      <c r="AI1801" s="1">
        <v>0.0</v>
      </c>
      <c r="AJ1801" s="1">
        <v>3.04</v>
      </c>
      <c r="AK1801" s="1" t="s">
        <v>896</v>
      </c>
      <c r="AL1801" s="1" t="s">
        <v>28</v>
      </c>
      <c r="AM1801" s="1">
        <v>232.0</v>
      </c>
      <c r="AN1801" s="1">
        <v>2013.0</v>
      </c>
      <c r="AO1801" s="1">
        <v>2013.0</v>
      </c>
      <c r="AQ1801" s="4">
        <v>44192.0</v>
      </c>
      <c r="AR1801" s="1" t="s">
        <v>31</v>
      </c>
      <c r="AS1801" s="1" t="s">
        <v>7879</v>
      </c>
      <c r="AT1801" s="1" t="s">
        <v>31</v>
      </c>
      <c r="AX1801" s="1">
        <v>0.0</v>
      </c>
      <c r="AY1801" s="1">
        <v>0.0</v>
      </c>
    </row>
    <row r="1802" spans="20:51" ht="15.75" hidden="1">
      <c r="T1802" s="1">
        <v>4.081656E7</v>
      </c>
      <c r="U1802" s="1"/>
      <c r="V1802" s="1"/>
      <c r="W1802" s="1"/>
      <c r="X1802" s="1"/>
      <c r="Y1802" s="1" t="s">
        <v>7880</v>
      </c>
      <c r="Z1802" s="1" t="s">
        <v>7877</v>
      </c>
      <c r="AA1802" s="1" t="s">
        <v>7878</v>
      </c>
      <c r="AB1802" s="1"/>
      <c r="AC1802" s="1"/>
      <c r="AD1802" s="1"/>
      <c r="AE1802" s="1"/>
      <c r="AG1802" s="2" t="str">
        <f>"022660795X"</f>
        <v>022660795X</v>
      </c>
      <c r="AH1802" s="2" t="str">
        <f>"9780226607955"</f>
        <v>9780226607955</v>
      </c>
      <c r="AI1802" s="1">
        <v>0.0</v>
      </c>
      <c r="AJ1802" s="1">
        <v>3.43</v>
      </c>
      <c r="AK1802" s="1" t="s">
        <v>224</v>
      </c>
      <c r="AL1802" s="1" t="s">
        <v>28</v>
      </c>
      <c r="AM1802" s="1">
        <v>256.0</v>
      </c>
      <c r="AN1802" s="1">
        <v>2019.0</v>
      </c>
      <c r="AQ1802" s="4">
        <v>44192.0</v>
      </c>
      <c r="AR1802" s="1" t="s">
        <v>31</v>
      </c>
      <c r="AS1802" s="1" t="s">
        <v>7881</v>
      </c>
      <c r="AT1802" s="1" t="s">
        <v>31</v>
      </c>
      <c r="AX1802" s="1">
        <v>0.0</v>
      </c>
      <c r="AY1802" s="1">
        <v>0.0</v>
      </c>
    </row>
    <row r="1803" spans="20:51" ht="15.75" hidden="1">
      <c r="T1803" s="1">
        <v>3.1939307E7</v>
      </c>
      <c r="U1803" s="1"/>
      <c r="V1803" s="1"/>
      <c r="W1803" s="1"/>
      <c r="X1803" s="1"/>
      <c r="Y1803" s="1" t="s">
        <v>7882</v>
      </c>
      <c r="Z1803" s="1" t="s">
        <v>7883</v>
      </c>
      <c r="AA1803" s="1" t="s">
        <v>7884</v>
      </c>
      <c r="AB1803" s="1"/>
      <c r="AC1803" s="1"/>
      <c r="AD1803" s="1"/>
      <c r="AE1803" s="1"/>
      <c r="AG1803" s="2" t="str">
        <f>"022645780X"</f>
        <v>022645780X</v>
      </c>
      <c r="AH1803" s="2" t="str">
        <f>"9780226457802"</f>
        <v>9780226457802</v>
      </c>
      <c r="AI1803" s="1">
        <v>0.0</v>
      </c>
      <c r="AJ1803" s="1">
        <v>3.95</v>
      </c>
      <c r="AK1803" s="1" t="s">
        <v>224</v>
      </c>
      <c r="AL1803" s="1" t="s">
        <v>28</v>
      </c>
      <c r="AM1803" s="1">
        <v>224.0</v>
      </c>
      <c r="AN1803" s="1">
        <v>2017.0</v>
      </c>
      <c r="AO1803" s="1">
        <v>2017.0</v>
      </c>
      <c r="AQ1803" s="4">
        <v>44192.0</v>
      </c>
      <c r="AR1803" s="1" t="s">
        <v>31</v>
      </c>
      <c r="AS1803" s="1" t="s">
        <v>7885</v>
      </c>
      <c r="AT1803" s="1" t="s">
        <v>31</v>
      </c>
      <c r="AX1803" s="1">
        <v>0.0</v>
      </c>
      <c r="AY1803" s="1">
        <v>0.0</v>
      </c>
    </row>
    <row r="1804" spans="20:51" ht="15.75" hidden="1">
      <c r="T1804" s="1">
        <v>3.910536E7</v>
      </c>
      <c r="U1804" s="1"/>
      <c r="V1804" s="1"/>
      <c r="W1804" s="1"/>
      <c r="X1804" s="1"/>
      <c r="Y1804" s="1" t="s">
        <v>7886</v>
      </c>
      <c r="Z1804" s="1" t="s">
        <v>781</v>
      </c>
      <c r="AA1804" s="1" t="s">
        <v>782</v>
      </c>
      <c r="AB1804" s="1"/>
      <c r="AC1804" s="1"/>
      <c r="AD1804" s="1"/>
      <c r="AE1804" s="1"/>
      <c r="AG1804" s="2" t="str">
        <f>"022657976X"</f>
        <v>022657976X</v>
      </c>
      <c r="AH1804" s="2" t="str">
        <f>"9780226579764"</f>
        <v>9780226579764</v>
      </c>
      <c r="AI1804" s="1">
        <v>0.0</v>
      </c>
      <c r="AJ1804" s="1">
        <v>3.79</v>
      </c>
      <c r="AK1804" s="1" t="s">
        <v>224</v>
      </c>
      <c r="AL1804" s="1" t="s">
        <v>28</v>
      </c>
      <c r="AM1804" s="1">
        <v>144.0</v>
      </c>
      <c r="AN1804" s="1">
        <v>2018.0</v>
      </c>
      <c r="AQ1804" s="4">
        <v>44192.0</v>
      </c>
      <c r="AR1804" s="1" t="s">
        <v>31</v>
      </c>
      <c r="AS1804" s="1" t="s">
        <v>7887</v>
      </c>
      <c r="AT1804" s="1" t="s">
        <v>31</v>
      </c>
      <c r="AX1804" s="1">
        <v>0.0</v>
      </c>
      <c r="AY1804" s="1">
        <v>0.0</v>
      </c>
    </row>
    <row r="1805" spans="20:51" ht="15.75" hidden="1">
      <c r="T1805" s="1">
        <v>156185.0</v>
      </c>
      <c r="U1805" s="1"/>
      <c r="V1805" s="1"/>
      <c r="W1805" s="1"/>
      <c r="X1805" s="1"/>
      <c r="Y1805" s="1" t="s">
        <v>7888</v>
      </c>
      <c r="Z1805" s="1" t="s">
        <v>5252</v>
      </c>
      <c r="AA1805" s="1" t="s">
        <v>5253</v>
      </c>
      <c r="AB1805" s="1"/>
      <c r="AC1805" s="1"/>
      <c r="AD1805" s="1"/>
      <c r="AE1805" s="1"/>
      <c r="AG1805" s="2" t="str">
        <f>"0879232374"</f>
        <v>0879232374</v>
      </c>
      <c r="AH1805" s="2" t="str">
        <f>"9780879232375"</f>
        <v>9780879232375</v>
      </c>
      <c r="AI1805" s="1">
        <v>0.0</v>
      </c>
      <c r="AJ1805" s="1">
        <v>3.87</v>
      </c>
      <c r="AK1805" s="1" t="s">
        <v>7889</v>
      </c>
      <c r="AL1805" s="1" t="s">
        <v>28</v>
      </c>
      <c r="AM1805" s="1">
        <v>91.0</v>
      </c>
      <c r="AN1805" s="1">
        <v>1991.0</v>
      </c>
      <c r="AO1805" s="1">
        <v>1975.0</v>
      </c>
      <c r="AQ1805" s="4">
        <v>44192.0</v>
      </c>
      <c r="AR1805" s="1" t="s">
        <v>31</v>
      </c>
      <c r="AS1805" s="1" t="s">
        <v>7890</v>
      </c>
      <c r="AT1805" s="1" t="s">
        <v>31</v>
      </c>
      <c r="AX1805" s="1">
        <v>0.0</v>
      </c>
      <c r="AY1805" s="1">
        <v>0.0</v>
      </c>
    </row>
    <row r="1806" spans="20:51" ht="15.75" hidden="1">
      <c r="T1806" s="1">
        <v>1.8528045E7</v>
      </c>
      <c r="U1806" s="1"/>
      <c r="V1806" s="1"/>
      <c r="W1806" s="1"/>
      <c r="X1806" s="1"/>
      <c r="Y1806" s="1" t="s">
        <v>7891</v>
      </c>
      <c r="Z1806" s="1" t="s">
        <v>7892</v>
      </c>
      <c r="AA1806" s="1" t="s">
        <v>7893</v>
      </c>
      <c r="AB1806" s="1"/>
      <c r="AC1806" s="1"/>
      <c r="AD1806" s="1"/>
      <c r="AE1806" s="1"/>
      <c r="AF1806" s="1" t="s">
        <v>7894</v>
      </c>
      <c r="AG1806" s="2" t="str">
        <f>"160846363X"</f>
        <v>160846363X</v>
      </c>
      <c r="AH1806" s="2" t="str">
        <f>"9781608463633"</f>
        <v>9781608463633</v>
      </c>
      <c r="AI1806" s="1">
        <v>0.0</v>
      </c>
      <c r="AJ1806" s="1">
        <v>4.05</v>
      </c>
      <c r="AK1806" s="1" t="s">
        <v>2218</v>
      </c>
      <c r="AL1806" s="1" t="s">
        <v>28</v>
      </c>
      <c r="AM1806" s="1">
        <v>168.0</v>
      </c>
      <c r="AN1806" s="1">
        <v>2014.0</v>
      </c>
      <c r="AO1806" s="1">
        <v>2003.0</v>
      </c>
      <c r="AQ1806" s="4">
        <v>44190.0</v>
      </c>
      <c r="AR1806" s="1" t="s">
        <v>31</v>
      </c>
      <c r="AS1806" s="1" t="s">
        <v>7895</v>
      </c>
      <c r="AT1806" s="1" t="s">
        <v>31</v>
      </c>
      <c r="AX1806" s="1">
        <v>0.0</v>
      </c>
      <c r="AY1806" s="1">
        <v>0.0</v>
      </c>
    </row>
    <row r="1807" spans="20:51" ht="15.75" hidden="1">
      <c r="T1807" s="1">
        <v>137424.0</v>
      </c>
      <c r="U1807" s="1"/>
      <c r="V1807" s="1"/>
      <c r="W1807" s="1"/>
      <c r="X1807" s="1"/>
      <c r="Y1807" s="1" t="s">
        <v>7896</v>
      </c>
      <c r="Z1807" s="1" t="s">
        <v>7897</v>
      </c>
      <c r="AA1807" s="1" t="s">
        <v>7898</v>
      </c>
      <c r="AB1807" s="1"/>
      <c r="AC1807" s="1"/>
      <c r="AD1807" s="1"/>
      <c r="AE1807" s="1"/>
      <c r="AF1807" s="1" t="s">
        <v>7899</v>
      </c>
      <c r="AG1807" s="2" t="str">
        <f>"0745321003"</f>
        <v>0745321003</v>
      </c>
      <c r="AH1807" s="2" t="str">
        <f>"9780745321004"</f>
        <v>9780745321004</v>
      </c>
      <c r="AI1807" s="1">
        <v>0.0</v>
      </c>
      <c r="AJ1807" s="1">
        <v>4.36</v>
      </c>
      <c r="AK1807" s="1" t="s">
        <v>842</v>
      </c>
      <c r="AL1807" s="1" t="s">
        <v>28</v>
      </c>
      <c r="AM1807" s="1">
        <v>472.0</v>
      </c>
      <c r="AN1807" s="1">
        <v>2003.0</v>
      </c>
      <c r="AO1807" s="1">
        <v>1971.0</v>
      </c>
      <c r="AQ1807" s="4">
        <v>44190.0</v>
      </c>
      <c r="AR1807" s="1" t="s">
        <v>31</v>
      </c>
      <c r="AS1807" s="1" t="s">
        <v>7900</v>
      </c>
      <c r="AT1807" s="1" t="s">
        <v>31</v>
      </c>
      <c r="AX1807" s="1">
        <v>0.0</v>
      </c>
      <c r="AY1807" s="1">
        <v>0.0</v>
      </c>
    </row>
    <row r="1808" spans="20:51" ht="15.75" hidden="1">
      <c r="T1808" s="1">
        <v>2.9633761E7</v>
      </c>
      <c r="U1808" s="1"/>
      <c r="V1808" s="1"/>
      <c r="W1808" s="1"/>
      <c r="X1808" s="1"/>
      <c r="Y1808" s="1" t="s">
        <v>7901</v>
      </c>
      <c r="Z1808" s="1" t="s">
        <v>7902</v>
      </c>
      <c r="AA1808" s="1" t="s">
        <v>7903</v>
      </c>
      <c r="AB1808" s="1"/>
      <c r="AC1808" s="1"/>
      <c r="AD1808" s="1"/>
      <c r="AE1808" s="1"/>
      <c r="AG1808" s="2" t="str">
        <f>"1608466825"</f>
        <v>1608466825</v>
      </c>
      <c r="AH1808" s="2" t="str">
        <f>"9781608466825"</f>
        <v>9781608466825</v>
      </c>
      <c r="AI1808" s="1">
        <v>0.0</v>
      </c>
      <c r="AJ1808" s="1">
        <v>3.83</v>
      </c>
      <c r="AK1808" s="1" t="s">
        <v>2218</v>
      </c>
      <c r="AL1808" s="1" t="s">
        <v>28</v>
      </c>
      <c r="AM1808" s="1">
        <v>400.0</v>
      </c>
      <c r="AN1808" s="1">
        <v>2017.0</v>
      </c>
      <c r="AQ1808" s="4">
        <v>44190.0</v>
      </c>
      <c r="AR1808" s="1" t="s">
        <v>31</v>
      </c>
      <c r="AS1808" s="1" t="s">
        <v>7904</v>
      </c>
      <c r="AT1808" s="1" t="s">
        <v>31</v>
      </c>
      <c r="AX1808" s="1">
        <v>0.0</v>
      </c>
      <c r="AY1808" s="1">
        <v>0.0</v>
      </c>
    </row>
    <row r="1809" spans="20:51" ht="15.75" hidden="1">
      <c r="T1809" s="1">
        <v>3.1545354E7</v>
      </c>
      <c r="U1809" s="1"/>
      <c r="V1809" s="1"/>
      <c r="W1809" s="1"/>
      <c r="X1809" s="1"/>
      <c r="Y1809" s="1" t="s">
        <v>7905</v>
      </c>
      <c r="Z1809" s="1" t="s">
        <v>7906</v>
      </c>
      <c r="AA1809" s="1" t="s">
        <v>7907</v>
      </c>
      <c r="AB1809" s="1"/>
      <c r="AC1809" s="1"/>
      <c r="AD1809" s="1"/>
      <c r="AE1809" s="1"/>
      <c r="AF1809" s="1" t="s">
        <v>7908</v>
      </c>
      <c r="AG1809" s="2" t="str">
        <f>"1681370786"</f>
        <v>1681370786</v>
      </c>
      <c r="AH1809" s="2" t="str">
        <f>"9781681370781"</f>
        <v>9781681370781</v>
      </c>
      <c r="AI1809" s="1">
        <v>0.0</v>
      </c>
      <c r="AJ1809" s="1">
        <v>3.81</v>
      </c>
      <c r="AK1809" s="1" t="s">
        <v>671</v>
      </c>
      <c r="AL1809" s="1" t="s">
        <v>28</v>
      </c>
      <c r="AM1809" s="1">
        <v>324.0</v>
      </c>
      <c r="AN1809" s="1">
        <v>2017.0</v>
      </c>
      <c r="AO1809" s="1">
        <v>1976.0</v>
      </c>
      <c r="AQ1809" s="4">
        <v>44181.0</v>
      </c>
      <c r="AR1809" s="1" t="s">
        <v>31</v>
      </c>
      <c r="AS1809" s="1" t="s">
        <v>7909</v>
      </c>
      <c r="AT1809" s="1" t="s">
        <v>31</v>
      </c>
      <c r="AX1809" s="1">
        <v>0.0</v>
      </c>
      <c r="AY1809" s="1">
        <v>0.0</v>
      </c>
    </row>
    <row r="1810" spans="20:51" ht="15.75" hidden="1">
      <c r="T1810" s="1">
        <v>9706031.0</v>
      </c>
      <c r="U1810" s="1"/>
      <c r="V1810" s="1"/>
      <c r="W1810" s="1"/>
      <c r="X1810" s="1"/>
      <c r="Y1810" s="1" t="s">
        <v>7910</v>
      </c>
      <c r="Z1810" s="1" t="s">
        <v>7906</v>
      </c>
      <c r="AA1810" s="1" t="s">
        <v>7907</v>
      </c>
      <c r="AB1810" s="1"/>
      <c r="AC1810" s="1"/>
      <c r="AD1810" s="1"/>
      <c r="AE1810" s="1"/>
      <c r="AG1810" s="2" t="str">
        <f>"8845906337"</f>
        <v>8845906337</v>
      </c>
      <c r="AH1810" s="2" t="str">
        <f>"9788845906336"</f>
        <v>9788845906336</v>
      </c>
      <c r="AI1810" s="1">
        <v>0.0</v>
      </c>
      <c r="AJ1810" s="1">
        <v>3.83</v>
      </c>
      <c r="AK1810" s="1" t="s">
        <v>7911</v>
      </c>
      <c r="AL1810" s="1" t="s">
        <v>28</v>
      </c>
      <c r="AM1810" s="1">
        <v>154.0</v>
      </c>
      <c r="AN1810" s="1">
        <v>1985.0</v>
      </c>
      <c r="AO1810" s="1">
        <v>1977.0</v>
      </c>
      <c r="AQ1810" s="4">
        <v>44181.0</v>
      </c>
      <c r="AR1810" s="1" t="s">
        <v>31</v>
      </c>
      <c r="AS1810" s="1" t="s">
        <v>7912</v>
      </c>
      <c r="AT1810" s="1" t="s">
        <v>31</v>
      </c>
      <c r="AX1810" s="1">
        <v>0.0</v>
      </c>
      <c r="AY1810" s="1">
        <v>0.0</v>
      </c>
    </row>
    <row r="1811" spans="20:51" ht="15.75" hidden="1">
      <c r="T1811" s="1">
        <v>5.2753017E7</v>
      </c>
      <c r="U1811" s="1"/>
      <c r="V1811" s="1"/>
      <c r="W1811" s="1"/>
      <c r="X1811" s="1"/>
      <c r="Y1811" s="1" t="s">
        <v>7913</v>
      </c>
      <c r="Z1811" s="1" t="s">
        <v>7737</v>
      </c>
      <c r="AA1811" s="1" t="s">
        <v>7738</v>
      </c>
      <c r="AB1811" s="1"/>
      <c r="AC1811" s="1"/>
      <c r="AD1811" s="1"/>
      <c r="AE1811" s="1"/>
      <c r="AG1811" s="2" t="str">
        <f>"1913097013"</f>
        <v>1913097013</v>
      </c>
      <c r="AH1811" s="2" t="str">
        <f>"9781913097011"</f>
        <v>9781913097011</v>
      </c>
      <c r="AI1811" s="1">
        <v>0.0</v>
      </c>
      <c r="AJ1811" s="1">
        <v>3.92</v>
      </c>
      <c r="AK1811" s="1" t="s">
        <v>138</v>
      </c>
      <c r="AL1811" s="1" t="s">
        <v>28</v>
      </c>
      <c r="AM1811" s="1">
        <v>192.0</v>
      </c>
      <c r="AN1811" s="1">
        <v>2020.0</v>
      </c>
      <c r="AO1811" s="1">
        <v>2020.0</v>
      </c>
      <c r="AQ1811" s="4">
        <v>44181.0</v>
      </c>
      <c r="AR1811" s="1" t="s">
        <v>31</v>
      </c>
      <c r="AS1811" s="1" t="s">
        <v>7914</v>
      </c>
      <c r="AT1811" s="1" t="s">
        <v>31</v>
      </c>
      <c r="AX1811" s="1">
        <v>0.0</v>
      </c>
      <c r="AY1811" s="1">
        <v>0.0</v>
      </c>
    </row>
    <row r="1812" spans="20:51" ht="15.75" hidden="1">
      <c r="T1812" s="1">
        <v>5.3010183E7</v>
      </c>
      <c r="U1812" s="1"/>
      <c r="V1812" s="1"/>
      <c r="W1812" s="1"/>
      <c r="X1812" s="1"/>
      <c r="Y1812" s="1" t="s">
        <v>7915</v>
      </c>
      <c r="Z1812" s="1" t="s">
        <v>7916</v>
      </c>
      <c r="AA1812" s="1" t="s">
        <v>7917</v>
      </c>
      <c r="AB1812" s="1"/>
      <c r="AC1812" s="1"/>
      <c r="AD1812" s="1"/>
      <c r="AE1812" s="1"/>
      <c r="AG1812" s="2" t="str">
        <f t="shared" si="151" ref="AG1812:AH1812">""</f>
        <v/>
      </c>
      <c r="AH1812" s="2" t="str">
        <f t="shared" si="151"/>
        <v/>
      </c>
      <c r="AI1812" s="1">
        <v>0.0</v>
      </c>
      <c r="AJ1812" s="1">
        <v>3.24</v>
      </c>
      <c r="AK1812" s="1" t="s">
        <v>4008</v>
      </c>
      <c r="AL1812" s="1" t="s">
        <v>28</v>
      </c>
      <c r="AM1812" s="1">
        <v>256.0</v>
      </c>
      <c r="AN1812" s="1">
        <v>2020.0</v>
      </c>
      <c r="AO1812" s="1">
        <v>2020.0</v>
      </c>
      <c r="AQ1812" s="4">
        <v>44181.0</v>
      </c>
      <c r="AR1812" s="1" t="s">
        <v>31</v>
      </c>
      <c r="AS1812" s="1" t="s">
        <v>7918</v>
      </c>
      <c r="AT1812" s="1" t="s">
        <v>31</v>
      </c>
      <c r="AX1812" s="1">
        <v>0.0</v>
      </c>
      <c r="AY1812" s="1">
        <v>0.0</v>
      </c>
    </row>
    <row r="1813" spans="20:51" ht="15.75" hidden="1">
      <c r="T1813" s="1">
        <v>4.3261017E7</v>
      </c>
      <c r="U1813" s="1"/>
      <c r="V1813" s="1"/>
      <c r="W1813" s="1"/>
      <c r="X1813" s="1"/>
      <c r="Y1813" s="1" t="s">
        <v>7919</v>
      </c>
      <c r="Z1813" s="1" t="s">
        <v>7920</v>
      </c>
      <c r="AA1813" s="1" t="s">
        <v>7921</v>
      </c>
      <c r="AB1813" s="1"/>
      <c r="AC1813" s="1"/>
      <c r="AD1813" s="1"/>
      <c r="AE1813" s="1"/>
      <c r="AG1813" s="2" t="str">
        <f>"1328465802"</f>
        <v>1328465802</v>
      </c>
      <c r="AH1813" s="2" t="str">
        <f>"9781328465801"</f>
        <v>9781328465801</v>
      </c>
      <c r="AI1813" s="1">
        <v>3.0</v>
      </c>
      <c r="AJ1813" s="1">
        <v>3.89</v>
      </c>
      <c r="AK1813" s="1" t="s">
        <v>3091</v>
      </c>
      <c r="AL1813" s="1" t="s">
        <v>28</v>
      </c>
      <c r="AM1813" s="1">
        <v>256.0</v>
      </c>
      <c r="AN1813" s="1">
        <v>2019.0</v>
      </c>
      <c r="AO1813" s="1">
        <v>2019.0</v>
      </c>
      <c r="AP1813" s="4">
        <v>44175.0</v>
      </c>
      <c r="AQ1813" s="3">
        <v>43919.0</v>
      </c>
      <c r="AT1813" s="1" t="s">
        <v>127</v>
      </c>
      <c r="AX1813" s="1">
        <v>1.0</v>
      </c>
      <c r="AY1813" s="1">
        <v>0.0</v>
      </c>
    </row>
    <row r="1814" spans="20:51" ht="15.75" hidden="1">
      <c r="T1814" s="1">
        <v>10505.0</v>
      </c>
      <c r="U1814" s="1"/>
      <c r="V1814" s="1"/>
      <c r="W1814" s="1"/>
      <c r="X1814" s="1"/>
      <c r="Y1814" s="1" t="s">
        <v>7922</v>
      </c>
      <c r="Z1814" s="1" t="s">
        <v>3049</v>
      </c>
      <c r="AA1814" s="1" t="s">
        <v>3050</v>
      </c>
      <c r="AB1814" s="1"/>
      <c r="AC1814" s="1"/>
      <c r="AD1814" s="1"/>
      <c r="AE1814" s="1"/>
      <c r="AF1814" s="1" t="s">
        <v>3090</v>
      </c>
      <c r="AG1814" s="2" t="str">
        <f>"0847826465"</f>
        <v>0847826465</v>
      </c>
      <c r="AH1814" s="2" t="str">
        <f>"9780847826469"</f>
        <v>9780847826469</v>
      </c>
      <c r="AI1814" s="1">
        <v>0.0</v>
      </c>
      <c r="AJ1814" s="1">
        <v>3.83</v>
      </c>
      <c r="AK1814" s="1" t="s">
        <v>5090</v>
      </c>
      <c r="AL1814" s="1" t="s">
        <v>28</v>
      </c>
      <c r="AM1814" s="1">
        <v>438.0</v>
      </c>
      <c r="AN1814" s="1">
        <v>2004.0</v>
      </c>
      <c r="AO1814" s="1">
        <v>2004.0</v>
      </c>
      <c r="AQ1814" s="3">
        <v>44168.0</v>
      </c>
      <c r="AR1814" s="1" t="s">
        <v>31</v>
      </c>
      <c r="AS1814" s="1" t="s">
        <v>7923</v>
      </c>
      <c r="AT1814" s="1" t="s">
        <v>31</v>
      </c>
      <c r="AX1814" s="1">
        <v>0.0</v>
      </c>
      <c r="AY1814" s="1">
        <v>0.0</v>
      </c>
    </row>
    <row r="1815" spans="20:51" ht="15.75" hidden="1">
      <c r="T1815" s="1">
        <v>10508.0</v>
      </c>
      <c r="U1815" s="1"/>
      <c r="V1815" s="1"/>
      <c r="W1815" s="1"/>
      <c r="X1815" s="1"/>
      <c r="Y1815" s="1" t="s">
        <v>7924</v>
      </c>
      <c r="Z1815" s="1" t="s">
        <v>3049</v>
      </c>
      <c r="AA1815" s="1" t="s">
        <v>3050</v>
      </c>
      <c r="AB1815" s="1"/>
      <c r="AC1815" s="1"/>
      <c r="AD1815" s="1"/>
      <c r="AE1815" s="1"/>
      <c r="AF1815" s="1" t="s">
        <v>7925</v>
      </c>
      <c r="AG1815" s="2" t="str">
        <f>"0156032392"</f>
        <v>0156032392</v>
      </c>
      <c r="AH1815" s="2" t="str">
        <f>"9780156032391"</f>
        <v>9780156032391</v>
      </c>
      <c r="AI1815" s="1">
        <v>0.0</v>
      </c>
      <c r="AJ1815" s="1">
        <v>3.96</v>
      </c>
      <c r="AK1815" s="1" t="s">
        <v>7926</v>
      </c>
      <c r="AL1815" s="1" t="s">
        <v>28</v>
      </c>
      <c r="AM1815" s="1">
        <v>352.0</v>
      </c>
      <c r="AN1815" s="1">
        <v>2005.0</v>
      </c>
      <c r="AO1815" s="1">
        <v>2002.0</v>
      </c>
      <c r="AQ1815" s="3">
        <v>44168.0</v>
      </c>
      <c r="AR1815" s="1" t="s">
        <v>31</v>
      </c>
      <c r="AS1815" s="1" t="s">
        <v>7927</v>
      </c>
      <c r="AT1815" s="1" t="s">
        <v>31</v>
      </c>
      <c r="AX1815" s="1">
        <v>0.0</v>
      </c>
      <c r="AY1815" s="1">
        <v>0.0</v>
      </c>
    </row>
    <row r="1816" spans="20:51" ht="15.75" hidden="1">
      <c r="T1816" s="1">
        <v>93405.0</v>
      </c>
      <c r="U1816" s="1"/>
      <c r="V1816" s="1"/>
      <c r="W1816" s="1"/>
      <c r="X1816" s="1"/>
      <c r="Y1816" s="1" t="s">
        <v>7928</v>
      </c>
      <c r="Z1816" s="1" t="s">
        <v>4055</v>
      </c>
      <c r="AA1816" s="1" t="s">
        <v>4056</v>
      </c>
      <c r="AB1816" s="1"/>
      <c r="AC1816" s="1"/>
      <c r="AD1816" s="1"/>
      <c r="AE1816" s="1"/>
      <c r="AF1816" s="1" t="s">
        <v>7929</v>
      </c>
      <c r="AG1816" s="2" t="str">
        <f>"0393308812"</f>
        <v>0393308812</v>
      </c>
      <c r="AH1816" s="2" t="str">
        <f>"9780393308815"</f>
        <v>9780393308815</v>
      </c>
      <c r="AI1816" s="1">
        <v>0.0</v>
      </c>
      <c r="AJ1816" s="1">
        <v>3.96</v>
      </c>
      <c r="AK1816" s="1" t="s">
        <v>2254</v>
      </c>
      <c r="AL1816" s="1" t="s">
        <v>28</v>
      </c>
      <c r="AM1816" s="1">
        <v>237.0</v>
      </c>
      <c r="AN1816" s="1">
        <v>1992.0</v>
      </c>
      <c r="AO1816" s="1">
        <v>1910.0</v>
      </c>
      <c r="AQ1816" s="3">
        <v>44168.0</v>
      </c>
      <c r="AR1816" s="1" t="s">
        <v>31</v>
      </c>
      <c r="AS1816" s="1" t="s">
        <v>7930</v>
      </c>
      <c r="AT1816" s="1" t="s">
        <v>31</v>
      </c>
      <c r="AX1816" s="1">
        <v>0.0</v>
      </c>
      <c r="AY1816" s="1">
        <v>0.0</v>
      </c>
    </row>
    <row r="1817" spans="20:51" ht="15.75" hidden="1">
      <c r="T1817" s="1">
        <v>458386.0</v>
      </c>
      <c r="U1817" s="1"/>
      <c r="V1817" s="1"/>
      <c r="W1817" s="1"/>
      <c r="X1817" s="1"/>
      <c r="Y1817" s="1" t="s">
        <v>7931</v>
      </c>
      <c r="Z1817" s="1" t="s">
        <v>7932</v>
      </c>
      <c r="AA1817" s="1" t="s">
        <v>7933</v>
      </c>
      <c r="AB1817" s="1"/>
      <c r="AC1817" s="1"/>
      <c r="AD1817" s="1"/>
      <c r="AE1817" s="1"/>
      <c r="AG1817" s="2" t="str">
        <f>"8466717099"</f>
        <v>8466717099</v>
      </c>
      <c r="AH1817" s="2" t="str">
        <f>"9788466717090"</f>
        <v>9788466717090</v>
      </c>
      <c r="AI1817" s="1">
        <v>0.0</v>
      </c>
      <c r="AJ1817" s="1">
        <v>4.04</v>
      </c>
      <c r="AK1817" s="1" t="s">
        <v>7934</v>
      </c>
      <c r="AL1817" s="1" t="s">
        <v>28</v>
      </c>
      <c r="AM1817" s="1">
        <v>80.0</v>
      </c>
      <c r="AN1817" s="1">
        <v>2003.0</v>
      </c>
      <c r="AO1817" s="1">
        <v>2003.0</v>
      </c>
      <c r="AQ1817" s="3">
        <v>44167.0</v>
      </c>
      <c r="AR1817" s="1" t="s">
        <v>31</v>
      </c>
      <c r="AS1817" s="1" t="s">
        <v>7935</v>
      </c>
      <c r="AT1817" s="1" t="s">
        <v>31</v>
      </c>
      <c r="AX1817" s="1">
        <v>0.0</v>
      </c>
      <c r="AY1817" s="1">
        <v>0.0</v>
      </c>
    </row>
    <row r="1818" spans="20:51" ht="15.75" hidden="1">
      <c r="T1818" s="1">
        <v>4.5492241E7</v>
      </c>
      <c r="U1818" s="1"/>
      <c r="V1818" s="1"/>
      <c r="W1818" s="1"/>
      <c r="X1818" s="1"/>
      <c r="Y1818" s="1" t="s">
        <v>7936</v>
      </c>
      <c r="Z1818" s="1" t="s">
        <v>7937</v>
      </c>
      <c r="AA1818" s="1" t="s">
        <v>7938</v>
      </c>
      <c r="AB1818" s="1"/>
      <c r="AC1818" s="1"/>
      <c r="AD1818" s="1"/>
      <c r="AE1818" s="1"/>
      <c r="AF1818" s="1" t="s">
        <v>7939</v>
      </c>
      <c r="AG1818" s="2" t="str">
        <f>"8491991506"</f>
        <v>8491991506</v>
      </c>
      <c r="AH1818" s="2" t="str">
        <f>"9788491991502"</f>
        <v>9788491991502</v>
      </c>
      <c r="AI1818" s="1">
        <v>0.0</v>
      </c>
      <c r="AJ1818" s="1">
        <v>4.23</v>
      </c>
      <c r="AK1818" s="1" t="s">
        <v>7940</v>
      </c>
      <c r="AL1818" s="1" t="s">
        <v>59</v>
      </c>
      <c r="AM1818" s="1">
        <v>434.0</v>
      </c>
      <c r="AN1818" s="1">
        <v>2019.0</v>
      </c>
      <c r="AO1818" s="1">
        <v>2019.0</v>
      </c>
      <c r="AQ1818" s="3">
        <v>44167.0</v>
      </c>
      <c r="AR1818" s="1" t="s">
        <v>31</v>
      </c>
      <c r="AS1818" s="1" t="s">
        <v>7941</v>
      </c>
      <c r="AT1818" s="1" t="s">
        <v>31</v>
      </c>
      <c r="AX1818" s="1">
        <v>0.0</v>
      </c>
      <c r="AY1818" s="1">
        <v>0.0</v>
      </c>
    </row>
    <row r="1819" spans="20:51" ht="15.75" hidden="1">
      <c r="T1819" s="1">
        <v>2004951.0</v>
      </c>
      <c r="U1819" s="1"/>
      <c r="V1819" s="1"/>
      <c r="W1819" s="1"/>
      <c r="X1819" s="1"/>
      <c r="Y1819" s="1" t="s">
        <v>7942</v>
      </c>
      <c r="Z1819" s="1" t="s">
        <v>7932</v>
      </c>
      <c r="AA1819" s="1" t="s">
        <v>7933</v>
      </c>
      <c r="AB1819" s="1"/>
      <c r="AC1819" s="1"/>
      <c r="AD1819" s="1"/>
      <c r="AE1819" s="1"/>
      <c r="AG1819" s="2" t="str">
        <f>"9509314757"</f>
        <v>9509314757</v>
      </c>
      <c r="AH1819" s="2" t="str">
        <f>"9789509314757"</f>
        <v>9789509314757</v>
      </c>
      <c r="AI1819" s="1">
        <v>0.0</v>
      </c>
      <c r="AJ1819" s="1">
        <v>4.09</v>
      </c>
      <c r="AK1819" s="1" t="s">
        <v>7943</v>
      </c>
      <c r="AM1819" s="1">
        <v>129.0</v>
      </c>
      <c r="AN1819" s="1">
        <v>1992.0</v>
      </c>
      <c r="AO1819" s="1">
        <v>1992.0</v>
      </c>
      <c r="AQ1819" s="3">
        <v>44166.0</v>
      </c>
      <c r="AR1819" s="1" t="s">
        <v>31</v>
      </c>
      <c r="AS1819" s="1" t="s">
        <v>7944</v>
      </c>
      <c r="AT1819" s="1" t="s">
        <v>31</v>
      </c>
      <c r="AX1819" s="1">
        <v>0.0</v>
      </c>
      <c r="AY1819" s="1">
        <v>0.0</v>
      </c>
    </row>
    <row r="1820" spans="20:51" ht="15.75" hidden="1">
      <c r="T1820" s="1">
        <v>74073.0</v>
      </c>
      <c r="U1820" s="1"/>
      <c r="V1820" s="1"/>
      <c r="W1820" s="1"/>
      <c r="X1820" s="1"/>
      <c r="Y1820" s="1" t="s">
        <v>7945</v>
      </c>
      <c r="Z1820" s="1" t="s">
        <v>7946</v>
      </c>
      <c r="AA1820" s="1" t="s">
        <v>7947</v>
      </c>
      <c r="AB1820" s="1"/>
      <c r="AC1820" s="1"/>
      <c r="AD1820" s="1"/>
      <c r="AE1820" s="1"/>
      <c r="AF1820" s="1" t="s">
        <v>7948</v>
      </c>
      <c r="AG1820" s="2" t="str">
        <f>"0520035275"</f>
        <v>0520035275</v>
      </c>
      <c r="AH1820" s="2" t="str">
        <f>"9780520035270"</f>
        <v>9780520035270</v>
      </c>
      <c r="AI1820" s="1">
        <v>0.0</v>
      </c>
      <c r="AJ1820" s="1">
        <v>3.53</v>
      </c>
      <c r="AK1820" s="1" t="s">
        <v>1306</v>
      </c>
      <c r="AL1820" s="1" t="s">
        <v>28</v>
      </c>
      <c r="AM1820" s="1">
        <v>256.0</v>
      </c>
      <c r="AN1820" s="1">
        <v>1979.0</v>
      </c>
      <c r="AO1820" s="1">
        <v>1970.0</v>
      </c>
      <c r="AQ1820" s="3">
        <v>44166.0</v>
      </c>
      <c r="AR1820" s="1" t="s">
        <v>31</v>
      </c>
      <c r="AS1820" s="1" t="s">
        <v>7949</v>
      </c>
      <c r="AT1820" s="1" t="s">
        <v>31</v>
      </c>
      <c r="AX1820" s="1">
        <v>0.0</v>
      </c>
      <c r="AY1820" s="1">
        <v>0.0</v>
      </c>
    </row>
    <row r="1821" spans="20:51" ht="15.75" hidden="1">
      <c r="T1821" s="1">
        <v>202717.0</v>
      </c>
      <c r="U1821" s="1"/>
      <c r="V1821" s="1"/>
      <c r="W1821" s="1"/>
      <c r="X1821" s="1"/>
      <c r="Y1821" s="1" t="s">
        <v>7950</v>
      </c>
      <c r="Z1821" s="1" t="s">
        <v>7951</v>
      </c>
      <c r="AA1821" s="1" t="s">
        <v>7952</v>
      </c>
      <c r="AB1821" s="1"/>
      <c r="AC1821" s="1"/>
      <c r="AD1821" s="1"/>
      <c r="AE1821" s="1"/>
      <c r="AG1821" s="2" t="str">
        <f>"0520082893"</f>
        <v>0520082893</v>
      </c>
      <c r="AH1821" s="2" t="str">
        <f>"9780520082892"</f>
        <v>9780520082892</v>
      </c>
      <c r="AI1821" s="1">
        <v>0.0</v>
      </c>
      <c r="AJ1821" s="1">
        <v>4.1</v>
      </c>
      <c r="AK1821" s="1" t="s">
        <v>1306</v>
      </c>
      <c r="AL1821" s="1" t="s">
        <v>28</v>
      </c>
      <c r="AM1821" s="1">
        <v>334.0</v>
      </c>
      <c r="AN1821" s="1">
        <v>1993.0</v>
      </c>
      <c r="AO1821" s="1">
        <v>1993.0</v>
      </c>
      <c r="AQ1821" s="3">
        <v>44166.0</v>
      </c>
      <c r="AR1821" s="1" t="s">
        <v>31</v>
      </c>
      <c r="AS1821" s="1" t="s">
        <v>7953</v>
      </c>
      <c r="AT1821" s="1" t="s">
        <v>31</v>
      </c>
      <c r="AX1821" s="1">
        <v>0.0</v>
      </c>
      <c r="AY1821" s="1">
        <v>0.0</v>
      </c>
    </row>
    <row r="1822" spans="20:51" ht="15.75" hidden="1">
      <c r="T1822" s="1">
        <v>2.8010267E7</v>
      </c>
      <c r="U1822" s="1"/>
      <c r="V1822" s="1"/>
      <c r="W1822" s="1"/>
      <c r="X1822" s="1"/>
      <c r="Y1822" s="1" t="s">
        <v>7954</v>
      </c>
      <c r="Z1822" s="1" t="s">
        <v>1765</v>
      </c>
      <c r="AA1822" s="1" t="s">
        <v>1766</v>
      </c>
      <c r="AB1822" s="1"/>
      <c r="AC1822" s="1"/>
      <c r="AD1822" s="1"/>
      <c r="AE1822" s="1"/>
      <c r="AF1822" s="1" t="s">
        <v>7955</v>
      </c>
      <c r="AG1822" s="2" t="str">
        <f>"1632060558"</f>
        <v>1632060558</v>
      </c>
      <c r="AH1822" s="2" t="str">
        <f>"9781632060556"</f>
        <v>9781632060556</v>
      </c>
      <c r="AI1822" s="1">
        <v>0.0</v>
      </c>
      <c r="AJ1822" s="1">
        <v>3.65</v>
      </c>
      <c r="AK1822" s="1" t="s">
        <v>7956</v>
      </c>
      <c r="AL1822" s="1" t="s">
        <v>28</v>
      </c>
      <c r="AM1822" s="1">
        <v>252.0</v>
      </c>
      <c r="AN1822" s="1">
        <v>2016.0</v>
      </c>
      <c r="AO1822" s="1">
        <v>2010.0</v>
      </c>
      <c r="AQ1822" s="3">
        <v>44166.0</v>
      </c>
      <c r="AR1822" s="1" t="s">
        <v>31</v>
      </c>
      <c r="AS1822" s="1" t="s">
        <v>7957</v>
      </c>
      <c r="AT1822" s="1" t="s">
        <v>31</v>
      </c>
      <c r="AX1822" s="1">
        <v>0.0</v>
      </c>
      <c r="AY1822" s="1">
        <v>0.0</v>
      </c>
    </row>
    <row r="1823" spans="20:51" ht="15.75" hidden="1">
      <c r="T1823" s="1">
        <v>188346.0</v>
      </c>
      <c r="U1823" s="1"/>
      <c r="V1823" s="1"/>
      <c r="W1823" s="1"/>
      <c r="X1823" s="1"/>
      <c r="Y1823" s="1" t="s">
        <v>7958</v>
      </c>
      <c r="Z1823" s="1" t="s">
        <v>7959</v>
      </c>
      <c r="AA1823" s="1" t="s">
        <v>7960</v>
      </c>
      <c r="AB1823" s="1"/>
      <c r="AC1823" s="1"/>
      <c r="AD1823" s="1"/>
      <c r="AE1823" s="1"/>
      <c r="AF1823" s="1" t="s">
        <v>7961</v>
      </c>
      <c r="AG1823" s="2" t="str">
        <f>"1560253355"</f>
        <v>1560253355</v>
      </c>
      <c r="AH1823" s="2" t="str">
        <f>"9781560253358"</f>
        <v>9781560253358</v>
      </c>
      <c r="AI1823" s="1">
        <v>0.0</v>
      </c>
      <c r="AJ1823" s="1">
        <v>4.09</v>
      </c>
      <c r="AK1823" s="1" t="s">
        <v>709</v>
      </c>
      <c r="AL1823" s="1" t="s">
        <v>28</v>
      </c>
      <c r="AM1823" s="1">
        <v>503.0</v>
      </c>
      <c r="AN1823" s="1">
        <v>2002.0</v>
      </c>
      <c r="AO1823" s="1">
        <v>2001.0</v>
      </c>
      <c r="AQ1823" s="3">
        <v>44166.0</v>
      </c>
      <c r="AR1823" s="1" t="s">
        <v>31</v>
      </c>
      <c r="AS1823" s="1" t="s">
        <v>7962</v>
      </c>
      <c r="AT1823" s="1" t="s">
        <v>31</v>
      </c>
      <c r="AX1823" s="1">
        <v>0.0</v>
      </c>
      <c r="AY1823" s="1">
        <v>0.0</v>
      </c>
    </row>
    <row r="1824" spans="20:51" ht="15.75" hidden="1">
      <c r="T1824" s="1">
        <v>1.4894629E7</v>
      </c>
      <c r="U1824" s="1"/>
      <c r="V1824" s="1"/>
      <c r="W1824" s="1"/>
      <c r="X1824" s="1"/>
      <c r="Y1824" s="1" t="s">
        <v>7963</v>
      </c>
      <c r="Z1824" s="1" t="s">
        <v>7964</v>
      </c>
      <c r="AA1824" s="1" t="s">
        <v>7965</v>
      </c>
      <c r="AB1824" s="1"/>
      <c r="AC1824" s="1"/>
      <c r="AD1824" s="1"/>
      <c r="AE1824" s="1"/>
      <c r="AG1824" s="2" t="str">
        <f>"046500296X"</f>
        <v>046500296X</v>
      </c>
      <c r="AH1824" s="2" t="str">
        <f>"9780465002962"</f>
        <v>9780465002962</v>
      </c>
      <c r="AI1824" s="1">
        <v>0.0</v>
      </c>
      <c r="AJ1824" s="1">
        <v>4.46</v>
      </c>
      <c r="AK1824" s="1" t="s">
        <v>46</v>
      </c>
      <c r="AL1824" s="1" t="s">
        <v>41</v>
      </c>
      <c r="AM1824" s="1">
        <v>498.0</v>
      </c>
      <c r="AN1824" s="1">
        <v>2014.0</v>
      </c>
      <c r="AO1824" s="1">
        <v>2013.0</v>
      </c>
      <c r="AQ1824" s="4">
        <v>44165.0</v>
      </c>
      <c r="AR1824" s="1" t="s">
        <v>31</v>
      </c>
      <c r="AS1824" s="1" t="s">
        <v>7966</v>
      </c>
      <c r="AT1824" s="1" t="s">
        <v>31</v>
      </c>
      <c r="AX1824" s="1">
        <v>0.0</v>
      </c>
      <c r="AY1824" s="1">
        <v>0.0</v>
      </c>
    </row>
    <row r="1825" spans="20:51" ht="15.75" hidden="1">
      <c r="T1825" s="1">
        <v>355190.0</v>
      </c>
      <c r="U1825" s="1"/>
      <c r="V1825" s="1"/>
      <c r="W1825" s="1"/>
      <c r="X1825" s="1"/>
      <c r="Y1825" s="1" t="s">
        <v>7967</v>
      </c>
      <c r="Z1825" s="1" t="s">
        <v>2833</v>
      </c>
      <c r="AA1825" s="1" t="s">
        <v>2834</v>
      </c>
      <c r="AB1825" s="1"/>
      <c r="AC1825" s="1"/>
      <c r="AD1825" s="1"/>
      <c r="AE1825" s="1"/>
      <c r="AG1825" s="2" t="str">
        <f t="shared" si="152" ref="AG1825:AH1825">""</f>
        <v/>
      </c>
      <c r="AH1825" s="2" t="str">
        <f t="shared" si="152"/>
        <v/>
      </c>
      <c r="AI1825" s="1">
        <v>0.0</v>
      </c>
      <c r="AJ1825" s="1">
        <v>4.1</v>
      </c>
      <c r="AK1825" s="1" t="s">
        <v>83</v>
      </c>
      <c r="AL1825" s="1" t="s">
        <v>28</v>
      </c>
      <c r="AM1825" s="1">
        <v>424.0</v>
      </c>
      <c r="AN1825" s="1">
        <v>2003.0</v>
      </c>
      <c r="AO1825" s="1">
        <v>1978.0</v>
      </c>
      <c r="AQ1825" s="4">
        <v>44165.0</v>
      </c>
      <c r="AR1825" s="1" t="s">
        <v>31</v>
      </c>
      <c r="AS1825" s="1" t="s">
        <v>7968</v>
      </c>
      <c r="AT1825" s="1" t="s">
        <v>31</v>
      </c>
      <c r="AX1825" s="1">
        <v>0.0</v>
      </c>
      <c r="AY1825" s="1">
        <v>0.0</v>
      </c>
    </row>
    <row r="1826" spans="20:51" ht="15.75" hidden="1">
      <c r="T1826" s="1">
        <v>361877.0</v>
      </c>
      <c r="U1826" s="1"/>
      <c r="V1826" s="1"/>
      <c r="W1826" s="1"/>
      <c r="X1826" s="1"/>
      <c r="Y1826" s="1" t="s">
        <v>7969</v>
      </c>
      <c r="Z1826" s="1" t="s">
        <v>7970</v>
      </c>
      <c r="AA1826" s="1" t="s">
        <v>7971</v>
      </c>
      <c r="AB1826" s="1"/>
      <c r="AC1826" s="1"/>
      <c r="AD1826" s="1"/>
      <c r="AE1826" s="1"/>
      <c r="AG1826" s="2" t="str">
        <f>"0375725822"</f>
        <v>0375725822</v>
      </c>
      <c r="AH1826" s="2" t="str">
        <f>"9780375725821"</f>
        <v>9780375725821</v>
      </c>
      <c r="AI1826" s="1">
        <v>0.0</v>
      </c>
      <c r="AJ1826" s="1">
        <v>3.91</v>
      </c>
      <c r="AK1826" s="1" t="s">
        <v>83</v>
      </c>
      <c r="AL1826" s="1" t="s">
        <v>28</v>
      </c>
      <c r="AM1826" s="1">
        <v>320.0</v>
      </c>
      <c r="AN1826" s="1">
        <v>2002.0</v>
      </c>
      <c r="AO1826" s="1">
        <v>2001.0</v>
      </c>
      <c r="AQ1826" s="4">
        <v>44165.0</v>
      </c>
      <c r="AR1826" s="1" t="s">
        <v>31</v>
      </c>
      <c r="AS1826" s="1" t="s">
        <v>7972</v>
      </c>
      <c r="AT1826" s="1" t="s">
        <v>31</v>
      </c>
      <c r="AX1826" s="1">
        <v>0.0</v>
      </c>
      <c r="AY1826" s="1">
        <v>0.0</v>
      </c>
    </row>
    <row r="1827" spans="20:51" ht="15.75" hidden="1">
      <c r="T1827" s="1">
        <v>496683.0</v>
      </c>
      <c r="U1827" s="1"/>
      <c r="V1827" s="1"/>
      <c r="W1827" s="1"/>
      <c r="X1827" s="1"/>
      <c r="Y1827" s="1" t="s">
        <v>7973</v>
      </c>
      <c r="Z1827" s="1" t="s">
        <v>7974</v>
      </c>
      <c r="AA1827" s="1" t="s">
        <v>7975</v>
      </c>
      <c r="AB1827" s="1"/>
      <c r="AC1827" s="1"/>
      <c r="AD1827" s="1"/>
      <c r="AE1827" s="1"/>
      <c r="AG1827" s="2" t="str">
        <f>"0805083235"</f>
        <v>0805083235</v>
      </c>
      <c r="AH1827" s="2" t="str">
        <f>"9780805083231"</f>
        <v>9780805083231</v>
      </c>
      <c r="AI1827" s="1">
        <v>0.0</v>
      </c>
      <c r="AJ1827" s="1">
        <v>4.05</v>
      </c>
      <c r="AK1827" s="1" t="s">
        <v>5564</v>
      </c>
      <c r="AL1827" s="1" t="s">
        <v>28</v>
      </c>
      <c r="AM1827" s="1">
        <v>320.0</v>
      </c>
      <c r="AN1827" s="1">
        <v>2007.0</v>
      </c>
      <c r="AO1827" s="1">
        <v>2006.0</v>
      </c>
      <c r="AQ1827" s="4">
        <v>44165.0</v>
      </c>
      <c r="AR1827" s="1" t="s">
        <v>31</v>
      </c>
      <c r="AS1827" s="1" t="s">
        <v>7976</v>
      </c>
      <c r="AT1827" s="1" t="s">
        <v>31</v>
      </c>
      <c r="AX1827" s="1">
        <v>0.0</v>
      </c>
      <c r="AY1827" s="1">
        <v>0.0</v>
      </c>
    </row>
    <row r="1828" spans="20:51" ht="15.75" hidden="1">
      <c r="T1828" s="1">
        <v>67145.0</v>
      </c>
      <c r="U1828" s="1"/>
      <c r="V1828" s="1"/>
      <c r="W1828" s="1"/>
      <c r="X1828" s="1"/>
      <c r="Y1828" s="1" t="s">
        <v>7977</v>
      </c>
      <c r="Z1828" s="1" t="s">
        <v>7978</v>
      </c>
      <c r="AA1828" s="1" t="s">
        <v>7979</v>
      </c>
      <c r="AB1828" s="1"/>
      <c r="AC1828" s="1"/>
      <c r="AD1828" s="1"/>
      <c r="AE1828" s="1"/>
      <c r="AF1828" s="1" t="s">
        <v>7980</v>
      </c>
      <c r="AG1828" s="2" t="str">
        <f>"1586420054"</f>
        <v>1586420054</v>
      </c>
      <c r="AH1828" s="2" t="str">
        <f>"9781586420055"</f>
        <v>9781586420055</v>
      </c>
      <c r="AI1828" s="1">
        <v>0.0</v>
      </c>
      <c r="AJ1828" s="1">
        <v>3.74</v>
      </c>
      <c r="AK1828" s="1" t="s">
        <v>7981</v>
      </c>
      <c r="AL1828" s="1" t="s">
        <v>28</v>
      </c>
      <c r="AM1828" s="1">
        <v>400.0</v>
      </c>
      <c r="AN1828" s="1">
        <v>2000.0</v>
      </c>
      <c r="AO1828" s="1">
        <v>1929.0</v>
      </c>
      <c r="AQ1828" s="4">
        <v>44158.0</v>
      </c>
      <c r="AR1828" s="1" t="s">
        <v>31</v>
      </c>
      <c r="AS1828" s="1" t="s">
        <v>7982</v>
      </c>
      <c r="AT1828" s="1" t="s">
        <v>31</v>
      </c>
      <c r="AX1828" s="1">
        <v>0.0</v>
      </c>
      <c r="AY1828" s="1">
        <v>0.0</v>
      </c>
    </row>
    <row r="1829" spans="20:51" ht="15.75" hidden="1">
      <c r="T1829" s="1">
        <v>5.1092826E7</v>
      </c>
      <c r="U1829" s="1"/>
      <c r="V1829" s="1"/>
      <c r="W1829" s="1"/>
      <c r="X1829" s="1"/>
      <c r="Y1829" s="1" t="s">
        <v>7983</v>
      </c>
      <c r="Z1829" s="1" t="s">
        <v>7984</v>
      </c>
      <c r="AA1829" s="1" t="s">
        <v>7985</v>
      </c>
      <c r="AB1829" s="1"/>
      <c r="AC1829" s="1"/>
      <c r="AD1829" s="1"/>
      <c r="AE1829" s="1"/>
      <c r="AG1829" s="2" t="str">
        <f t="shared" si="153" ref="AG1829:AH1829">""</f>
        <v/>
      </c>
      <c r="AH1829" s="2" t="str">
        <f t="shared" si="153"/>
        <v/>
      </c>
      <c r="AI1829" s="1">
        <v>0.0</v>
      </c>
      <c r="AJ1829" s="1">
        <v>4.43</v>
      </c>
      <c r="AK1829" s="1" t="s">
        <v>6479</v>
      </c>
      <c r="AL1829" s="1" t="s">
        <v>59</v>
      </c>
      <c r="AM1829" s="1">
        <v>127.0</v>
      </c>
      <c r="AN1829" s="1">
        <v>2019.0</v>
      </c>
      <c r="AQ1829" s="4">
        <v>44157.0</v>
      </c>
      <c r="AR1829" s="1" t="s">
        <v>31</v>
      </c>
      <c r="AS1829" s="1" t="s">
        <v>7986</v>
      </c>
      <c r="AT1829" s="1" t="s">
        <v>31</v>
      </c>
      <c r="AX1829" s="1">
        <v>0.0</v>
      </c>
      <c r="AY1829" s="1">
        <v>0.0</v>
      </c>
    </row>
    <row r="1830" spans="20:51" ht="15.75" hidden="1">
      <c r="T1830" s="1">
        <v>5.0788186E7</v>
      </c>
      <c r="U1830" s="1"/>
      <c r="V1830" s="1"/>
      <c r="W1830" s="1"/>
      <c r="X1830" s="1"/>
      <c r="Y1830" s="1" t="s">
        <v>7987</v>
      </c>
      <c r="Z1830" s="1" t="s">
        <v>7988</v>
      </c>
      <c r="AA1830" s="1" t="s">
        <v>7989</v>
      </c>
      <c r="AB1830" s="1"/>
      <c r="AC1830" s="1"/>
      <c r="AD1830" s="1"/>
      <c r="AE1830" s="1"/>
      <c r="AG1830" s="2" t="str">
        <f>"0593188950"</f>
        <v>0593188950</v>
      </c>
      <c r="AH1830" s="2" t="str">
        <f>"9780593188958"</f>
        <v>9780593188958</v>
      </c>
      <c r="AI1830" s="1">
        <v>0.0</v>
      </c>
      <c r="AJ1830" s="1">
        <v>3.48</v>
      </c>
      <c r="AK1830" s="1" t="s">
        <v>387</v>
      </c>
      <c r="AL1830" s="1" t="s">
        <v>28</v>
      </c>
      <c r="AM1830" s="1">
        <v>210.0</v>
      </c>
      <c r="AN1830" s="1">
        <v>2020.0</v>
      </c>
      <c r="AO1830" s="1">
        <v>2020.0</v>
      </c>
      <c r="AQ1830" s="4">
        <v>44155.0</v>
      </c>
      <c r="AR1830" s="1" t="s">
        <v>31</v>
      </c>
      <c r="AS1830" s="1" t="s">
        <v>7990</v>
      </c>
      <c r="AT1830" s="1" t="s">
        <v>31</v>
      </c>
      <c r="AX1830" s="1">
        <v>0.0</v>
      </c>
      <c r="AY1830" s="1">
        <v>0.0</v>
      </c>
    </row>
    <row r="1831" spans="20:51" ht="15.75" hidden="1">
      <c r="T1831" s="1">
        <v>5.3401989E7</v>
      </c>
      <c r="U1831" s="1"/>
      <c r="V1831" s="1"/>
      <c r="W1831" s="1"/>
      <c r="X1831" s="1"/>
      <c r="Y1831" s="1" t="s">
        <v>7991</v>
      </c>
      <c r="Z1831" s="1" t="s">
        <v>7992</v>
      </c>
      <c r="AA1831" s="1" t="s">
        <v>7993</v>
      </c>
      <c r="AB1831" s="1"/>
      <c r="AC1831" s="1"/>
      <c r="AD1831" s="1"/>
      <c r="AE1831" s="1"/>
      <c r="AF1831" s="1" t="s">
        <v>7994</v>
      </c>
      <c r="AG1831" s="2" t="str">
        <f>"1632062712"</f>
        <v>1632062712</v>
      </c>
      <c r="AH1831" s="2" t="str">
        <f>"9781632062710"</f>
        <v>9781632062710</v>
      </c>
      <c r="AI1831" s="1">
        <v>0.0</v>
      </c>
      <c r="AJ1831" s="1">
        <v>4.06</v>
      </c>
      <c r="AK1831" s="1" t="s">
        <v>7956</v>
      </c>
      <c r="AL1831" s="1" t="s">
        <v>41</v>
      </c>
      <c r="AM1831" s="1">
        <v>176.0</v>
      </c>
      <c r="AN1831" s="1">
        <v>2020.0</v>
      </c>
      <c r="AO1831" s="1">
        <v>2017.0</v>
      </c>
      <c r="AQ1831" s="4">
        <v>44155.0</v>
      </c>
      <c r="AR1831" s="1" t="s">
        <v>31</v>
      </c>
      <c r="AS1831" s="1" t="s">
        <v>7995</v>
      </c>
      <c r="AT1831" s="1" t="s">
        <v>31</v>
      </c>
      <c r="AX1831" s="1">
        <v>0.0</v>
      </c>
      <c r="AY1831" s="1">
        <v>0.0</v>
      </c>
    </row>
    <row r="1832" spans="20:51" ht="15.75" hidden="1">
      <c r="T1832" s="1">
        <v>25491.0</v>
      </c>
      <c r="U1832" s="1"/>
      <c r="V1832" s="1"/>
      <c r="W1832" s="1"/>
      <c r="X1832" s="1"/>
      <c r="Y1832" s="1" t="s">
        <v>7996</v>
      </c>
      <c r="Z1832" s="1" t="s">
        <v>7081</v>
      </c>
      <c r="AA1832" s="1" t="s">
        <v>7082</v>
      </c>
      <c r="AB1832" s="1"/>
      <c r="AC1832" s="1"/>
      <c r="AD1832" s="1"/>
      <c r="AE1832" s="1"/>
      <c r="AG1832" s="2" t="str">
        <f>"0805031499"</f>
        <v>0805031499</v>
      </c>
      <c r="AH1832" s="2" t="str">
        <f>"9780805031492"</f>
        <v>9780805031492</v>
      </c>
      <c r="AI1832" s="1">
        <v>0.0</v>
      </c>
      <c r="AJ1832" s="1">
        <v>4.27</v>
      </c>
      <c r="AK1832" s="1" t="s">
        <v>5564</v>
      </c>
      <c r="AL1832" s="1" t="s">
        <v>28</v>
      </c>
      <c r="AM1832" s="1">
        <v>301.0</v>
      </c>
      <c r="AN1832" s="1">
        <v>1994.0</v>
      </c>
      <c r="AO1832" s="1">
        <v>1941.0</v>
      </c>
      <c r="AQ1832" s="4">
        <v>44154.0</v>
      </c>
      <c r="AR1832" s="1" t="s">
        <v>31</v>
      </c>
      <c r="AS1832" s="1" t="s">
        <v>7997</v>
      </c>
      <c r="AT1832" s="1" t="s">
        <v>31</v>
      </c>
      <c r="AX1832" s="1">
        <v>0.0</v>
      </c>
      <c r="AY1832" s="1">
        <v>0.0</v>
      </c>
    </row>
    <row r="1833" spans="20:51" ht="15.75" hidden="1">
      <c r="T1833" s="1">
        <v>22478.0</v>
      </c>
      <c r="U1833" s="1"/>
      <c r="V1833" s="1"/>
      <c r="W1833" s="1"/>
      <c r="X1833" s="1"/>
      <c r="Y1833" s="1" t="s">
        <v>7998</v>
      </c>
      <c r="Z1833" s="1" t="s">
        <v>7999</v>
      </c>
      <c r="AA1833" s="1" t="s">
        <v>8000</v>
      </c>
      <c r="AB1833" s="1"/>
      <c r="AC1833" s="1"/>
      <c r="AD1833" s="1"/>
      <c r="AE1833" s="1"/>
      <c r="AG1833" s="2" t="str">
        <f>"0618057072"</f>
        <v>0618057072</v>
      </c>
      <c r="AH1833" s="2" t="str">
        <f>"9780618057078"</f>
        <v>9780618057078</v>
      </c>
      <c r="AI1833" s="1">
        <v>0.0</v>
      </c>
      <c r="AJ1833" s="1">
        <v>4.25</v>
      </c>
      <c r="AK1833" s="1" t="s">
        <v>403</v>
      </c>
      <c r="AL1833" s="1" t="s">
        <v>28</v>
      </c>
      <c r="AM1833" s="1">
        <v>491.0</v>
      </c>
      <c r="AN1833" s="1">
        <v>2000.0</v>
      </c>
      <c r="AO1833" s="1">
        <v>1976.0</v>
      </c>
      <c r="AQ1833" s="4">
        <v>44153.0</v>
      </c>
      <c r="AR1833" s="1" t="s">
        <v>31</v>
      </c>
      <c r="AS1833" s="1" t="s">
        <v>8001</v>
      </c>
      <c r="AT1833" s="1" t="s">
        <v>31</v>
      </c>
      <c r="AX1833" s="1">
        <v>0.0</v>
      </c>
      <c r="AY1833" s="1">
        <v>0.0</v>
      </c>
    </row>
    <row r="1834" spans="20:51" ht="15.75" hidden="1">
      <c r="T1834" s="1">
        <v>3.5242824E7</v>
      </c>
      <c r="U1834" s="1"/>
      <c r="V1834" s="1"/>
      <c r="W1834" s="1"/>
      <c r="X1834" s="1"/>
      <c r="Y1834" s="1" t="s">
        <v>8002</v>
      </c>
      <c r="Z1834" s="1" t="s">
        <v>8003</v>
      </c>
      <c r="AA1834" s="1" t="s">
        <v>8004</v>
      </c>
      <c r="AB1834" s="1"/>
      <c r="AC1834" s="1"/>
      <c r="AD1834" s="1"/>
      <c r="AE1834" s="1"/>
      <c r="AG1834" s="2" t="str">
        <f>"0143196421"</f>
        <v>0143196421</v>
      </c>
      <c r="AH1834" s="2" t="str">
        <f>"9780143196426"</f>
        <v>9780143196426</v>
      </c>
      <c r="AI1834" s="1">
        <v>0.0</v>
      </c>
      <c r="AJ1834" s="1">
        <v>3.42</v>
      </c>
      <c r="AK1834" s="1" t="s">
        <v>146</v>
      </c>
      <c r="AL1834" s="1" t="s">
        <v>28</v>
      </c>
      <c r="AM1834" s="1">
        <v>320.0</v>
      </c>
      <c r="AN1834" s="1">
        <v>2018.0</v>
      </c>
      <c r="AO1834" s="1">
        <v>2018.0</v>
      </c>
      <c r="AQ1834" s="4">
        <v>44152.0</v>
      </c>
      <c r="AR1834" s="1" t="s">
        <v>31</v>
      </c>
      <c r="AS1834" s="1" t="s">
        <v>8005</v>
      </c>
      <c r="AT1834" s="1" t="s">
        <v>31</v>
      </c>
      <c r="AX1834" s="1">
        <v>0.0</v>
      </c>
      <c r="AY1834" s="1">
        <v>0.0</v>
      </c>
    </row>
    <row r="1835" spans="20:51" ht="15.75" hidden="1">
      <c r="T1835" s="1">
        <v>5.0998099E7</v>
      </c>
      <c r="U1835" s="1"/>
      <c r="V1835" s="1"/>
      <c r="W1835" s="1"/>
      <c r="X1835" s="1"/>
      <c r="Y1835" s="1" t="s">
        <v>8006</v>
      </c>
      <c r="Z1835" s="1" t="s">
        <v>8007</v>
      </c>
      <c r="AA1835" s="1" t="s">
        <v>8008</v>
      </c>
      <c r="AB1835" s="1"/>
      <c r="AC1835" s="1"/>
      <c r="AD1835" s="1"/>
      <c r="AE1835" s="1"/>
      <c r="AG1835" s="2" t="str">
        <f>"0316449822"</f>
        <v>0316449822</v>
      </c>
      <c r="AH1835" s="2" t="str">
        <f>"9780316449823"</f>
        <v>9780316449823</v>
      </c>
      <c r="AI1835" s="1">
        <v>0.0</v>
      </c>
      <c r="AJ1835" s="1">
        <v>3.92</v>
      </c>
      <c r="AK1835" s="1" t="s">
        <v>7144</v>
      </c>
      <c r="AL1835" s="1" t="s">
        <v>41</v>
      </c>
      <c r="AM1835" s="1">
        <v>243.0</v>
      </c>
      <c r="AN1835" s="1">
        <v>2020.0</v>
      </c>
      <c r="AO1835" s="1">
        <v>2020.0</v>
      </c>
      <c r="AQ1835" s="4">
        <v>44152.0</v>
      </c>
      <c r="AR1835" s="1" t="s">
        <v>31</v>
      </c>
      <c r="AS1835" s="1" t="s">
        <v>8009</v>
      </c>
      <c r="AT1835" s="1" t="s">
        <v>31</v>
      </c>
      <c r="AX1835" s="1">
        <v>0.0</v>
      </c>
      <c r="AY1835" s="1">
        <v>0.0</v>
      </c>
    </row>
    <row r="1836" spans="20:51" ht="15.75" hidden="1">
      <c r="T1836" s="1">
        <v>460634.0</v>
      </c>
      <c r="U1836" s="1"/>
      <c r="V1836" s="1"/>
      <c r="W1836" s="1"/>
      <c r="X1836" s="1"/>
      <c r="Y1836" s="1" t="s">
        <v>8010</v>
      </c>
      <c r="Z1836" s="1" t="s">
        <v>4030</v>
      </c>
      <c r="AA1836" s="1" t="s">
        <v>4031</v>
      </c>
      <c r="AB1836" s="1"/>
      <c r="AC1836" s="1"/>
      <c r="AD1836" s="1"/>
      <c r="AE1836" s="1"/>
      <c r="AG1836" s="2" t="str">
        <f>"0679736565"</f>
        <v>0679736565</v>
      </c>
      <c r="AH1836" s="2" t="str">
        <f>"9780679736561"</f>
        <v>9780679736561</v>
      </c>
      <c r="AI1836" s="1">
        <v>0.0</v>
      </c>
      <c r="AJ1836" s="1">
        <v>4.18</v>
      </c>
      <c r="AK1836" s="1" t="s">
        <v>253</v>
      </c>
      <c r="AL1836" s="1" t="s">
        <v>28</v>
      </c>
      <c r="AM1836" s="1">
        <v>101.0</v>
      </c>
      <c r="AN1836" s="1">
        <v>1991.0</v>
      </c>
      <c r="AO1836" s="1">
        <v>1984.0</v>
      </c>
      <c r="AQ1836" s="3">
        <v>44144.0</v>
      </c>
      <c r="AR1836" s="1" t="s">
        <v>31</v>
      </c>
      <c r="AS1836" s="1" t="s">
        <v>8011</v>
      </c>
      <c r="AT1836" s="1" t="s">
        <v>31</v>
      </c>
      <c r="AX1836" s="1">
        <v>0.0</v>
      </c>
      <c r="AY1836" s="1">
        <v>0.0</v>
      </c>
    </row>
    <row r="1837" spans="20:51" ht="15.75" hidden="1">
      <c r="T1837" s="1">
        <v>5.1042698E7</v>
      </c>
      <c r="U1837" s="1"/>
      <c r="V1837" s="1"/>
      <c r="W1837" s="1"/>
      <c r="X1837" s="1"/>
      <c r="Y1837" s="1" t="s">
        <v>8012</v>
      </c>
      <c r="Z1837" s="1" t="s">
        <v>8013</v>
      </c>
      <c r="AA1837" s="1" t="s">
        <v>8014</v>
      </c>
      <c r="AB1837" s="1"/>
      <c r="AC1837" s="1"/>
      <c r="AD1837" s="1"/>
      <c r="AE1837" s="1"/>
      <c r="AG1837" s="2" t="str">
        <f>"1946448648"</f>
        <v>1946448648</v>
      </c>
      <c r="AH1837" s="2" t="str">
        <f>"9781946448644"</f>
        <v>9781946448644</v>
      </c>
      <c r="AI1837" s="1">
        <v>0.0</v>
      </c>
      <c r="AJ1837" s="1">
        <v>4.56</v>
      </c>
      <c r="AK1837" s="1" t="s">
        <v>4550</v>
      </c>
      <c r="AL1837" s="1" t="s">
        <v>28</v>
      </c>
      <c r="AM1837" s="1">
        <v>104.0</v>
      </c>
      <c r="AN1837" s="1">
        <v>2020.0</v>
      </c>
      <c r="AO1837" s="1">
        <v>2020.0</v>
      </c>
      <c r="AQ1837" s="3">
        <v>44138.0</v>
      </c>
      <c r="AR1837" s="1" t="s">
        <v>31</v>
      </c>
      <c r="AS1837" s="1" t="s">
        <v>8015</v>
      </c>
      <c r="AT1837" s="1" t="s">
        <v>31</v>
      </c>
      <c r="AX1837" s="1">
        <v>0.0</v>
      </c>
      <c r="AY1837" s="1">
        <v>0.0</v>
      </c>
    </row>
    <row r="1838" spans="20:51" ht="15.75" hidden="1">
      <c r="T1838" s="1">
        <v>4.2268742E7</v>
      </c>
      <c r="U1838" s="1"/>
      <c r="V1838" s="1"/>
      <c r="W1838" s="1"/>
      <c r="X1838" s="1"/>
      <c r="Y1838" s="1" t="s">
        <v>8016</v>
      </c>
      <c r="Z1838" s="1" t="s">
        <v>8017</v>
      </c>
      <c r="AA1838" s="1" t="s">
        <v>8018</v>
      </c>
      <c r="AB1838" s="1"/>
      <c r="AC1838" s="1"/>
      <c r="AD1838" s="1"/>
      <c r="AE1838" s="1"/>
      <c r="AF1838" s="1" t="s">
        <v>8019</v>
      </c>
      <c r="AG1838" s="2" t="str">
        <f>"0811228789"</f>
        <v>0811228789</v>
      </c>
      <c r="AH1838" s="2" t="str">
        <f>"9780811228787"</f>
        <v>9780811228787</v>
      </c>
      <c r="AI1838" s="1">
        <v>0.0</v>
      </c>
      <c r="AJ1838" s="1">
        <v>3.99</v>
      </c>
      <c r="AK1838" s="1" t="s">
        <v>95</v>
      </c>
      <c r="AL1838" s="1" t="s">
        <v>28</v>
      </c>
      <c r="AM1838" s="1">
        <v>88.0</v>
      </c>
      <c r="AN1838" s="1">
        <v>2019.0</v>
      </c>
      <c r="AO1838" s="1">
        <v>1947.0</v>
      </c>
      <c r="AQ1838" s="4">
        <v>44128.0</v>
      </c>
      <c r="AR1838" s="1" t="s">
        <v>31</v>
      </c>
      <c r="AS1838" s="1" t="s">
        <v>8020</v>
      </c>
      <c r="AT1838" s="1" t="s">
        <v>31</v>
      </c>
      <c r="AX1838" s="1">
        <v>0.0</v>
      </c>
      <c r="AY1838" s="1">
        <v>0.0</v>
      </c>
    </row>
    <row r="1839" spans="20:51" ht="15.75" hidden="1">
      <c r="T1839" s="1">
        <v>738965.0</v>
      </c>
      <c r="U1839" s="1"/>
      <c r="V1839" s="1"/>
      <c r="W1839" s="1"/>
      <c r="X1839" s="1"/>
      <c r="Y1839" s="1" t="s">
        <v>8021</v>
      </c>
      <c r="Z1839" s="1" t="s">
        <v>8022</v>
      </c>
      <c r="AA1839" s="1" t="s">
        <v>8023</v>
      </c>
      <c r="AB1839" s="1"/>
      <c r="AC1839" s="1"/>
      <c r="AD1839" s="1"/>
      <c r="AE1839" s="1"/>
      <c r="AG1839" s="2" t="str">
        <f>"0906500079"</f>
        <v>0906500079</v>
      </c>
      <c r="AH1839" s="2" t="str">
        <f>"9780906500071"</f>
        <v>9780906500071</v>
      </c>
      <c r="AI1839" s="1">
        <v>0.0</v>
      </c>
      <c r="AJ1839" s="1">
        <v>4.29</v>
      </c>
      <c r="AK1839" s="1" t="s">
        <v>8024</v>
      </c>
      <c r="AL1839" s="1" t="s">
        <v>8025</v>
      </c>
      <c r="AM1839" s="1">
        <v>32.0</v>
      </c>
      <c r="AN1839" s="1">
        <v>1980.0</v>
      </c>
      <c r="AO1839" s="1">
        <v>1980.0</v>
      </c>
      <c r="AQ1839" s="4">
        <v>44128.0</v>
      </c>
      <c r="AR1839" s="1" t="s">
        <v>31</v>
      </c>
      <c r="AS1839" s="1" t="s">
        <v>8026</v>
      </c>
      <c r="AT1839" s="1" t="s">
        <v>31</v>
      </c>
      <c r="AX1839" s="1">
        <v>0.0</v>
      </c>
      <c r="AY1839" s="1">
        <v>0.0</v>
      </c>
    </row>
    <row r="1840" spans="20:51" ht="15.75" hidden="1">
      <c r="T1840" s="1">
        <v>74176.0</v>
      </c>
      <c r="U1840" s="1"/>
      <c r="V1840" s="1"/>
      <c r="W1840" s="1"/>
      <c r="X1840" s="1"/>
      <c r="Y1840" s="1" t="s">
        <v>8027</v>
      </c>
      <c r="Z1840" s="1" t="s">
        <v>8028</v>
      </c>
      <c r="AA1840" s="1" t="s">
        <v>8029</v>
      </c>
      <c r="AB1840" s="1"/>
      <c r="AC1840" s="1"/>
      <c r="AD1840" s="1"/>
      <c r="AE1840" s="1"/>
      <c r="AF1840" s="1" t="s">
        <v>8030</v>
      </c>
      <c r="AG1840" s="2" t="str">
        <f>"048642703X"</f>
        <v>048642703X</v>
      </c>
      <c r="AH1840" s="2" t="str">
        <f>"9780486427034"</f>
        <v>9780486427034</v>
      </c>
      <c r="AI1840" s="1">
        <v>0.0</v>
      </c>
      <c r="AJ1840" s="1">
        <v>3.91</v>
      </c>
      <c r="AK1840" s="1" t="s">
        <v>540</v>
      </c>
      <c r="AL1840" s="1" t="s">
        <v>28</v>
      </c>
      <c r="AM1840" s="1">
        <v>320.0</v>
      </c>
      <c r="AN1840" s="1">
        <v>2003.0</v>
      </c>
      <c r="AO1840" s="1">
        <v>1904.0</v>
      </c>
      <c r="AQ1840" s="4">
        <v>44128.0</v>
      </c>
      <c r="AR1840" s="1" t="s">
        <v>31</v>
      </c>
      <c r="AS1840" s="1" t="s">
        <v>8031</v>
      </c>
      <c r="AT1840" s="1" t="s">
        <v>31</v>
      </c>
      <c r="AX1840" s="1">
        <v>0.0</v>
      </c>
      <c r="AY1840" s="1">
        <v>0.0</v>
      </c>
    </row>
    <row r="1841" spans="20:51" ht="15.75" hidden="1">
      <c r="T1841" s="1">
        <v>232311.0</v>
      </c>
      <c r="U1841" s="1"/>
      <c r="V1841" s="1"/>
      <c r="W1841" s="1"/>
      <c r="X1841" s="1"/>
      <c r="Y1841" s="1" t="s">
        <v>8032</v>
      </c>
      <c r="Z1841" s="1" t="s">
        <v>8033</v>
      </c>
      <c r="AA1841" s="1" t="s">
        <v>8034</v>
      </c>
      <c r="AB1841" s="1"/>
      <c r="AC1841" s="1"/>
      <c r="AD1841" s="1"/>
      <c r="AE1841" s="1"/>
      <c r="AG1841" s="2" t="str">
        <f>"0393329801"</f>
        <v>0393329801</v>
      </c>
      <c r="AH1841" s="2" t="str">
        <f>"9780393329803"</f>
        <v>9780393329803</v>
      </c>
      <c r="AI1841" s="1">
        <v>0.0</v>
      </c>
      <c r="AJ1841" s="1">
        <v>4.2</v>
      </c>
      <c r="AK1841" s="1" t="s">
        <v>113</v>
      </c>
      <c r="AL1841" s="1" t="s">
        <v>28</v>
      </c>
      <c r="AM1841" s="1">
        <v>206.0</v>
      </c>
      <c r="AN1841" s="1">
        <v>2007.0</v>
      </c>
      <c r="AO1841" s="1">
        <v>2005.0</v>
      </c>
      <c r="AQ1841" s="4">
        <v>44128.0</v>
      </c>
      <c r="AR1841" s="1" t="s">
        <v>31</v>
      </c>
      <c r="AS1841" s="1" t="s">
        <v>8035</v>
      </c>
      <c r="AT1841" s="1" t="s">
        <v>31</v>
      </c>
      <c r="AX1841" s="1">
        <v>0.0</v>
      </c>
      <c r="AY1841" s="1">
        <v>0.0</v>
      </c>
    </row>
    <row r="1842" spans="20:51" ht="15.75" hidden="1">
      <c r="T1842" s="1">
        <v>3.8357895E7</v>
      </c>
      <c r="U1842" s="1"/>
      <c r="V1842" s="1"/>
      <c r="W1842" s="1"/>
      <c r="X1842" s="1"/>
      <c r="Y1842" s="1" t="s">
        <v>8036</v>
      </c>
      <c r="Z1842" s="1" t="s">
        <v>8037</v>
      </c>
      <c r="AA1842" s="1" t="s">
        <v>8038</v>
      </c>
      <c r="AB1842" s="1"/>
      <c r="AC1842" s="1"/>
      <c r="AD1842" s="1"/>
      <c r="AE1842" s="1"/>
      <c r="AF1842" s="1" t="s">
        <v>8039</v>
      </c>
      <c r="AG1842" s="2" t="str">
        <f t="shared" si="154" ref="AG1842:AH1842">""</f>
        <v/>
      </c>
      <c r="AH1842" s="2" t="str">
        <f t="shared" si="154"/>
        <v/>
      </c>
      <c r="AI1842" s="1">
        <v>0.0</v>
      </c>
      <c r="AJ1842" s="1">
        <v>3.7</v>
      </c>
      <c r="AK1842" s="1" t="s">
        <v>8040</v>
      </c>
      <c r="AL1842" s="1" t="s">
        <v>28</v>
      </c>
      <c r="AM1842" s="1">
        <v>163.0</v>
      </c>
      <c r="AN1842" s="1">
        <v>2018.0</v>
      </c>
      <c r="AO1842" s="1">
        <v>2016.0</v>
      </c>
      <c r="AQ1842" s="4">
        <v>44126.0</v>
      </c>
      <c r="AR1842" s="1" t="s">
        <v>31</v>
      </c>
      <c r="AS1842" s="1" t="s">
        <v>8041</v>
      </c>
      <c r="AT1842" s="1" t="s">
        <v>31</v>
      </c>
      <c r="AX1842" s="1">
        <v>0.0</v>
      </c>
      <c r="AY1842" s="1">
        <v>0.0</v>
      </c>
    </row>
    <row r="1843" spans="20:51" ht="15.75" hidden="1">
      <c r="T1843" s="1">
        <v>3.6537921E7</v>
      </c>
      <c r="U1843" s="1"/>
      <c r="V1843" s="1"/>
      <c r="W1843" s="1"/>
      <c r="X1843" s="1"/>
      <c r="Y1843" s="1" t="s">
        <v>8042</v>
      </c>
      <c r="Z1843" s="1" t="s">
        <v>8043</v>
      </c>
      <c r="AA1843" s="1" t="s">
        <v>8044</v>
      </c>
      <c r="AB1843" s="1"/>
      <c r="AC1843" s="1"/>
      <c r="AD1843" s="1"/>
      <c r="AE1843" s="1"/>
      <c r="AF1843" s="1" t="s">
        <v>8045</v>
      </c>
      <c r="AG1843" s="2" t="str">
        <f t="shared" si="155" ref="AG1843:AH1843">""</f>
        <v/>
      </c>
      <c r="AH1843" s="2" t="str">
        <f t="shared" si="155"/>
        <v/>
      </c>
      <c r="AI1843" s="1">
        <v>0.0</v>
      </c>
      <c r="AJ1843" s="1">
        <v>3.58</v>
      </c>
      <c r="AK1843" s="1" t="s">
        <v>8046</v>
      </c>
      <c r="AL1843" s="1" t="s">
        <v>59</v>
      </c>
      <c r="AM1843" s="1">
        <v>207.0</v>
      </c>
      <c r="AN1843" s="1">
        <v>2017.0</v>
      </c>
      <c r="AQ1843" s="4">
        <v>44122.0</v>
      </c>
      <c r="AR1843" s="1" t="s">
        <v>31</v>
      </c>
      <c r="AS1843" s="1" t="s">
        <v>8047</v>
      </c>
      <c r="AT1843" s="1" t="s">
        <v>31</v>
      </c>
      <c r="AX1843" s="1">
        <v>0.0</v>
      </c>
      <c r="AY1843" s="1">
        <v>0.0</v>
      </c>
    </row>
    <row r="1844" spans="20:51" ht="15.75" hidden="1">
      <c r="T1844" s="1">
        <v>1.3128268E7</v>
      </c>
      <c r="U1844" s="1"/>
      <c r="V1844" s="1"/>
      <c r="W1844" s="1"/>
      <c r="X1844" s="1"/>
      <c r="Y1844" s="1" t="s">
        <v>8048</v>
      </c>
      <c r="Z1844" s="1" t="s">
        <v>8049</v>
      </c>
      <c r="AA1844" s="1" t="s">
        <v>8050</v>
      </c>
      <c r="AB1844" s="1"/>
      <c r="AC1844" s="1"/>
      <c r="AD1844" s="1"/>
      <c r="AE1844" s="1"/>
      <c r="AG1844" s="2" t="str">
        <f>"9870415938"</f>
        <v>9870415938</v>
      </c>
      <c r="AH1844" s="2" t="str">
        <f>"9789870415930"</f>
        <v>9789870415930</v>
      </c>
      <c r="AI1844" s="1">
        <v>0.0</v>
      </c>
      <c r="AJ1844" s="1">
        <v>4.41</v>
      </c>
      <c r="AK1844" s="1" t="s">
        <v>8051</v>
      </c>
      <c r="AL1844" s="1" t="s">
        <v>28</v>
      </c>
      <c r="AM1844" s="1">
        <v>512.0</v>
      </c>
      <c r="AN1844" s="1">
        <v>2010.0</v>
      </c>
      <c r="AO1844" s="1">
        <v>2010.0</v>
      </c>
      <c r="AQ1844" s="4">
        <v>44118.0</v>
      </c>
      <c r="AR1844" s="1" t="s">
        <v>31</v>
      </c>
      <c r="AS1844" s="1" t="s">
        <v>8052</v>
      </c>
      <c r="AT1844" s="1" t="s">
        <v>31</v>
      </c>
      <c r="AX1844" s="1">
        <v>0.0</v>
      </c>
      <c r="AY1844" s="1">
        <v>0.0</v>
      </c>
    </row>
    <row r="1845" spans="20:51" ht="15.75" hidden="1">
      <c r="T1845" s="1">
        <v>1.9337365E7</v>
      </c>
      <c r="U1845" s="1"/>
      <c r="V1845" s="1"/>
      <c r="W1845" s="1"/>
      <c r="X1845" s="1"/>
      <c r="Y1845" s="1" t="s">
        <v>8053</v>
      </c>
      <c r="Z1845" s="1" t="s">
        <v>8054</v>
      </c>
      <c r="AA1845" s="1" t="s">
        <v>8055</v>
      </c>
      <c r="AB1845" s="1"/>
      <c r="AC1845" s="1"/>
      <c r="AD1845" s="1"/>
      <c r="AE1845" s="1"/>
      <c r="AF1845" s="1" t="s">
        <v>8056</v>
      </c>
      <c r="AG1845" s="2" t="str">
        <f>"1937658228"</f>
        <v>1937658228</v>
      </c>
      <c r="AH1845" s="2" t="str">
        <f>"9781937658229"</f>
        <v>9781937658229</v>
      </c>
      <c r="AI1845" s="1">
        <v>0.0</v>
      </c>
      <c r="AJ1845" s="1">
        <v>4.36</v>
      </c>
      <c r="AK1845" s="1" t="s">
        <v>1250</v>
      </c>
      <c r="AL1845" s="1" t="s">
        <v>8057</v>
      </c>
      <c r="AM1845" s="1">
        <v>584.0</v>
      </c>
      <c r="AN1845" s="1">
        <v>2014.0</v>
      </c>
      <c r="AO1845" s="1">
        <v>2001.0</v>
      </c>
      <c r="AQ1845" s="4">
        <v>44118.0</v>
      </c>
      <c r="AR1845" s="1" t="s">
        <v>31</v>
      </c>
      <c r="AS1845" s="1" t="s">
        <v>8058</v>
      </c>
      <c r="AT1845" s="1" t="s">
        <v>31</v>
      </c>
      <c r="AX1845" s="1">
        <v>0.0</v>
      </c>
      <c r="AY1845" s="1">
        <v>0.0</v>
      </c>
    </row>
    <row r="1846" spans="20:51" ht="15.75" hidden="1">
      <c r="T1846" s="1">
        <v>2.9875846E7</v>
      </c>
      <c r="U1846" s="1"/>
      <c r="V1846" s="1"/>
      <c r="W1846" s="1"/>
      <c r="X1846" s="1"/>
      <c r="Y1846" s="1" t="s">
        <v>8059</v>
      </c>
      <c r="Z1846" s="1" t="s">
        <v>8060</v>
      </c>
      <c r="AA1846" s="1" t="s">
        <v>8061</v>
      </c>
      <c r="AB1846" s="1"/>
      <c r="AC1846" s="1"/>
      <c r="AD1846" s="1"/>
      <c r="AE1846" s="1"/>
      <c r="AG1846" s="2" t="str">
        <f>"0374535957"</f>
        <v>0374535957</v>
      </c>
      <c r="AH1846" s="2" t="str">
        <f>"9780374535957"</f>
        <v>9780374535957</v>
      </c>
      <c r="AI1846" s="1">
        <v>0.0</v>
      </c>
      <c r="AJ1846" s="1">
        <v>4.04</v>
      </c>
      <c r="AK1846" s="1" t="s">
        <v>1113</v>
      </c>
      <c r="AL1846" s="1" t="s">
        <v>28</v>
      </c>
      <c r="AM1846" s="1">
        <v>221.0</v>
      </c>
      <c r="AN1846" s="1">
        <v>2017.0</v>
      </c>
      <c r="AO1846" s="1">
        <v>2017.0</v>
      </c>
      <c r="AQ1846" s="4">
        <v>44118.0</v>
      </c>
      <c r="AR1846" s="1" t="s">
        <v>31</v>
      </c>
      <c r="AS1846" s="1" t="s">
        <v>8062</v>
      </c>
      <c r="AT1846" s="1" t="s">
        <v>31</v>
      </c>
      <c r="AX1846" s="1">
        <v>0.0</v>
      </c>
      <c r="AY1846" s="1">
        <v>0.0</v>
      </c>
    </row>
    <row r="1847" spans="20:51" ht="15.75" hidden="1">
      <c r="T1847" s="1">
        <v>1.5805345E7</v>
      </c>
      <c r="U1847" s="1"/>
      <c r="V1847" s="1"/>
      <c r="W1847" s="1"/>
      <c r="X1847" s="1"/>
      <c r="Y1847" s="1" t="s">
        <v>8063</v>
      </c>
      <c r="Z1847" s="1" t="s">
        <v>8064</v>
      </c>
      <c r="AA1847" s="1" t="s">
        <v>8065</v>
      </c>
      <c r="AB1847" s="1"/>
      <c r="AC1847" s="1"/>
      <c r="AD1847" s="1"/>
      <c r="AE1847" s="1"/>
      <c r="AG1847" s="2" t="str">
        <f>"0299289702"</f>
        <v>0299289702</v>
      </c>
      <c r="AH1847" s="2" t="str">
        <f>"9780299289706"</f>
        <v>9780299289706</v>
      </c>
      <c r="AI1847" s="1">
        <v>0.0</v>
      </c>
      <c r="AJ1847" s="1">
        <v>4.07</v>
      </c>
      <c r="AK1847" s="1" t="s">
        <v>175</v>
      </c>
      <c r="AL1847" s="1" t="s">
        <v>41</v>
      </c>
      <c r="AM1847" s="1">
        <v>275.0</v>
      </c>
      <c r="AN1847" s="1">
        <v>2012.0</v>
      </c>
      <c r="AO1847" s="1">
        <v>2012.0</v>
      </c>
      <c r="AQ1847" s="4">
        <v>44118.0</v>
      </c>
      <c r="AR1847" s="1" t="s">
        <v>31</v>
      </c>
      <c r="AS1847" s="1" t="s">
        <v>8066</v>
      </c>
      <c r="AT1847" s="1" t="s">
        <v>31</v>
      </c>
      <c r="AX1847" s="1">
        <v>0.0</v>
      </c>
      <c r="AY1847" s="1">
        <v>0.0</v>
      </c>
    </row>
    <row r="1848" spans="20:51" ht="15.75" hidden="1">
      <c r="T1848" s="1">
        <v>179404.0</v>
      </c>
      <c r="U1848" s="1"/>
      <c r="V1848" s="1"/>
      <c r="W1848" s="1"/>
      <c r="X1848" s="1"/>
      <c r="Y1848" s="1" t="s">
        <v>8067</v>
      </c>
      <c r="Z1848" s="1" t="s">
        <v>8068</v>
      </c>
      <c r="AA1848" s="1" t="s">
        <v>8069</v>
      </c>
      <c r="AB1848" s="1"/>
      <c r="AC1848" s="1"/>
      <c r="AD1848" s="1"/>
      <c r="AE1848" s="1"/>
      <c r="AG1848" s="2" t="str">
        <f>"089281506X"</f>
        <v>089281506X</v>
      </c>
      <c r="AH1848" s="2" t="str">
        <f>"9780892815067"</f>
        <v>9780892815067</v>
      </c>
      <c r="AI1848" s="1">
        <v>0.0</v>
      </c>
      <c r="AJ1848" s="1">
        <v>4.03</v>
      </c>
      <c r="AK1848" s="1" t="s">
        <v>8070</v>
      </c>
      <c r="AL1848" s="1" t="s">
        <v>41</v>
      </c>
      <c r="AM1848" s="1">
        <v>375.0</v>
      </c>
      <c r="AN1848" s="1">
        <v>1995.0</v>
      </c>
      <c r="AO1848" s="1">
        <v>1934.0</v>
      </c>
      <c r="AQ1848" s="4">
        <v>44118.0</v>
      </c>
      <c r="AR1848" s="1" t="s">
        <v>31</v>
      </c>
      <c r="AS1848" s="1" t="s">
        <v>8071</v>
      </c>
      <c r="AT1848" s="1" t="s">
        <v>31</v>
      </c>
      <c r="AX1848" s="1">
        <v>0.0</v>
      </c>
      <c r="AY1848" s="1">
        <v>0.0</v>
      </c>
    </row>
    <row r="1849" spans="20:51" ht="15.75" hidden="1">
      <c r="T1849" s="1">
        <v>3549014.0</v>
      </c>
      <c r="U1849" s="1"/>
      <c r="V1849" s="1"/>
      <c r="W1849" s="1"/>
      <c r="X1849" s="1"/>
      <c r="Y1849" s="1" t="s">
        <v>8072</v>
      </c>
      <c r="Z1849" s="1" t="s">
        <v>8073</v>
      </c>
      <c r="AA1849" s="1" t="s">
        <v>8074</v>
      </c>
      <c r="AB1849" s="1"/>
      <c r="AC1849" s="1"/>
      <c r="AD1849" s="1"/>
      <c r="AE1849" s="1"/>
      <c r="AG1849" s="2" t="str">
        <f>"8432208760"</f>
        <v>8432208760</v>
      </c>
      <c r="AH1849" s="2" t="str">
        <f>"9788432208768"</f>
        <v>9788432208768</v>
      </c>
      <c r="AI1849" s="1">
        <v>0.0</v>
      </c>
      <c r="AJ1849" s="1">
        <v>4.12</v>
      </c>
      <c r="AK1849" s="1" t="s">
        <v>3442</v>
      </c>
      <c r="AL1849" s="1" t="s">
        <v>28</v>
      </c>
      <c r="AM1849" s="1">
        <v>544.0</v>
      </c>
      <c r="AN1849" s="1">
        <v>2003.0</v>
      </c>
      <c r="AO1849" s="1">
        <v>2003.0</v>
      </c>
      <c r="AQ1849" s="4">
        <v>44118.0</v>
      </c>
      <c r="AR1849" s="1" t="s">
        <v>31</v>
      </c>
      <c r="AS1849" s="1" t="s">
        <v>8075</v>
      </c>
      <c r="AT1849" s="1" t="s">
        <v>31</v>
      </c>
      <c r="AX1849" s="1">
        <v>0.0</v>
      </c>
      <c r="AY1849" s="1">
        <v>0.0</v>
      </c>
    </row>
    <row r="1850" spans="20:51" ht="15.75" hidden="1">
      <c r="T1850" s="1">
        <v>5.2366322E7</v>
      </c>
      <c r="U1850" s="1"/>
      <c r="V1850" s="1"/>
      <c r="W1850" s="1"/>
      <c r="X1850" s="1"/>
      <c r="Y1850" s="1" t="s">
        <v>8076</v>
      </c>
      <c r="Z1850" s="1" t="s">
        <v>8077</v>
      </c>
      <c r="AA1850" s="1" t="s">
        <v>8078</v>
      </c>
      <c r="AB1850" s="1"/>
      <c r="AC1850" s="1"/>
      <c r="AD1850" s="1"/>
      <c r="AE1850" s="1"/>
      <c r="AG1850" s="2" t="str">
        <f>"1524747165"</f>
        <v>1524747165</v>
      </c>
      <c r="AH1850" s="2" t="str">
        <f>"9781524747169"</f>
        <v>9781524747169</v>
      </c>
      <c r="AI1850" s="1">
        <v>0.0</v>
      </c>
      <c r="AJ1850" s="1">
        <v>4.28</v>
      </c>
      <c r="AK1850" s="1" t="s">
        <v>5437</v>
      </c>
      <c r="AL1850" s="1" t="s">
        <v>41</v>
      </c>
      <c r="AM1850" s="1">
        <v>208.0</v>
      </c>
      <c r="AN1850" s="1">
        <v>2020.0</v>
      </c>
      <c r="AO1850" s="1">
        <v>2020.0</v>
      </c>
      <c r="AQ1850" s="4">
        <v>44116.0</v>
      </c>
      <c r="AR1850" s="1" t="s">
        <v>31</v>
      </c>
      <c r="AS1850" s="1" t="s">
        <v>8079</v>
      </c>
      <c r="AT1850" s="1" t="s">
        <v>31</v>
      </c>
      <c r="AX1850" s="1">
        <v>0.0</v>
      </c>
      <c r="AY1850" s="1">
        <v>0.0</v>
      </c>
    </row>
    <row r="1851" spans="20:51" ht="15.75" hidden="1">
      <c r="T1851" s="1">
        <v>670089.0</v>
      </c>
      <c r="U1851" s="1"/>
      <c r="V1851" s="1"/>
      <c r="W1851" s="1"/>
      <c r="X1851" s="1"/>
      <c r="Y1851" s="1" t="s">
        <v>8080</v>
      </c>
      <c r="Z1851" s="1" t="s">
        <v>8081</v>
      </c>
      <c r="AA1851" s="1" t="s">
        <v>8082</v>
      </c>
      <c r="AB1851" s="1"/>
      <c r="AC1851" s="1"/>
      <c r="AD1851" s="1"/>
      <c r="AE1851" s="1"/>
      <c r="AF1851" s="1" t="s">
        <v>8083</v>
      </c>
      <c r="AG1851" s="2" t="str">
        <f>"0767900464"</f>
        <v>0767900464</v>
      </c>
      <c r="AH1851" s="2" t="str">
        <f>"9780767900461"</f>
        <v>9780767900461</v>
      </c>
      <c r="AI1851" s="1">
        <v>0.0</v>
      </c>
      <c r="AJ1851" s="1">
        <v>3.89</v>
      </c>
      <c r="AK1851" s="1" t="s">
        <v>3169</v>
      </c>
      <c r="AL1851" s="1" t="s">
        <v>28</v>
      </c>
      <c r="AM1851" s="1">
        <v>400.0</v>
      </c>
      <c r="AN1851" s="1">
        <v>1997.0</v>
      </c>
      <c r="AO1851" s="1">
        <v>1996.0</v>
      </c>
      <c r="AQ1851" s="3">
        <v>44107.0</v>
      </c>
      <c r="AR1851" s="1" t="s">
        <v>31</v>
      </c>
      <c r="AS1851" s="1" t="s">
        <v>8084</v>
      </c>
      <c r="AT1851" s="1" t="s">
        <v>31</v>
      </c>
      <c r="AX1851" s="1">
        <v>0.0</v>
      </c>
      <c r="AY1851" s="1">
        <v>0.0</v>
      </c>
    </row>
    <row r="1852" spans="20:51" ht="15.75" hidden="1">
      <c r="T1852" s="1">
        <v>582067.0</v>
      </c>
      <c r="U1852" s="1"/>
      <c r="V1852" s="1"/>
      <c r="W1852" s="1"/>
      <c r="X1852" s="1"/>
      <c r="Y1852" s="1" t="s">
        <v>8085</v>
      </c>
      <c r="Z1852" s="1" t="s">
        <v>2725</v>
      </c>
      <c r="AA1852" s="1" t="s">
        <v>2726</v>
      </c>
      <c r="AB1852" s="1"/>
      <c r="AC1852" s="1"/>
      <c r="AD1852" s="1"/>
      <c r="AE1852" s="1"/>
      <c r="AG1852" s="2" t="str">
        <f>"0394703170"</f>
        <v>0394703170</v>
      </c>
      <c r="AH1852" s="2" t="str">
        <f>"9780394703176"</f>
        <v>9780394703176</v>
      </c>
      <c r="AI1852" s="1">
        <v>0.0</v>
      </c>
      <c r="AJ1852" s="1">
        <v>4.13</v>
      </c>
      <c r="AK1852" s="1" t="s">
        <v>83</v>
      </c>
      <c r="AL1852" s="1" t="s">
        <v>28</v>
      </c>
      <c r="AM1852" s="1">
        <v>434.0</v>
      </c>
      <c r="AN1852" s="1">
        <v>1964.0</v>
      </c>
      <c r="AO1852" s="1">
        <v>1963.0</v>
      </c>
      <c r="AQ1852" s="3">
        <v>44107.0</v>
      </c>
      <c r="AR1852" s="1" t="s">
        <v>31</v>
      </c>
      <c r="AS1852" s="1" t="s">
        <v>8086</v>
      </c>
      <c r="AT1852" s="1" t="s">
        <v>31</v>
      </c>
      <c r="AX1852" s="1">
        <v>0.0</v>
      </c>
      <c r="AY1852" s="1">
        <v>0.0</v>
      </c>
    </row>
    <row r="1853" spans="20:51" ht="15.75" hidden="1">
      <c r="T1853" s="1">
        <v>416129.0</v>
      </c>
      <c r="U1853" s="1"/>
      <c r="V1853" s="1"/>
      <c r="W1853" s="1"/>
      <c r="X1853" s="1"/>
      <c r="Y1853" s="1" t="s">
        <v>8087</v>
      </c>
      <c r="Z1853" s="1" t="s">
        <v>8088</v>
      </c>
      <c r="AA1853" s="1" t="s">
        <v>8089</v>
      </c>
      <c r="AB1853" s="1"/>
      <c r="AC1853" s="1"/>
      <c r="AD1853" s="1"/>
      <c r="AE1853" s="1"/>
      <c r="AG1853" s="2" t="str">
        <f>"0807079170"</f>
        <v>0807079170</v>
      </c>
      <c r="AH1853" s="2" t="str">
        <f>"9780807079171"</f>
        <v>9780807079171</v>
      </c>
      <c r="AI1853" s="1">
        <v>0.0</v>
      </c>
      <c r="AJ1853" s="1">
        <v>4.17</v>
      </c>
      <c r="AK1853" s="1" t="s">
        <v>831</v>
      </c>
      <c r="AL1853" s="1" t="s">
        <v>28</v>
      </c>
      <c r="AM1853" s="1">
        <v>132.0</v>
      </c>
      <c r="AN1853" s="1">
        <v>1992.0</v>
      </c>
      <c r="AO1853" s="1">
        <v>1980.0</v>
      </c>
      <c r="AQ1853" s="3">
        <v>44107.0</v>
      </c>
      <c r="AR1853" s="1" t="s">
        <v>31</v>
      </c>
      <c r="AS1853" s="1" t="s">
        <v>8090</v>
      </c>
      <c r="AT1853" s="1" t="s">
        <v>31</v>
      </c>
      <c r="AX1853" s="1">
        <v>0.0</v>
      </c>
      <c r="AY1853" s="1">
        <v>0.0</v>
      </c>
    </row>
    <row r="1854" spans="20:51" ht="15.75" hidden="1">
      <c r="T1854" s="1">
        <v>4344454.0</v>
      </c>
      <c r="U1854" s="1"/>
      <c r="V1854" s="1"/>
      <c r="W1854" s="1"/>
      <c r="X1854" s="1"/>
      <c r="Y1854" s="1" t="s">
        <v>8091</v>
      </c>
      <c r="Z1854" s="1" t="s">
        <v>8092</v>
      </c>
      <c r="AA1854" s="1" t="s">
        <v>8093</v>
      </c>
      <c r="AB1854" s="1"/>
      <c r="AC1854" s="1"/>
      <c r="AD1854" s="1"/>
      <c r="AE1854" s="1"/>
      <c r="AG1854" s="2" t="str">
        <f>"1564785181"</f>
        <v>1564785181</v>
      </c>
      <c r="AH1854" s="2" t="str">
        <f>"9781564785183"</f>
        <v>9781564785183</v>
      </c>
      <c r="AI1854" s="1">
        <v>0.0</v>
      </c>
      <c r="AJ1854" s="1">
        <v>3.54</v>
      </c>
      <c r="AK1854" s="1" t="s">
        <v>27</v>
      </c>
      <c r="AL1854" s="1" t="s">
        <v>28</v>
      </c>
      <c r="AM1854" s="1">
        <v>102.0</v>
      </c>
      <c r="AN1854" s="1">
        <v>2008.0</v>
      </c>
      <c r="AO1854" s="1">
        <v>1985.0</v>
      </c>
      <c r="AQ1854" s="3">
        <v>44107.0</v>
      </c>
      <c r="AR1854" s="1" t="s">
        <v>31</v>
      </c>
      <c r="AS1854" s="1" t="s">
        <v>8094</v>
      </c>
      <c r="AT1854" s="1" t="s">
        <v>31</v>
      </c>
      <c r="AX1854" s="1">
        <v>0.0</v>
      </c>
      <c r="AY1854" s="1">
        <v>0.0</v>
      </c>
    </row>
    <row r="1855" spans="20:51" ht="15.75" hidden="1">
      <c r="T1855" s="1">
        <v>1464794.0</v>
      </c>
      <c r="U1855" s="1"/>
      <c r="V1855" s="1"/>
      <c r="W1855" s="1"/>
      <c r="X1855" s="1"/>
      <c r="Y1855" s="1" t="s">
        <v>8095</v>
      </c>
      <c r="Z1855" s="1" t="s">
        <v>8096</v>
      </c>
      <c r="AA1855" s="1" t="s">
        <v>8097</v>
      </c>
      <c r="AB1855" s="1"/>
      <c r="AC1855" s="1"/>
      <c r="AD1855" s="1"/>
      <c r="AE1855" s="1"/>
      <c r="AG1855" s="2" t="str">
        <f>"0500284709"</f>
        <v>0500284709</v>
      </c>
      <c r="AH1855" s="2" t="str">
        <f>"9780500284704"</f>
        <v>9780500284704</v>
      </c>
      <c r="AI1855" s="1">
        <v>0.0</v>
      </c>
      <c r="AJ1855" s="1">
        <v>4.37</v>
      </c>
      <c r="AK1855" s="1" t="s">
        <v>435</v>
      </c>
      <c r="AL1855" s="1" t="s">
        <v>28</v>
      </c>
      <c r="AM1855" s="1">
        <v>335.0</v>
      </c>
      <c r="AN1855" s="1">
        <v>2004.0</v>
      </c>
      <c r="AO1855" s="1">
        <v>2000.0</v>
      </c>
      <c r="AQ1855" s="3">
        <v>44107.0</v>
      </c>
      <c r="AR1855" s="1" t="s">
        <v>31</v>
      </c>
      <c r="AS1855" s="1" t="s">
        <v>8098</v>
      </c>
      <c r="AT1855" s="1" t="s">
        <v>31</v>
      </c>
      <c r="AX1855" s="1">
        <v>0.0</v>
      </c>
      <c r="AY1855" s="1">
        <v>0.0</v>
      </c>
    </row>
    <row r="1856" spans="20:51" ht="15.75" hidden="1">
      <c r="T1856" s="1">
        <v>4.6123478E7</v>
      </c>
      <c r="U1856" s="1"/>
      <c r="V1856" s="1"/>
      <c r="W1856" s="1"/>
      <c r="X1856" s="1"/>
      <c r="Y1856" s="1" t="s">
        <v>8099</v>
      </c>
      <c r="Z1856" s="1" t="s">
        <v>8100</v>
      </c>
      <c r="AA1856" s="1" t="s">
        <v>8101</v>
      </c>
      <c r="AB1856" s="1"/>
      <c r="AC1856" s="1"/>
      <c r="AD1856" s="1"/>
      <c r="AE1856" s="1"/>
      <c r="AF1856" s="1" t="s">
        <v>8102</v>
      </c>
      <c r="AG1856" s="2" t="str">
        <f t="shared" si="156" ref="AG1856:AH1856">""</f>
        <v/>
      </c>
      <c r="AH1856" s="2" t="str">
        <f t="shared" si="156"/>
        <v/>
      </c>
      <c r="AI1856" s="1">
        <v>0.0</v>
      </c>
      <c r="AJ1856" s="1">
        <v>3.63</v>
      </c>
      <c r="AK1856" s="1" t="s">
        <v>1681</v>
      </c>
      <c r="AL1856" s="1" t="s">
        <v>59</v>
      </c>
      <c r="AM1856" s="1">
        <v>177.0</v>
      </c>
      <c r="AN1856" s="1">
        <v>2019.0</v>
      </c>
      <c r="AO1856" s="1">
        <v>2019.0</v>
      </c>
      <c r="AQ1856" s="3">
        <v>44103.0</v>
      </c>
      <c r="AR1856" s="1" t="s">
        <v>31</v>
      </c>
      <c r="AS1856" s="1" t="s">
        <v>8103</v>
      </c>
      <c r="AT1856" s="1" t="s">
        <v>31</v>
      </c>
      <c r="AX1856" s="1">
        <v>0.0</v>
      </c>
      <c r="AY1856" s="1">
        <v>0.0</v>
      </c>
    </row>
    <row r="1857" spans="20:51" ht="15.75" hidden="1">
      <c r="T1857" s="1">
        <v>5954.0</v>
      </c>
      <c r="U1857" s="1"/>
      <c r="V1857" s="1"/>
      <c r="W1857" s="1"/>
      <c r="X1857" s="1"/>
      <c r="Y1857" s="1" t="s">
        <v>8104</v>
      </c>
      <c r="Z1857" s="1" t="s">
        <v>8105</v>
      </c>
      <c r="AA1857" s="1" t="s">
        <v>8106</v>
      </c>
      <c r="AB1857" s="1"/>
      <c r="AC1857" s="1"/>
      <c r="AD1857" s="1"/>
      <c r="AE1857" s="1"/>
      <c r="AF1857" s="1" t="s">
        <v>8107</v>
      </c>
      <c r="AG1857" s="2" t="str">
        <f>"0374506841"</f>
        <v>0374506841</v>
      </c>
      <c r="AH1857" s="2" t="str">
        <f>"9780374506841"</f>
        <v>9780374506841</v>
      </c>
      <c r="AI1857" s="1">
        <v>0.0</v>
      </c>
      <c r="AJ1857" s="1">
        <v>4.22</v>
      </c>
      <c r="AK1857" s="1" t="s">
        <v>8108</v>
      </c>
      <c r="AL1857" s="1" t="s">
        <v>28</v>
      </c>
      <c r="AM1857" s="1">
        <v>320.0</v>
      </c>
      <c r="AN1857" s="1">
        <v>1997.0</v>
      </c>
      <c r="AO1857" s="1">
        <v>1930.0</v>
      </c>
      <c r="AQ1857" s="3">
        <v>44103.0</v>
      </c>
      <c r="AR1857" s="1" t="s">
        <v>31</v>
      </c>
      <c r="AS1857" s="1" t="s">
        <v>8109</v>
      </c>
      <c r="AT1857" s="1" t="s">
        <v>31</v>
      </c>
      <c r="AX1857" s="1">
        <v>0.0</v>
      </c>
      <c r="AY1857" s="1">
        <v>0.0</v>
      </c>
    </row>
    <row r="1858" spans="20:51" ht="15.75" hidden="1">
      <c r="T1858" s="1">
        <v>3.6376166E7</v>
      </c>
      <c r="U1858" s="1"/>
      <c r="V1858" s="1"/>
      <c r="W1858" s="1"/>
      <c r="X1858" s="1"/>
      <c r="Y1858" s="1" t="s">
        <v>8110</v>
      </c>
      <c r="Z1858" s="1" t="s">
        <v>8111</v>
      </c>
      <c r="AA1858" s="1" t="s">
        <v>8112</v>
      </c>
      <c r="AB1858" s="1"/>
      <c r="AC1858" s="1"/>
      <c r="AD1858" s="1"/>
      <c r="AE1858" s="1"/>
      <c r="AF1858" s="1" t="s">
        <v>8102</v>
      </c>
      <c r="AG1858" s="2" t="str">
        <f>"8416290644"</f>
        <v>8416290644</v>
      </c>
      <c r="AH1858" s="2" t="str">
        <f>"9788416290642"</f>
        <v>9788416290642</v>
      </c>
      <c r="AI1858" s="1">
        <v>0.0</v>
      </c>
      <c r="AJ1858" s="1">
        <v>3.69</v>
      </c>
      <c r="AK1858" s="1" t="s">
        <v>8113</v>
      </c>
      <c r="AL1858" s="1" t="s">
        <v>41</v>
      </c>
      <c r="AM1858" s="1">
        <v>213.0</v>
      </c>
      <c r="AN1858" s="1">
        <v>2017.0</v>
      </c>
      <c r="AO1858" s="1">
        <v>2015.0</v>
      </c>
      <c r="AQ1858" s="3">
        <v>44103.0</v>
      </c>
      <c r="AR1858" s="1" t="s">
        <v>31</v>
      </c>
      <c r="AS1858" s="1" t="s">
        <v>8114</v>
      </c>
      <c r="AT1858" s="1" t="s">
        <v>31</v>
      </c>
      <c r="AX1858" s="1">
        <v>0.0</v>
      </c>
      <c r="AY1858" s="1">
        <v>0.0</v>
      </c>
    </row>
    <row r="1859" spans="20:51" ht="15.75" hidden="1">
      <c r="T1859" s="1">
        <v>350.0</v>
      </c>
      <c r="U1859" s="1"/>
      <c r="V1859" s="1"/>
      <c r="W1859" s="1"/>
      <c r="X1859" s="1"/>
      <c r="Y1859" s="1" t="s">
        <v>8115</v>
      </c>
      <c r="Z1859" s="1" t="s">
        <v>6975</v>
      </c>
      <c r="AA1859" s="1" t="s">
        <v>6976</v>
      </c>
      <c r="AB1859" s="1"/>
      <c r="AC1859" s="1"/>
      <c r="AD1859" s="1"/>
      <c r="AE1859" s="1"/>
      <c r="AF1859" s="1" t="s">
        <v>8116</v>
      </c>
      <c r="AG1859" s="2" t="str">
        <f t="shared" si="157" ref="AG1859:AH1859">""</f>
        <v/>
      </c>
      <c r="AH1859" s="2" t="str">
        <f t="shared" si="157"/>
        <v/>
      </c>
      <c r="AI1859" s="1">
        <v>0.0</v>
      </c>
      <c r="AJ1859" s="1">
        <v>3.92</v>
      </c>
      <c r="AK1859" s="1" t="s">
        <v>2484</v>
      </c>
      <c r="AL1859" s="1" t="s">
        <v>28</v>
      </c>
      <c r="AM1859" s="1">
        <v>525.0</v>
      </c>
      <c r="AN1859" s="1">
        <v>1991.0</v>
      </c>
      <c r="AO1859" s="1">
        <v>1961.0</v>
      </c>
      <c r="AQ1859" s="3">
        <v>44102.0</v>
      </c>
      <c r="AR1859" s="1" t="s">
        <v>31</v>
      </c>
      <c r="AS1859" s="1" t="s">
        <v>8117</v>
      </c>
      <c r="AT1859" s="1" t="s">
        <v>31</v>
      </c>
      <c r="AX1859" s="1">
        <v>0.0</v>
      </c>
      <c r="AY1859" s="1">
        <v>0.0</v>
      </c>
    </row>
    <row r="1860" spans="20:51" ht="15.75" hidden="1">
      <c r="T1860" s="1">
        <v>3.1426504E7</v>
      </c>
      <c r="U1860" s="1"/>
      <c r="V1860" s="1"/>
      <c r="W1860" s="1"/>
      <c r="X1860" s="1"/>
      <c r="Y1860" s="1" t="s">
        <v>8118</v>
      </c>
      <c r="Z1860" s="1" t="s">
        <v>8119</v>
      </c>
      <c r="AA1860" s="1" t="s">
        <v>8120</v>
      </c>
      <c r="AB1860" s="1"/>
      <c r="AC1860" s="1"/>
      <c r="AD1860" s="1"/>
      <c r="AE1860" s="1"/>
      <c r="AG1860" s="2" t="str">
        <f>"9874568860"</f>
        <v>9874568860</v>
      </c>
      <c r="AH1860" s="2" t="str">
        <f>"9789874568861"</f>
        <v>9789874568861</v>
      </c>
      <c r="AI1860" s="1">
        <v>0.0</v>
      </c>
      <c r="AJ1860" s="1">
        <v>3.6</v>
      </c>
      <c r="AK1860" s="1" t="s">
        <v>8121</v>
      </c>
      <c r="AL1860" s="1" t="s">
        <v>28</v>
      </c>
      <c r="AM1860" s="1">
        <v>136.0</v>
      </c>
      <c r="AN1860" s="1">
        <v>2016.0</v>
      </c>
      <c r="AO1860" s="1">
        <v>1965.0</v>
      </c>
      <c r="AQ1860" s="3">
        <v>44100.0</v>
      </c>
      <c r="AR1860" s="1" t="s">
        <v>31</v>
      </c>
      <c r="AS1860" s="1" t="s">
        <v>8122</v>
      </c>
      <c r="AT1860" s="1" t="s">
        <v>31</v>
      </c>
      <c r="AX1860" s="1">
        <v>0.0</v>
      </c>
      <c r="AY1860" s="1">
        <v>0.0</v>
      </c>
    </row>
    <row r="1861" spans="20:51" ht="15.75" hidden="1">
      <c r="T1861" s="1">
        <v>673628.0</v>
      </c>
      <c r="U1861" s="1"/>
      <c r="V1861" s="1"/>
      <c r="W1861" s="1"/>
      <c r="X1861" s="1"/>
      <c r="Y1861" s="1" t="s">
        <v>8123</v>
      </c>
      <c r="Z1861" s="1" t="s">
        <v>3241</v>
      </c>
      <c r="AA1861" s="1" t="s">
        <v>3242</v>
      </c>
      <c r="AB1861" s="1"/>
      <c r="AC1861" s="1"/>
      <c r="AD1861" s="1"/>
      <c r="AE1861" s="1"/>
      <c r="AG1861" s="2" t="str">
        <f>"8433924931"</f>
        <v>8433924931</v>
      </c>
      <c r="AH1861" s="2" t="str">
        <f>"9788433924933"</f>
        <v>9788433924933</v>
      </c>
      <c r="AI1861" s="1">
        <v>0.0</v>
      </c>
      <c r="AJ1861" s="1">
        <v>3.86</v>
      </c>
      <c r="AK1861" s="1" t="s">
        <v>1146</v>
      </c>
      <c r="AL1861" s="1" t="s">
        <v>41</v>
      </c>
      <c r="AM1861" s="1">
        <v>192.0</v>
      </c>
      <c r="AN1861" s="1">
        <v>2002.0</v>
      </c>
      <c r="AO1861" s="1">
        <v>1975.0</v>
      </c>
      <c r="AQ1861" s="3">
        <v>44099.0</v>
      </c>
      <c r="AR1861" s="1" t="s">
        <v>31</v>
      </c>
      <c r="AS1861" s="1" t="s">
        <v>8124</v>
      </c>
      <c r="AT1861" s="1" t="s">
        <v>31</v>
      </c>
      <c r="AX1861" s="1">
        <v>0.0</v>
      </c>
      <c r="AY1861" s="1">
        <v>0.0</v>
      </c>
    </row>
    <row r="1862" spans="20:51" ht="15.75" hidden="1">
      <c r="T1862" s="1">
        <v>6277018.0</v>
      </c>
      <c r="U1862" s="1"/>
      <c r="V1862" s="1"/>
      <c r="W1862" s="1"/>
      <c r="X1862" s="1"/>
      <c r="Y1862" s="1" t="s">
        <v>8125</v>
      </c>
      <c r="Z1862" s="1" t="s">
        <v>8126</v>
      </c>
      <c r="AA1862" s="1" t="s">
        <v>8127</v>
      </c>
      <c r="AB1862" s="1"/>
      <c r="AC1862" s="1"/>
      <c r="AD1862" s="1"/>
      <c r="AE1862" s="1"/>
      <c r="AG1862" s="2" t="str">
        <f t="shared" si="158" ref="AG1862:AH1862">""</f>
        <v/>
      </c>
      <c r="AH1862" s="2" t="str">
        <f t="shared" si="158"/>
        <v/>
      </c>
      <c r="AI1862" s="1">
        <v>0.0</v>
      </c>
      <c r="AJ1862" s="1">
        <v>4.18</v>
      </c>
      <c r="AK1862" s="1" t="s">
        <v>8128</v>
      </c>
      <c r="AL1862" s="1" t="s">
        <v>315</v>
      </c>
      <c r="AM1862" s="1">
        <v>168.0</v>
      </c>
      <c r="AN1862" s="1">
        <v>2007.0</v>
      </c>
      <c r="AO1862" s="1">
        <v>2007.0</v>
      </c>
      <c r="AQ1862" s="3">
        <v>44099.0</v>
      </c>
      <c r="AR1862" s="1" t="s">
        <v>31</v>
      </c>
      <c r="AS1862" s="1" t="s">
        <v>8129</v>
      </c>
      <c r="AT1862" s="1" t="s">
        <v>31</v>
      </c>
      <c r="AX1862" s="1">
        <v>0.0</v>
      </c>
      <c r="AY1862" s="1">
        <v>0.0</v>
      </c>
    </row>
    <row r="1863" spans="20:51" ht="15.75" hidden="1">
      <c r="T1863" s="1">
        <v>8686178.0</v>
      </c>
      <c r="U1863" s="1"/>
      <c r="V1863" s="1"/>
      <c r="W1863" s="1"/>
      <c r="X1863" s="1"/>
      <c r="Y1863" s="1" t="s">
        <v>8130</v>
      </c>
      <c r="Z1863" s="1" t="s">
        <v>8131</v>
      </c>
      <c r="AA1863" s="1" t="s">
        <v>8132</v>
      </c>
      <c r="AB1863" s="1"/>
      <c r="AC1863" s="1"/>
      <c r="AD1863" s="1"/>
      <c r="AE1863" s="1"/>
      <c r="AG1863" s="2" t="str">
        <f>"8449300487"</f>
        <v>8449300487</v>
      </c>
      <c r="AH1863" s="2" t="str">
        <f>"9788449300486"</f>
        <v>9788449300486</v>
      </c>
      <c r="AI1863" s="1">
        <v>0.0</v>
      </c>
      <c r="AJ1863" s="1">
        <v>3.64</v>
      </c>
      <c r="AK1863" s="1" t="s">
        <v>8133</v>
      </c>
      <c r="AL1863" s="1" t="s">
        <v>41</v>
      </c>
      <c r="AM1863" s="1">
        <v>485.0</v>
      </c>
      <c r="AN1863" s="1">
        <v>1994.0</v>
      </c>
      <c r="AO1863" s="1">
        <v>1991.0</v>
      </c>
      <c r="AQ1863" s="3">
        <v>44099.0</v>
      </c>
      <c r="AR1863" s="1" t="s">
        <v>31</v>
      </c>
      <c r="AS1863" s="1" t="s">
        <v>8134</v>
      </c>
      <c r="AT1863" s="1" t="s">
        <v>31</v>
      </c>
      <c r="AX1863" s="1">
        <v>0.0</v>
      </c>
      <c r="AY1863" s="1">
        <v>0.0</v>
      </c>
    </row>
    <row r="1864" spans="20:51" ht="15.75" hidden="1">
      <c r="T1864" s="1">
        <v>2.6828302E7</v>
      </c>
      <c r="U1864" s="1"/>
      <c r="V1864" s="1"/>
      <c r="W1864" s="1"/>
      <c r="X1864" s="1"/>
      <c r="Y1864" s="1" t="s">
        <v>8135</v>
      </c>
      <c r="Z1864" s="1" t="s">
        <v>8136</v>
      </c>
      <c r="AA1864" s="1" t="s">
        <v>8137</v>
      </c>
      <c r="AB1864" s="1"/>
      <c r="AC1864" s="1"/>
      <c r="AD1864" s="1"/>
      <c r="AE1864" s="1"/>
      <c r="AG1864" s="2" t="str">
        <f>"6073134150"</f>
        <v>6073134150</v>
      </c>
      <c r="AH1864" s="2" t="str">
        <f>"9786073134156"</f>
        <v>9786073134156</v>
      </c>
      <c r="AI1864" s="1">
        <v>0.0</v>
      </c>
      <c r="AJ1864" s="1">
        <v>3.89</v>
      </c>
      <c r="AK1864" s="1" t="s">
        <v>8138</v>
      </c>
      <c r="AL1864" s="1" t="s">
        <v>59</v>
      </c>
      <c r="AM1864" s="1">
        <v>303.0</v>
      </c>
      <c r="AN1864" s="1">
        <v>2015.0</v>
      </c>
      <c r="AO1864" s="1">
        <v>2015.0</v>
      </c>
      <c r="AQ1864" s="3">
        <v>44097.0</v>
      </c>
      <c r="AR1864" s="1" t="s">
        <v>31</v>
      </c>
      <c r="AS1864" s="1" t="s">
        <v>8139</v>
      </c>
      <c r="AT1864" s="1" t="s">
        <v>31</v>
      </c>
      <c r="AX1864" s="1">
        <v>0.0</v>
      </c>
      <c r="AY1864" s="1">
        <v>0.0</v>
      </c>
    </row>
    <row r="1865" spans="20:51" ht="15.75" hidden="1">
      <c r="T1865" s="1">
        <v>1.5826372E7</v>
      </c>
      <c r="U1865" s="1"/>
      <c r="V1865" s="1"/>
      <c r="W1865" s="1"/>
      <c r="X1865" s="1"/>
      <c r="Y1865" s="1" t="s">
        <v>8140</v>
      </c>
      <c r="Z1865" s="1" t="s">
        <v>8141</v>
      </c>
      <c r="AA1865" s="1" t="s">
        <v>8142</v>
      </c>
      <c r="AB1865" s="1"/>
      <c r="AC1865" s="1"/>
      <c r="AD1865" s="1"/>
      <c r="AE1865" s="1"/>
      <c r="AG1865" s="2" t="str">
        <f>"841560100X"</f>
        <v>841560100X</v>
      </c>
      <c r="AH1865" s="2" t="str">
        <f>"9788415601005"</f>
        <v>9788415601005</v>
      </c>
      <c r="AI1865" s="1">
        <v>0.0</v>
      </c>
      <c r="AJ1865" s="1">
        <v>3.61</v>
      </c>
      <c r="AK1865" s="1" t="s">
        <v>8143</v>
      </c>
      <c r="AL1865" s="1" t="s">
        <v>28</v>
      </c>
      <c r="AM1865" s="1">
        <v>280.0</v>
      </c>
      <c r="AN1865" s="1">
        <v>2012.0</v>
      </c>
      <c r="AO1865" s="1">
        <v>2012.0</v>
      </c>
      <c r="AQ1865" s="3">
        <v>44097.0</v>
      </c>
      <c r="AR1865" s="1" t="s">
        <v>31</v>
      </c>
      <c r="AS1865" s="1" t="s">
        <v>8144</v>
      </c>
      <c r="AT1865" s="1" t="s">
        <v>31</v>
      </c>
      <c r="AX1865" s="1">
        <v>0.0</v>
      </c>
      <c r="AY1865" s="1">
        <v>0.0</v>
      </c>
    </row>
    <row r="1866" spans="20:51" ht="15.75" hidden="1">
      <c r="T1866" s="1">
        <v>1.7706541E7</v>
      </c>
      <c r="U1866" s="1"/>
      <c r="V1866" s="1"/>
      <c r="W1866" s="1"/>
      <c r="X1866" s="1"/>
      <c r="Y1866" s="1" t="s">
        <v>8145</v>
      </c>
      <c r="Z1866" s="1" t="s">
        <v>8146</v>
      </c>
      <c r="AA1866" s="1" t="s">
        <v>8147</v>
      </c>
      <c r="AB1866" s="1"/>
      <c r="AC1866" s="1"/>
      <c r="AD1866" s="1"/>
      <c r="AE1866" s="1"/>
      <c r="AG1866" s="2" t="str">
        <f>"6074111197"</f>
        <v>6074111197</v>
      </c>
      <c r="AH1866" s="2" t="str">
        <f>"9786074111194"</f>
        <v>9786074111194</v>
      </c>
      <c r="AI1866" s="1">
        <v>0.0</v>
      </c>
      <c r="AJ1866" s="1">
        <v>3.7</v>
      </c>
      <c r="AK1866" s="1" t="s">
        <v>8148</v>
      </c>
      <c r="AL1866" s="1" t="s">
        <v>28</v>
      </c>
      <c r="AM1866" s="1">
        <v>214.0</v>
      </c>
      <c r="AN1866" s="1">
        <v>2013.0</v>
      </c>
      <c r="AO1866" s="1">
        <v>2013.0</v>
      </c>
      <c r="AQ1866" s="3">
        <v>44097.0</v>
      </c>
      <c r="AR1866" s="1" t="s">
        <v>31</v>
      </c>
      <c r="AS1866" s="1" t="s">
        <v>8149</v>
      </c>
      <c r="AT1866" s="1" t="s">
        <v>31</v>
      </c>
      <c r="AX1866" s="1">
        <v>0.0</v>
      </c>
      <c r="AY1866" s="1">
        <v>0.0</v>
      </c>
    </row>
    <row r="1867" spans="20:51" ht="15.75" hidden="1">
      <c r="T1867" s="1">
        <v>3.6526771E7</v>
      </c>
      <c r="U1867" s="1"/>
      <c r="V1867" s="1"/>
      <c r="W1867" s="1"/>
      <c r="X1867" s="1"/>
      <c r="Y1867" s="1" t="s">
        <v>8150</v>
      </c>
      <c r="Z1867" s="1" t="s">
        <v>8151</v>
      </c>
      <c r="AA1867" s="1" t="s">
        <v>8152</v>
      </c>
      <c r="AB1867" s="1"/>
      <c r="AC1867" s="1"/>
      <c r="AD1867" s="1"/>
      <c r="AE1867" s="1"/>
      <c r="AF1867" s="1" t="s">
        <v>8153</v>
      </c>
      <c r="AG1867" s="2" t="str">
        <f>"8416291578"</f>
        <v>8416291578</v>
      </c>
      <c r="AH1867" s="2" t="str">
        <f>"9788416291571"</f>
        <v>9788416291571</v>
      </c>
      <c r="AI1867" s="1">
        <v>0.0</v>
      </c>
      <c r="AJ1867" s="1">
        <v>3.71</v>
      </c>
      <c r="AK1867" s="1" t="s">
        <v>8154</v>
      </c>
      <c r="AL1867" s="1" t="s">
        <v>28</v>
      </c>
      <c r="AM1867" s="1">
        <v>288.0</v>
      </c>
      <c r="AN1867" s="1">
        <v>2017.0</v>
      </c>
      <c r="AO1867" s="1">
        <v>1963.0</v>
      </c>
      <c r="AQ1867" s="3">
        <v>44097.0</v>
      </c>
      <c r="AR1867" s="1" t="s">
        <v>31</v>
      </c>
      <c r="AS1867" s="1" t="s">
        <v>8155</v>
      </c>
      <c r="AT1867" s="1" t="s">
        <v>31</v>
      </c>
      <c r="AX1867" s="1">
        <v>0.0</v>
      </c>
      <c r="AY1867" s="1">
        <v>0.0</v>
      </c>
    </row>
    <row r="1868" spans="20:51" ht="15.75" hidden="1">
      <c r="T1868" s="1">
        <v>4.4151421E7</v>
      </c>
      <c r="U1868" s="1"/>
      <c r="V1868" s="1"/>
      <c r="W1868" s="1"/>
      <c r="X1868" s="1"/>
      <c r="Y1868" s="1" t="s">
        <v>8156</v>
      </c>
      <c r="Z1868" s="1" t="s">
        <v>8157</v>
      </c>
      <c r="AA1868" s="1" t="s">
        <v>8158</v>
      </c>
      <c r="AB1868" s="1"/>
      <c r="AC1868" s="1"/>
      <c r="AD1868" s="1"/>
      <c r="AE1868" s="1"/>
      <c r="AG1868" s="2" t="str">
        <f>"8417747109"</f>
        <v>8417747109</v>
      </c>
      <c r="AH1868" s="2" t="str">
        <f>"9788417747107"</f>
        <v>9788417747107</v>
      </c>
      <c r="AI1868" s="1">
        <v>0.0</v>
      </c>
      <c r="AJ1868" s="1">
        <v>3.78</v>
      </c>
      <c r="AK1868" s="1" t="s">
        <v>8159</v>
      </c>
      <c r="AL1868" s="1" t="s">
        <v>28</v>
      </c>
      <c r="AM1868" s="1">
        <v>240.0</v>
      </c>
      <c r="AN1868" s="1">
        <v>2019.0</v>
      </c>
      <c r="AQ1868" s="3">
        <v>44095.0</v>
      </c>
      <c r="AR1868" s="1" t="s">
        <v>31</v>
      </c>
      <c r="AS1868" s="1" t="s">
        <v>8160</v>
      </c>
      <c r="AT1868" s="1" t="s">
        <v>31</v>
      </c>
      <c r="AX1868" s="1">
        <v>0.0</v>
      </c>
      <c r="AY1868" s="1">
        <v>0.0</v>
      </c>
    </row>
    <row r="1869" spans="20:51" ht="15.75" hidden="1">
      <c r="T1869" s="1">
        <v>4.1587567E7</v>
      </c>
      <c r="U1869" s="1"/>
      <c r="V1869" s="1"/>
      <c r="W1869" s="1"/>
      <c r="X1869" s="1"/>
      <c r="Y1869" s="1" t="s">
        <v>8161</v>
      </c>
      <c r="Z1869" s="1" t="s">
        <v>8162</v>
      </c>
      <c r="AA1869" s="1" t="s">
        <v>8163</v>
      </c>
      <c r="AB1869" s="1"/>
      <c r="AC1869" s="1"/>
      <c r="AD1869" s="1"/>
      <c r="AE1869" s="1"/>
      <c r="AF1869" s="1" t="s">
        <v>8164</v>
      </c>
      <c r="AG1869" s="2" t="str">
        <f>"8417059997"</f>
        <v>8417059997</v>
      </c>
      <c r="AH1869" s="2" t="str">
        <f>"9788417059996"</f>
        <v>9788417059996</v>
      </c>
      <c r="AI1869" s="1">
        <v>0.0</v>
      </c>
      <c r="AJ1869" s="1">
        <v>3.81</v>
      </c>
      <c r="AK1869" s="1" t="s">
        <v>8113</v>
      </c>
      <c r="AL1869" s="1" t="s">
        <v>41</v>
      </c>
      <c r="AM1869" s="1">
        <v>221.0</v>
      </c>
      <c r="AN1869" s="1">
        <v>2018.0</v>
      </c>
      <c r="AO1869" s="1">
        <v>2018.0</v>
      </c>
      <c r="AQ1869" s="3">
        <v>44095.0</v>
      </c>
      <c r="AR1869" s="1" t="s">
        <v>31</v>
      </c>
      <c r="AS1869" s="1" t="s">
        <v>8165</v>
      </c>
      <c r="AT1869" s="1" t="s">
        <v>31</v>
      </c>
      <c r="AX1869" s="1">
        <v>0.0</v>
      </c>
      <c r="AY1869" s="1">
        <v>0.0</v>
      </c>
    </row>
    <row r="1870" spans="20:51" ht="15.75" hidden="1">
      <c r="T1870" s="1">
        <v>5.2159531E7</v>
      </c>
      <c r="U1870" s="1"/>
      <c r="V1870" s="1"/>
      <c r="W1870" s="1"/>
      <c r="X1870" s="1"/>
      <c r="Y1870" s="1" t="s">
        <v>8166</v>
      </c>
      <c r="Z1870" s="1" t="s">
        <v>8167</v>
      </c>
      <c r="AA1870" s="1" t="s">
        <v>8168</v>
      </c>
      <c r="AB1870" s="1"/>
      <c r="AC1870" s="1"/>
      <c r="AD1870" s="1"/>
      <c r="AE1870" s="1"/>
      <c r="AG1870" s="2" t="str">
        <f>"8420438928"</f>
        <v>8420438928</v>
      </c>
      <c r="AH1870" s="2" t="str">
        <f>"9788420438924"</f>
        <v>9788420438924</v>
      </c>
      <c r="AI1870" s="1">
        <v>0.0</v>
      </c>
      <c r="AJ1870" s="1">
        <v>3.77</v>
      </c>
      <c r="AK1870" s="1" t="s">
        <v>8051</v>
      </c>
      <c r="AL1870" s="1" t="s">
        <v>28</v>
      </c>
      <c r="AM1870" s="1">
        <v>248.0</v>
      </c>
      <c r="AN1870" s="1">
        <v>2020.0</v>
      </c>
      <c r="AO1870" s="1">
        <v>2020.0</v>
      </c>
      <c r="AQ1870" s="3">
        <v>44095.0</v>
      </c>
      <c r="AR1870" s="1" t="s">
        <v>31</v>
      </c>
      <c r="AS1870" s="1" t="s">
        <v>8169</v>
      </c>
      <c r="AT1870" s="1" t="s">
        <v>31</v>
      </c>
      <c r="AX1870" s="1">
        <v>0.0</v>
      </c>
      <c r="AY1870" s="1">
        <v>0.0</v>
      </c>
    </row>
    <row r="1871" spans="20:51" ht="15.75" hidden="1">
      <c r="T1871" s="1">
        <v>2.4507899E7</v>
      </c>
      <c r="U1871" s="1"/>
      <c r="V1871" s="1"/>
      <c r="W1871" s="1"/>
      <c r="X1871" s="1"/>
      <c r="Y1871" s="1" t="s">
        <v>8170</v>
      </c>
      <c r="Z1871" s="1" t="s">
        <v>8171</v>
      </c>
      <c r="AA1871" s="1" t="s">
        <v>8172</v>
      </c>
      <c r="AB1871" s="1"/>
      <c r="AC1871" s="1"/>
      <c r="AD1871" s="1"/>
      <c r="AE1871" s="1"/>
      <c r="AG1871" s="2" t="str">
        <f t="shared" si="159" ref="AG1871:AH1871">""</f>
        <v/>
      </c>
      <c r="AH1871" s="2" t="str">
        <f t="shared" si="159"/>
        <v/>
      </c>
      <c r="AI1871" s="1">
        <v>0.0</v>
      </c>
      <c r="AJ1871" s="1">
        <v>0.0</v>
      </c>
      <c r="AK1871" s="1" t="s">
        <v>6050</v>
      </c>
      <c r="AL1871" s="1" t="s">
        <v>59</v>
      </c>
      <c r="AM1871" s="1">
        <v>339.0</v>
      </c>
      <c r="AQ1871" s="3">
        <v>44095.0</v>
      </c>
      <c r="AR1871" s="1" t="s">
        <v>31</v>
      </c>
      <c r="AS1871" s="1" t="s">
        <v>8173</v>
      </c>
      <c r="AT1871" s="1" t="s">
        <v>31</v>
      </c>
      <c r="AX1871" s="1">
        <v>0.0</v>
      </c>
      <c r="AY1871" s="1">
        <v>0.0</v>
      </c>
    </row>
    <row r="1872" spans="20:51" ht="15.75" hidden="1">
      <c r="T1872" s="1">
        <v>376894.0</v>
      </c>
      <c r="U1872" s="1"/>
      <c r="V1872" s="1"/>
      <c r="W1872" s="1"/>
      <c r="X1872" s="1"/>
      <c r="Y1872" s="1" t="s">
        <v>8174</v>
      </c>
      <c r="Z1872" s="1" t="s">
        <v>2955</v>
      </c>
      <c r="AA1872" s="1" t="s">
        <v>2956</v>
      </c>
      <c r="AB1872" s="1"/>
      <c r="AC1872" s="1"/>
      <c r="AD1872" s="1"/>
      <c r="AE1872" s="1"/>
      <c r="AF1872" s="1" t="s">
        <v>8175</v>
      </c>
      <c r="AG1872" s="2" t="str">
        <f>"8474430178"</f>
        <v>8474430178</v>
      </c>
      <c r="AH1872" s="2" t="str">
        <f>"9788474430172"</f>
        <v>9788474430172</v>
      </c>
      <c r="AI1872" s="1">
        <v>0.0</v>
      </c>
      <c r="AJ1872" s="1">
        <v>4.24</v>
      </c>
      <c r="AK1872" s="1" t="s">
        <v>8176</v>
      </c>
      <c r="AL1872" s="1" t="s">
        <v>28</v>
      </c>
      <c r="AM1872" s="1">
        <v>192.0</v>
      </c>
      <c r="AN1872" s="1">
        <v>1991.0</v>
      </c>
      <c r="AO1872" s="1">
        <v>1977.0</v>
      </c>
      <c r="AQ1872" s="3">
        <v>44094.0</v>
      </c>
      <c r="AR1872" s="1" t="s">
        <v>31</v>
      </c>
      <c r="AS1872" s="1" t="s">
        <v>8177</v>
      </c>
      <c r="AT1872" s="1" t="s">
        <v>31</v>
      </c>
      <c r="AX1872" s="1">
        <v>0.0</v>
      </c>
      <c r="AY1872" s="1">
        <v>0.0</v>
      </c>
    </row>
    <row r="1873" spans="20:51" ht="15.75" hidden="1">
      <c r="T1873" s="1">
        <v>2005829.0</v>
      </c>
      <c r="U1873" s="1"/>
      <c r="V1873" s="1"/>
      <c r="W1873" s="1"/>
      <c r="X1873" s="1"/>
      <c r="Y1873" s="1" t="s">
        <v>8178</v>
      </c>
      <c r="Z1873" s="1" t="s">
        <v>8179</v>
      </c>
      <c r="AA1873" s="1" t="s">
        <v>8180</v>
      </c>
      <c r="AB1873" s="1"/>
      <c r="AC1873" s="1"/>
      <c r="AD1873" s="1"/>
      <c r="AE1873" s="1"/>
      <c r="AG1873" s="2" t="str">
        <f>"8483101734"</f>
        <v>8483101734</v>
      </c>
      <c r="AH1873" s="2" t="str">
        <f>"9788483101735"</f>
        <v>9788483101735</v>
      </c>
      <c r="AI1873" s="1">
        <v>0.0</v>
      </c>
      <c r="AJ1873" s="1">
        <v>4.25</v>
      </c>
      <c r="AK1873" s="1" t="s">
        <v>7746</v>
      </c>
      <c r="AL1873" s="1" t="s">
        <v>28</v>
      </c>
      <c r="AM1873" s="1">
        <v>654.0</v>
      </c>
      <c r="AN1873" s="1">
        <v>2001.0</v>
      </c>
      <c r="AO1873" s="1">
        <v>1999.0</v>
      </c>
      <c r="AQ1873" s="3">
        <v>44094.0</v>
      </c>
      <c r="AR1873" s="1" t="s">
        <v>31</v>
      </c>
      <c r="AS1873" s="1" t="s">
        <v>8181</v>
      </c>
      <c r="AT1873" s="1" t="s">
        <v>31</v>
      </c>
      <c r="AX1873" s="1">
        <v>0.0</v>
      </c>
      <c r="AY1873" s="1">
        <v>0.0</v>
      </c>
    </row>
    <row r="1874" spans="20:51" ht="15.75" hidden="1">
      <c r="T1874" s="1">
        <v>1.6115297E7</v>
      </c>
      <c r="U1874" s="1"/>
      <c r="V1874" s="1"/>
      <c r="W1874" s="1"/>
      <c r="X1874" s="1"/>
      <c r="Y1874" s="1" t="s">
        <v>8182</v>
      </c>
      <c r="Z1874" s="1" t="s">
        <v>8183</v>
      </c>
      <c r="AA1874" s="1" t="s">
        <v>8184</v>
      </c>
      <c r="AB1874" s="1"/>
      <c r="AC1874" s="1"/>
      <c r="AD1874" s="1"/>
      <c r="AE1874" s="1"/>
      <c r="AG1874" s="2" t="str">
        <f>"8492865571"</f>
        <v>8492865571</v>
      </c>
      <c r="AH1874" s="2" t="str">
        <f>"9788492865574"</f>
        <v>9788492865574</v>
      </c>
      <c r="AI1874" s="1">
        <v>0.0</v>
      </c>
      <c r="AJ1874" s="1">
        <v>3.74</v>
      </c>
      <c r="AK1874" s="1" t="s">
        <v>8154</v>
      </c>
      <c r="AL1874" s="1" t="s">
        <v>28</v>
      </c>
      <c r="AM1874" s="1">
        <v>216.0</v>
      </c>
      <c r="AN1874" s="1">
        <v>2013.0</v>
      </c>
      <c r="AO1874" s="1">
        <v>2007.0</v>
      </c>
      <c r="AQ1874" s="3">
        <v>44094.0</v>
      </c>
      <c r="AR1874" s="1" t="s">
        <v>31</v>
      </c>
      <c r="AS1874" s="1" t="s">
        <v>8185</v>
      </c>
      <c r="AT1874" s="1" t="s">
        <v>31</v>
      </c>
      <c r="AX1874" s="1">
        <v>0.0</v>
      </c>
      <c r="AY1874" s="1">
        <v>0.0</v>
      </c>
    </row>
    <row r="1875" spans="20:51" ht="15.75" hidden="1">
      <c r="T1875" s="1">
        <v>3232405.0</v>
      </c>
      <c r="U1875" s="1"/>
      <c r="V1875" s="1"/>
      <c r="W1875" s="1"/>
      <c r="X1875" s="1"/>
      <c r="Y1875" s="1" t="s">
        <v>8186</v>
      </c>
      <c r="Z1875" s="1" t="s">
        <v>8187</v>
      </c>
      <c r="AA1875" s="1" t="s">
        <v>8188</v>
      </c>
      <c r="AB1875" s="1"/>
      <c r="AC1875" s="1"/>
      <c r="AD1875" s="1"/>
      <c r="AE1875" s="1"/>
      <c r="AG1875" s="2" t="str">
        <f>"9500708876"</f>
        <v>9500708876</v>
      </c>
      <c r="AH1875" s="2" t="str">
        <f>"9789500708876"</f>
        <v>9789500708876</v>
      </c>
      <c r="AI1875" s="1">
        <v>0.0</v>
      </c>
      <c r="AJ1875" s="1">
        <v>3.9</v>
      </c>
      <c r="AK1875" s="1" t="s">
        <v>1141</v>
      </c>
      <c r="AL1875" s="1" t="s">
        <v>28</v>
      </c>
      <c r="AM1875" s="1">
        <v>399.0</v>
      </c>
      <c r="AN1875" s="1">
        <v>1993.0</v>
      </c>
      <c r="AO1875" s="1">
        <v>1993.0</v>
      </c>
      <c r="AQ1875" s="3">
        <v>44094.0</v>
      </c>
      <c r="AR1875" s="1" t="s">
        <v>31</v>
      </c>
      <c r="AS1875" s="1" t="s">
        <v>8189</v>
      </c>
      <c r="AT1875" s="1" t="s">
        <v>31</v>
      </c>
      <c r="AX1875" s="1">
        <v>0.0</v>
      </c>
      <c r="AY1875" s="1">
        <v>0.0</v>
      </c>
    </row>
    <row r="1876" spans="20:51" ht="15.75" hidden="1">
      <c r="T1876" s="1">
        <v>3.1178501E7</v>
      </c>
      <c r="U1876" s="1"/>
      <c r="V1876" s="1"/>
      <c r="W1876" s="1"/>
      <c r="X1876" s="1"/>
      <c r="Y1876" s="1" t="s">
        <v>8190</v>
      </c>
      <c r="Z1876" s="1" t="s">
        <v>8191</v>
      </c>
      <c r="AA1876" s="1" t="s">
        <v>8192</v>
      </c>
      <c r="AB1876" s="1"/>
      <c r="AC1876" s="1"/>
      <c r="AD1876" s="1"/>
      <c r="AE1876" s="1"/>
      <c r="AG1876" s="2" t="str">
        <f>""</f>
        <v/>
      </c>
      <c r="AH1876" s="2" t="str">
        <f>"9786079564117"</f>
        <v>9786079564117</v>
      </c>
      <c r="AI1876" s="1">
        <v>0.0</v>
      </c>
      <c r="AJ1876" s="1">
        <v>4.26</v>
      </c>
      <c r="AK1876" s="1" t="s">
        <v>8193</v>
      </c>
      <c r="AL1876" s="1" t="s">
        <v>28</v>
      </c>
      <c r="AM1876" s="1">
        <v>368.0</v>
      </c>
      <c r="AN1876" s="1">
        <v>2015.0</v>
      </c>
      <c r="AO1876" s="1">
        <v>2015.0</v>
      </c>
      <c r="AQ1876" s="3">
        <v>44094.0</v>
      </c>
      <c r="AR1876" s="1" t="s">
        <v>31</v>
      </c>
      <c r="AS1876" s="1" t="s">
        <v>8194</v>
      </c>
      <c r="AT1876" s="1" t="s">
        <v>31</v>
      </c>
      <c r="AX1876" s="1">
        <v>0.0</v>
      </c>
      <c r="AY1876" s="1">
        <v>0.0</v>
      </c>
    </row>
    <row r="1877" spans="20:51" ht="15.75" hidden="1">
      <c r="T1877" s="1">
        <v>327281.0</v>
      </c>
      <c r="U1877" s="1"/>
      <c r="V1877" s="1"/>
      <c r="W1877" s="1"/>
      <c r="X1877" s="1"/>
      <c r="Y1877" s="1" t="s">
        <v>8195</v>
      </c>
      <c r="Z1877" s="1" t="s">
        <v>8196</v>
      </c>
      <c r="AA1877" s="1" t="s">
        <v>8197</v>
      </c>
      <c r="AB1877" s="1"/>
      <c r="AC1877" s="1"/>
      <c r="AD1877" s="1"/>
      <c r="AE1877" s="1"/>
      <c r="AF1877" s="1" t="s">
        <v>8198</v>
      </c>
      <c r="AG1877" s="2" t="str">
        <f>"8437615178"</f>
        <v>8437615178</v>
      </c>
      <c r="AH1877" s="2" t="str">
        <f>"9788437615172"</f>
        <v>9788437615172</v>
      </c>
      <c r="AI1877" s="1">
        <v>0.0</v>
      </c>
      <c r="AJ1877" s="1">
        <v>3.98</v>
      </c>
      <c r="AK1877" s="1" t="s">
        <v>3433</v>
      </c>
      <c r="AL1877" s="1" t="s">
        <v>28</v>
      </c>
      <c r="AM1877" s="1">
        <v>432.0</v>
      </c>
      <c r="AN1877" s="1">
        <v>2005.0</v>
      </c>
      <c r="AO1877" s="1">
        <v>1946.0</v>
      </c>
      <c r="AQ1877" s="3">
        <v>44094.0</v>
      </c>
      <c r="AR1877" s="1" t="s">
        <v>31</v>
      </c>
      <c r="AS1877" s="1" t="s">
        <v>8199</v>
      </c>
      <c r="AT1877" s="1" t="s">
        <v>31</v>
      </c>
      <c r="AX1877" s="1">
        <v>0.0</v>
      </c>
      <c r="AY1877" s="1">
        <v>0.0</v>
      </c>
    </row>
    <row r="1878" spans="20:51" ht="15.75" hidden="1">
      <c r="T1878" s="1">
        <v>501817.0</v>
      </c>
      <c r="U1878" s="1"/>
      <c r="V1878" s="1"/>
      <c r="W1878" s="1"/>
      <c r="X1878" s="1"/>
      <c r="Y1878" s="1" t="s">
        <v>8200</v>
      </c>
      <c r="Z1878" s="1" t="s">
        <v>3720</v>
      </c>
      <c r="AA1878" s="1" t="s">
        <v>3721</v>
      </c>
      <c r="AB1878" s="1"/>
      <c r="AC1878" s="1"/>
      <c r="AD1878" s="1"/>
      <c r="AE1878" s="1"/>
      <c r="AG1878" s="2" t="str">
        <f>"1406832588"</f>
        <v>1406832588</v>
      </c>
      <c r="AH1878" s="2" t="str">
        <f>"9781406832587"</f>
        <v>9781406832587</v>
      </c>
      <c r="AI1878" s="1">
        <v>0.0</v>
      </c>
      <c r="AJ1878" s="1">
        <v>4.0</v>
      </c>
      <c r="AK1878" s="1" t="s">
        <v>6555</v>
      </c>
      <c r="AL1878" s="1" t="s">
        <v>28</v>
      </c>
      <c r="AM1878" s="1">
        <v>151.0</v>
      </c>
      <c r="AN1878" s="1">
        <v>2006.0</v>
      </c>
      <c r="AO1878" s="1">
        <v>1917.0</v>
      </c>
      <c r="AQ1878" s="3">
        <v>44093.0</v>
      </c>
      <c r="AR1878" s="1" t="s">
        <v>31</v>
      </c>
      <c r="AS1878" s="1" t="s">
        <v>8201</v>
      </c>
      <c r="AT1878" s="1" t="s">
        <v>31</v>
      </c>
      <c r="AX1878" s="1">
        <v>0.0</v>
      </c>
      <c r="AY1878" s="1">
        <v>0.0</v>
      </c>
    </row>
    <row r="1879" spans="20:51" ht="15.75" hidden="1">
      <c r="T1879" s="1">
        <v>4.1397373E7</v>
      </c>
      <c r="U1879" s="1"/>
      <c r="V1879" s="1"/>
      <c r="W1879" s="1"/>
      <c r="X1879" s="1"/>
      <c r="Y1879" s="1" t="s">
        <v>8202</v>
      </c>
      <c r="Z1879" s="1" t="s">
        <v>8203</v>
      </c>
      <c r="AA1879" s="1" t="s">
        <v>8204</v>
      </c>
      <c r="AB1879" s="1"/>
      <c r="AC1879" s="1"/>
      <c r="AD1879" s="1"/>
      <c r="AE1879" s="1"/>
      <c r="AG1879" s="2" t="str">
        <f>"1939568269"</f>
        <v>1939568269</v>
      </c>
      <c r="AH1879" s="2" t="str">
        <f>"9781939568267"</f>
        <v>9781939568267</v>
      </c>
      <c r="AI1879" s="1">
        <v>0.0</v>
      </c>
      <c r="AJ1879" s="1">
        <v>4.02</v>
      </c>
      <c r="AK1879" s="1" t="s">
        <v>8205</v>
      </c>
      <c r="AL1879" s="1" t="s">
        <v>28</v>
      </c>
      <c r="AM1879" s="1">
        <v>184.0</v>
      </c>
      <c r="AN1879" s="1">
        <v>2018.0</v>
      </c>
      <c r="AO1879" s="1">
        <v>2018.0</v>
      </c>
      <c r="AQ1879" s="3">
        <v>44055.0</v>
      </c>
      <c r="AR1879" s="1" t="s">
        <v>31</v>
      </c>
      <c r="AS1879" s="1" t="s">
        <v>8206</v>
      </c>
      <c r="AT1879" s="1" t="s">
        <v>31</v>
      </c>
      <c r="AX1879" s="1">
        <v>0.0</v>
      </c>
      <c r="AY1879" s="1">
        <v>0.0</v>
      </c>
    </row>
    <row r="1880" spans="20:51" ht="15.75" hidden="1">
      <c r="T1880" s="1">
        <v>1.3390438E7</v>
      </c>
      <c r="U1880" s="1"/>
      <c r="V1880" s="1"/>
      <c r="W1880" s="1"/>
      <c r="X1880" s="1"/>
      <c r="Y1880" s="1" t="s">
        <v>8207</v>
      </c>
      <c r="Z1880" s="1" t="s">
        <v>8208</v>
      </c>
      <c r="AA1880" s="1" t="s">
        <v>8209</v>
      </c>
      <c r="AB1880" s="1"/>
      <c r="AC1880" s="1"/>
      <c r="AD1880" s="1"/>
      <c r="AE1880" s="1"/>
      <c r="AG1880" s="2" t="str">
        <f>"0984459898"</f>
        <v>0984459898</v>
      </c>
      <c r="AH1880" s="2" t="str">
        <f>"9780984459896"</f>
        <v>9780984459896</v>
      </c>
      <c r="AI1880" s="1">
        <v>0.0</v>
      </c>
      <c r="AJ1880" s="1">
        <v>4.33</v>
      </c>
      <c r="AK1880" s="1" t="s">
        <v>1250</v>
      </c>
      <c r="AL1880" s="1" t="s">
        <v>28</v>
      </c>
      <c r="AM1880" s="1">
        <v>180.0</v>
      </c>
      <c r="AN1880" s="1">
        <v>2012.0</v>
      </c>
      <c r="AO1880" s="1">
        <v>2011.0</v>
      </c>
      <c r="AQ1880" s="3">
        <v>44053.0</v>
      </c>
      <c r="AR1880" s="1" t="s">
        <v>31</v>
      </c>
      <c r="AS1880" s="1" t="s">
        <v>8210</v>
      </c>
      <c r="AT1880" s="1" t="s">
        <v>31</v>
      </c>
      <c r="AX1880" s="1">
        <v>0.0</v>
      </c>
      <c r="AY1880" s="1">
        <v>0.0</v>
      </c>
    </row>
    <row r="1881" spans="20:51" ht="15.75" hidden="1">
      <c r="T1881" s="1">
        <v>5.0698585E7</v>
      </c>
      <c r="U1881" s="1"/>
      <c r="V1881" s="1"/>
      <c r="W1881" s="1"/>
      <c r="X1881" s="1"/>
      <c r="Y1881" s="1" t="s">
        <v>8211</v>
      </c>
      <c r="Z1881" s="1" t="s">
        <v>8212</v>
      </c>
      <c r="AA1881" s="1" t="s">
        <v>8213</v>
      </c>
      <c r="AB1881" s="1"/>
      <c r="AC1881" s="1"/>
      <c r="AD1881" s="1"/>
      <c r="AE1881" s="1"/>
      <c r="AG1881" s="2" t="str">
        <f>"1948226960"</f>
        <v>1948226960</v>
      </c>
      <c r="AH1881" s="2" t="str">
        <f>"9781948226967"</f>
        <v>9781948226967</v>
      </c>
      <c r="AI1881" s="1">
        <v>0.0</v>
      </c>
      <c r="AJ1881" s="1">
        <v>3.56</v>
      </c>
      <c r="AK1881" s="1" t="s">
        <v>703</v>
      </c>
      <c r="AL1881" s="1" t="s">
        <v>41</v>
      </c>
      <c r="AM1881" s="1">
        <v>320.0</v>
      </c>
      <c r="AN1881" s="1">
        <v>2020.0</v>
      </c>
      <c r="AO1881" s="1">
        <v>2020.0</v>
      </c>
      <c r="AQ1881" s="3">
        <v>44049.0</v>
      </c>
      <c r="AR1881" s="1" t="s">
        <v>31</v>
      </c>
      <c r="AS1881" s="1" t="s">
        <v>8214</v>
      </c>
      <c r="AT1881" s="1" t="s">
        <v>31</v>
      </c>
      <c r="AX1881" s="1">
        <v>0.0</v>
      </c>
      <c r="AY1881" s="1">
        <v>0.0</v>
      </c>
    </row>
    <row r="1882" spans="20:51" ht="15.75" hidden="1">
      <c r="T1882" s="1">
        <v>41793.0</v>
      </c>
      <c r="U1882" s="1"/>
      <c r="V1882" s="1"/>
      <c r="W1882" s="1"/>
      <c r="X1882" s="1"/>
      <c r="Y1882" s="1" t="s">
        <v>8215</v>
      </c>
      <c r="Z1882" s="1" t="s">
        <v>8216</v>
      </c>
      <c r="AA1882" s="1" t="s">
        <v>8217</v>
      </c>
      <c r="AB1882" s="1"/>
      <c r="AC1882" s="1"/>
      <c r="AD1882" s="1"/>
      <c r="AE1882" s="1"/>
      <c r="AG1882" s="2" t="str">
        <f>"0596006624"</f>
        <v>0596006624</v>
      </c>
      <c r="AH1882" s="2" t="str">
        <f>"9780596006624"</f>
        <v>9780596006624</v>
      </c>
      <c r="AI1882" s="1">
        <v>0.0</v>
      </c>
      <c r="AJ1882" s="1">
        <v>4.06</v>
      </c>
      <c r="AK1882" s="1" t="s">
        <v>8218</v>
      </c>
      <c r="AL1882" s="1" t="s">
        <v>41</v>
      </c>
      <c r="AM1882" s="1">
        <v>271.0</v>
      </c>
      <c r="AN1882" s="1">
        <v>2004.0</v>
      </c>
      <c r="AO1882" s="1">
        <v>2004.0</v>
      </c>
      <c r="AQ1882" s="3">
        <v>44043.0</v>
      </c>
      <c r="AR1882" s="1" t="s">
        <v>31</v>
      </c>
      <c r="AS1882" s="1" t="s">
        <v>8219</v>
      </c>
      <c r="AT1882" s="1" t="s">
        <v>31</v>
      </c>
      <c r="AX1882" s="1">
        <v>0.0</v>
      </c>
      <c r="AY1882" s="1">
        <v>0.0</v>
      </c>
    </row>
    <row r="1883" spans="20:51" ht="15.75" hidden="1">
      <c r="T1883" s="1">
        <v>5.154237E7</v>
      </c>
      <c r="U1883" s="1"/>
      <c r="V1883" s="1"/>
      <c r="W1883" s="1"/>
      <c r="X1883" s="1"/>
      <c r="Y1883" s="1" t="s">
        <v>8220</v>
      </c>
      <c r="Z1883" s="1" t="s">
        <v>8221</v>
      </c>
      <c r="AA1883" s="1" t="s">
        <v>8222</v>
      </c>
      <c r="AB1883" s="1"/>
      <c r="AC1883" s="1"/>
      <c r="AD1883" s="1"/>
      <c r="AE1883" s="1"/>
      <c r="AG1883" s="2" t="str">
        <f>"0374230927"</f>
        <v>0374230927</v>
      </c>
      <c r="AH1883" s="2" t="str">
        <f>"9780374230920"</f>
        <v>9780374230920</v>
      </c>
      <c r="AI1883" s="1">
        <v>0.0</v>
      </c>
      <c r="AJ1883" s="1">
        <v>3.7</v>
      </c>
      <c r="AK1883" s="1" t="s">
        <v>89</v>
      </c>
      <c r="AL1883" s="1" t="s">
        <v>41</v>
      </c>
      <c r="AM1883" s="1">
        <v>224.0</v>
      </c>
      <c r="AN1883" s="1">
        <v>2020.0</v>
      </c>
      <c r="AO1883" s="1">
        <v>2020.0</v>
      </c>
      <c r="AQ1883" s="3">
        <v>44034.0</v>
      </c>
      <c r="AR1883" s="1" t="s">
        <v>31</v>
      </c>
      <c r="AS1883" s="1" t="s">
        <v>8223</v>
      </c>
      <c r="AT1883" s="1" t="s">
        <v>31</v>
      </c>
      <c r="AX1883" s="1">
        <v>0.0</v>
      </c>
      <c r="AY1883" s="1">
        <v>0.0</v>
      </c>
    </row>
    <row r="1884" spans="20:51" ht="15.75" hidden="1">
      <c r="T1884" s="1">
        <v>370645.0</v>
      </c>
      <c r="U1884" s="1"/>
      <c r="V1884" s="1"/>
      <c r="W1884" s="1"/>
      <c r="X1884" s="1"/>
      <c r="Y1884" s="1" t="s">
        <v>8224</v>
      </c>
      <c r="Z1884" s="1" t="s">
        <v>8225</v>
      </c>
      <c r="AA1884" s="1" t="s">
        <v>8226</v>
      </c>
      <c r="AB1884" s="1"/>
      <c r="AC1884" s="1"/>
      <c r="AD1884" s="1"/>
      <c r="AE1884" s="1"/>
      <c r="AG1884" s="2" t="str">
        <f>"1568985908"</f>
        <v>1568985908</v>
      </c>
      <c r="AH1884" s="2" t="str">
        <f>"9781568985909"</f>
        <v>9781568985909</v>
      </c>
      <c r="AI1884" s="1">
        <v>0.0</v>
      </c>
      <c r="AJ1884" s="1">
        <v>4.0</v>
      </c>
      <c r="AK1884" s="1" t="s">
        <v>8227</v>
      </c>
      <c r="AL1884" s="1" t="s">
        <v>41</v>
      </c>
      <c r="AM1884" s="1">
        <v>224.0</v>
      </c>
      <c r="AN1884" s="1">
        <v>2007.0</v>
      </c>
      <c r="AO1884" s="1">
        <v>2007.0</v>
      </c>
      <c r="AQ1884" s="3">
        <v>44033.0</v>
      </c>
      <c r="AR1884" s="1" t="s">
        <v>31</v>
      </c>
      <c r="AS1884" s="1" t="s">
        <v>8228</v>
      </c>
      <c r="AT1884" s="1" t="s">
        <v>31</v>
      </c>
      <c r="AX1884" s="1">
        <v>0.0</v>
      </c>
      <c r="AY1884" s="1">
        <v>0.0</v>
      </c>
    </row>
    <row r="1885" spans="20:51" ht="15.75" hidden="1">
      <c r="T1885" s="1">
        <v>5.316191E7</v>
      </c>
      <c r="U1885" s="1"/>
      <c r="V1885" s="1"/>
      <c r="W1885" s="1"/>
      <c r="X1885" s="1"/>
      <c r="Y1885" s="1" t="s">
        <v>8229</v>
      </c>
      <c r="Z1885" s="1" t="s">
        <v>8230</v>
      </c>
      <c r="AA1885" s="1" t="s">
        <v>8231</v>
      </c>
      <c r="AB1885" s="1"/>
      <c r="AC1885" s="1"/>
      <c r="AD1885" s="1"/>
      <c r="AE1885" s="1"/>
      <c r="AG1885" s="2" t="str">
        <f>"1786835444"</f>
        <v>1786835444</v>
      </c>
      <c r="AH1885" s="2" t="str">
        <f>"9781786835444"</f>
        <v>9781786835444</v>
      </c>
      <c r="AI1885" s="1">
        <v>0.0</v>
      </c>
      <c r="AJ1885" s="1">
        <v>3.86</v>
      </c>
      <c r="AK1885" s="1" t="s">
        <v>8232</v>
      </c>
      <c r="AL1885" s="1" t="s">
        <v>28</v>
      </c>
      <c r="AM1885" s="1">
        <v>272.0</v>
      </c>
      <c r="AN1885" s="1">
        <v>2020.0</v>
      </c>
      <c r="AQ1885" s="3">
        <v>44031.0</v>
      </c>
      <c r="AR1885" s="1" t="s">
        <v>31</v>
      </c>
      <c r="AS1885" s="1" t="s">
        <v>8233</v>
      </c>
      <c r="AT1885" s="1" t="s">
        <v>31</v>
      </c>
      <c r="AX1885" s="1">
        <v>0.0</v>
      </c>
      <c r="AY1885" s="1">
        <v>0.0</v>
      </c>
    </row>
    <row r="1886" spans="20:51" ht="15.75" hidden="1">
      <c r="T1886" s="1">
        <v>4.966357E7</v>
      </c>
      <c r="U1886" s="1"/>
      <c r="V1886" s="1"/>
      <c r="W1886" s="1"/>
      <c r="X1886" s="1"/>
      <c r="Y1886" s="1" t="s">
        <v>8234</v>
      </c>
      <c r="Z1886" s="1" t="s">
        <v>8235</v>
      </c>
      <c r="AA1886" s="1" t="s">
        <v>8236</v>
      </c>
      <c r="AB1886" s="1"/>
      <c r="AC1886" s="1"/>
      <c r="AD1886" s="1"/>
      <c r="AE1886" s="1"/>
      <c r="AG1886" s="2" t="str">
        <f>"1982129301"</f>
        <v>1982129301</v>
      </c>
      <c r="AH1886" s="2" t="str">
        <f>"9781982129309"</f>
        <v>9781982129309</v>
      </c>
      <c r="AI1886" s="1">
        <v>0.0</v>
      </c>
      <c r="AJ1886" s="1">
        <v>3.74</v>
      </c>
      <c r="AK1886" s="1" t="s">
        <v>1771</v>
      </c>
      <c r="AL1886" s="1" t="s">
        <v>28</v>
      </c>
      <c r="AM1886" s="1">
        <v>240.0</v>
      </c>
      <c r="AN1886" s="1">
        <v>2020.0</v>
      </c>
      <c r="AO1886" s="1">
        <v>2020.0</v>
      </c>
      <c r="AQ1886" s="3">
        <v>44019.0</v>
      </c>
      <c r="AR1886" s="1" t="s">
        <v>31</v>
      </c>
      <c r="AS1886" s="1" t="s">
        <v>8237</v>
      </c>
      <c r="AT1886" s="1" t="s">
        <v>31</v>
      </c>
      <c r="AX1886" s="1">
        <v>0.0</v>
      </c>
      <c r="AY1886" s="1">
        <v>0.0</v>
      </c>
    </row>
    <row r="1887" spans="20:51" ht="15.75" hidden="1">
      <c r="T1887" s="1">
        <v>4.9124686E7</v>
      </c>
      <c r="U1887" s="1"/>
      <c r="V1887" s="1"/>
      <c r="W1887" s="1"/>
      <c r="X1887" s="1"/>
      <c r="Y1887" s="1" t="s">
        <v>8238</v>
      </c>
      <c r="Z1887" s="1" t="s">
        <v>8239</v>
      </c>
      <c r="AA1887" s="1" t="s">
        <v>8240</v>
      </c>
      <c r="AB1887" s="1"/>
      <c r="AC1887" s="1"/>
      <c r="AD1887" s="1"/>
      <c r="AE1887" s="1"/>
      <c r="AG1887" s="2" t="str">
        <f>"1609386914"</f>
        <v>1609386914</v>
      </c>
      <c r="AH1887" s="2" t="str">
        <f>"9781609386917"</f>
        <v>9781609386917</v>
      </c>
      <c r="AI1887" s="1">
        <v>0.0</v>
      </c>
      <c r="AJ1887" s="1">
        <v>4.44</v>
      </c>
      <c r="AK1887" s="1" t="s">
        <v>7642</v>
      </c>
      <c r="AL1887" s="1" t="s">
        <v>28</v>
      </c>
      <c r="AM1887" s="1">
        <v>320.0</v>
      </c>
      <c r="AN1887" s="1">
        <v>2020.0</v>
      </c>
      <c r="AO1887" s="1">
        <v>2020.0</v>
      </c>
      <c r="AQ1887" s="3">
        <v>44019.0</v>
      </c>
      <c r="AR1887" s="1" t="s">
        <v>31</v>
      </c>
      <c r="AS1887" s="1" t="s">
        <v>8241</v>
      </c>
      <c r="AT1887" s="1" t="s">
        <v>31</v>
      </c>
      <c r="AX1887" s="1">
        <v>0.0</v>
      </c>
      <c r="AY1887" s="1">
        <v>0.0</v>
      </c>
    </row>
    <row r="1888" spans="20:51" ht="15.75" hidden="1">
      <c r="T1888" s="1">
        <v>1.1208649E7</v>
      </c>
      <c r="U1888" s="1"/>
      <c r="V1888" s="1"/>
      <c r="W1888" s="1"/>
      <c r="X1888" s="1"/>
      <c r="Y1888" s="1" t="s">
        <v>8242</v>
      </c>
      <c r="Z1888" s="1" t="s">
        <v>8243</v>
      </c>
      <c r="AA1888" s="1" t="s">
        <v>8244</v>
      </c>
      <c r="AB1888" s="1"/>
      <c r="AC1888" s="1"/>
      <c r="AD1888" s="1"/>
      <c r="AE1888" s="1"/>
      <c r="AF1888" s="1" t="s">
        <v>8245</v>
      </c>
      <c r="AG1888" s="2" t="str">
        <f>"1576875776"</f>
        <v>1576875776</v>
      </c>
      <c r="AH1888" s="2" t="str">
        <f>"9781576875773"</f>
        <v>9781576875773</v>
      </c>
      <c r="AI1888" s="1">
        <v>0.0</v>
      </c>
      <c r="AJ1888" s="1">
        <v>4.47</v>
      </c>
      <c r="AK1888" s="1" t="s">
        <v>8246</v>
      </c>
      <c r="AL1888" s="1" t="s">
        <v>41</v>
      </c>
      <c r="AM1888" s="1">
        <v>136.0</v>
      </c>
      <c r="AN1888" s="1">
        <v>2011.0</v>
      </c>
      <c r="AO1888" s="1">
        <v>2011.0</v>
      </c>
      <c r="AQ1888" s="3">
        <v>44018.0</v>
      </c>
      <c r="AR1888" s="1" t="s">
        <v>31</v>
      </c>
      <c r="AS1888" s="1" t="s">
        <v>8247</v>
      </c>
      <c r="AT1888" s="1" t="s">
        <v>31</v>
      </c>
      <c r="AX1888" s="1">
        <v>0.0</v>
      </c>
      <c r="AY1888" s="1">
        <v>0.0</v>
      </c>
    </row>
    <row r="1889" spans="20:51" ht="15.75" hidden="1">
      <c r="T1889" s="1">
        <v>187149.0</v>
      </c>
      <c r="U1889" s="1"/>
      <c r="V1889" s="1"/>
      <c r="W1889" s="1"/>
      <c r="X1889" s="1"/>
      <c r="Y1889" s="1" t="s">
        <v>8248</v>
      </c>
      <c r="Z1889" s="1" t="s">
        <v>7932</v>
      </c>
      <c r="AA1889" s="1" t="s">
        <v>7933</v>
      </c>
      <c r="AB1889" s="1"/>
      <c r="AC1889" s="1"/>
      <c r="AD1889" s="1"/>
      <c r="AE1889" s="1"/>
      <c r="AF1889" s="1" t="s">
        <v>8249</v>
      </c>
      <c r="AG1889" s="2" t="str">
        <f>"0853459916"</f>
        <v>0853459916</v>
      </c>
      <c r="AH1889" s="2" t="str">
        <f>"9780853459910"</f>
        <v>9780853459910</v>
      </c>
      <c r="AI1889" s="1">
        <v>0.0</v>
      </c>
      <c r="AJ1889" s="1">
        <v>4.3</v>
      </c>
      <c r="AK1889" s="1" t="s">
        <v>8250</v>
      </c>
      <c r="AL1889" s="1" t="s">
        <v>28</v>
      </c>
      <c r="AM1889" s="1">
        <v>317.0</v>
      </c>
      <c r="AN1889" s="1">
        <v>1997.0</v>
      </c>
      <c r="AO1889" s="1">
        <v>1971.0</v>
      </c>
      <c r="AQ1889" s="3">
        <v>44017.0</v>
      </c>
      <c r="AR1889" s="1" t="s">
        <v>31</v>
      </c>
      <c r="AS1889" s="1" t="s">
        <v>8251</v>
      </c>
      <c r="AT1889" s="1" t="s">
        <v>31</v>
      </c>
      <c r="AX1889" s="1">
        <v>0.0</v>
      </c>
      <c r="AY1889" s="1">
        <v>0.0</v>
      </c>
    </row>
    <row r="1890" spans="20:51" ht="15.75" hidden="1">
      <c r="T1890" s="1">
        <v>14362.0</v>
      </c>
      <c r="U1890" s="1"/>
      <c r="V1890" s="1"/>
      <c r="W1890" s="1"/>
      <c r="X1890" s="1"/>
      <c r="Y1890" s="1" t="s">
        <v>8252</v>
      </c>
      <c r="Z1890" s="1" t="s">
        <v>8253</v>
      </c>
      <c r="AA1890" s="1" t="s">
        <v>8254</v>
      </c>
      <c r="AB1890" s="1"/>
      <c r="AC1890" s="1"/>
      <c r="AD1890" s="1"/>
      <c r="AE1890" s="1"/>
      <c r="AG1890" s="2" t="str">
        <f>"0446675369"</f>
        <v>0446675369</v>
      </c>
      <c r="AH1890" s="2" t="str">
        <f>"9780446675369"</f>
        <v>9780446675369</v>
      </c>
      <c r="AI1890" s="1">
        <v>0.0</v>
      </c>
      <c r="AJ1890" s="1">
        <v>3.81</v>
      </c>
      <c r="AK1890" s="1" t="s">
        <v>2248</v>
      </c>
      <c r="AL1890" s="1" t="s">
        <v>28</v>
      </c>
      <c r="AM1890" s="1">
        <v>290.0</v>
      </c>
      <c r="AN1890" s="1">
        <v>1999.0</v>
      </c>
      <c r="AO1890" s="1">
        <v>1972.0</v>
      </c>
      <c r="AQ1890" s="3">
        <v>44013.0</v>
      </c>
      <c r="AR1890" s="1" t="s">
        <v>31</v>
      </c>
      <c r="AS1890" s="1" t="s">
        <v>8255</v>
      </c>
      <c r="AT1890" s="1" t="s">
        <v>31</v>
      </c>
      <c r="AX1890" s="1">
        <v>0.0</v>
      </c>
      <c r="AY1890" s="1">
        <v>0.0</v>
      </c>
    </row>
    <row r="1891" spans="20:51" ht="15.75" hidden="1">
      <c r="T1891" s="1">
        <v>61539.0</v>
      </c>
      <c r="U1891" s="1"/>
      <c r="V1891" s="1"/>
      <c r="W1891" s="1"/>
      <c r="X1891" s="1"/>
      <c r="Y1891" s="1" t="s">
        <v>8256</v>
      </c>
      <c r="Z1891" s="1" t="s">
        <v>8257</v>
      </c>
      <c r="AA1891" s="1" t="s">
        <v>8258</v>
      </c>
      <c r="AB1891" s="1"/>
      <c r="AC1891" s="1"/>
      <c r="AD1891" s="1"/>
      <c r="AE1891" s="1"/>
      <c r="AG1891" s="2" t="str">
        <f>"0226458083"</f>
        <v>0226458083</v>
      </c>
      <c r="AH1891" s="2" t="str">
        <f>"9780226458083"</f>
        <v>9780226458083</v>
      </c>
      <c r="AI1891" s="1">
        <v>0.0</v>
      </c>
      <c r="AJ1891" s="1">
        <v>4.03</v>
      </c>
      <c r="AK1891" s="1" t="s">
        <v>224</v>
      </c>
      <c r="AL1891" s="1" t="s">
        <v>28</v>
      </c>
      <c r="AM1891" s="1">
        <v>226.0</v>
      </c>
      <c r="AN1891" s="1">
        <v>1996.0</v>
      </c>
      <c r="AO1891" s="1">
        <v>1962.0</v>
      </c>
      <c r="AQ1891" s="3">
        <v>44005.0</v>
      </c>
      <c r="AR1891" s="1" t="s">
        <v>31</v>
      </c>
      <c r="AS1891" s="1" t="s">
        <v>8259</v>
      </c>
      <c r="AT1891" s="1" t="s">
        <v>31</v>
      </c>
      <c r="AX1891" s="1">
        <v>0.0</v>
      </c>
      <c r="AY1891" s="1">
        <v>0.0</v>
      </c>
    </row>
    <row r="1892" spans="20:51" ht="15.75" hidden="1">
      <c r="T1892" s="1">
        <v>382975.0</v>
      </c>
      <c r="U1892" s="1"/>
      <c r="V1892" s="1"/>
      <c r="W1892" s="1"/>
      <c r="X1892" s="1"/>
      <c r="Y1892" s="1" t="s">
        <v>8260</v>
      </c>
      <c r="Z1892" s="1" t="s">
        <v>4254</v>
      </c>
      <c r="AA1892" s="1" t="s">
        <v>4255</v>
      </c>
      <c r="AB1892" s="1"/>
      <c r="AC1892" s="1"/>
      <c r="AD1892" s="1"/>
      <c r="AE1892" s="1"/>
      <c r="AF1892" s="1" t="s">
        <v>7610</v>
      </c>
      <c r="AG1892" s="2" t="str">
        <f>"1567920462"</f>
        <v>1567920462</v>
      </c>
      <c r="AH1892" s="2" t="str">
        <f>"9781567920468"</f>
        <v>9781567920468</v>
      </c>
      <c r="AI1892" s="1">
        <v>0.0</v>
      </c>
      <c r="AJ1892" s="1">
        <v>4.16</v>
      </c>
      <c r="AK1892" s="1" t="s">
        <v>7889</v>
      </c>
      <c r="AL1892" s="1" t="s">
        <v>28</v>
      </c>
      <c r="AM1892" s="1">
        <v>438.0</v>
      </c>
      <c r="AN1892" s="1">
        <v>2003.0</v>
      </c>
      <c r="AO1892" s="1">
        <v>1970.0</v>
      </c>
      <c r="AQ1892" s="3">
        <v>44005.0</v>
      </c>
      <c r="AR1892" s="1" t="s">
        <v>31</v>
      </c>
      <c r="AS1892" s="1" t="s">
        <v>8261</v>
      </c>
      <c r="AT1892" s="1" t="s">
        <v>31</v>
      </c>
      <c r="AX1892" s="1">
        <v>0.0</v>
      </c>
      <c r="AY1892" s="1">
        <v>0.0</v>
      </c>
    </row>
    <row r="1893" spans="20:51" ht="15.75" hidden="1">
      <c r="T1893" s="1">
        <v>3735293.0</v>
      </c>
      <c r="U1893" s="1"/>
      <c r="V1893" s="1"/>
      <c r="W1893" s="1"/>
      <c r="X1893" s="1"/>
      <c r="Y1893" s="1" t="s">
        <v>8262</v>
      </c>
      <c r="Z1893" s="1" t="s">
        <v>8263</v>
      </c>
      <c r="AA1893" s="1" t="s">
        <v>8264</v>
      </c>
      <c r="AB1893" s="1"/>
      <c r="AC1893" s="1"/>
      <c r="AD1893" s="1"/>
      <c r="AE1893" s="1"/>
      <c r="AG1893" s="2" t="str">
        <f>"0132350882"</f>
        <v>0132350882</v>
      </c>
      <c r="AH1893" s="2" t="str">
        <f>"9780132350884"</f>
        <v>9780132350884</v>
      </c>
      <c r="AI1893" s="1">
        <v>0.0</v>
      </c>
      <c r="AJ1893" s="1">
        <v>4.38</v>
      </c>
      <c r="AK1893" s="1" t="s">
        <v>3552</v>
      </c>
      <c r="AL1893" s="1" t="s">
        <v>28</v>
      </c>
      <c r="AM1893" s="1">
        <v>464.0</v>
      </c>
      <c r="AN1893" s="1">
        <v>2008.0</v>
      </c>
      <c r="AO1893" s="1">
        <v>2007.0</v>
      </c>
      <c r="AQ1893" s="3">
        <v>43999.0</v>
      </c>
      <c r="AR1893" s="1" t="s">
        <v>31</v>
      </c>
      <c r="AS1893" s="1" t="s">
        <v>8265</v>
      </c>
      <c r="AT1893" s="1" t="s">
        <v>31</v>
      </c>
      <c r="AX1893" s="1">
        <v>0.0</v>
      </c>
      <c r="AY1893" s="1">
        <v>0.0</v>
      </c>
    </row>
    <row r="1894" spans="20:51" ht="15.75" hidden="1">
      <c r="T1894" s="1">
        <v>8910666.0</v>
      </c>
      <c r="U1894" s="1"/>
      <c r="V1894" s="1"/>
      <c r="W1894" s="1"/>
      <c r="X1894" s="1"/>
      <c r="Y1894" s="1" t="s">
        <v>8266</v>
      </c>
      <c r="Z1894" s="1" t="s">
        <v>8267</v>
      </c>
      <c r="AA1894" s="1" t="s">
        <v>8268</v>
      </c>
      <c r="AB1894" s="1"/>
      <c r="AC1894" s="1"/>
      <c r="AD1894" s="1"/>
      <c r="AE1894" s="1"/>
      <c r="AG1894" s="2" t="str">
        <f>"1593272820"</f>
        <v>1593272820</v>
      </c>
      <c r="AH1894" s="2" t="str">
        <f>"9781593272821"</f>
        <v>9781593272821</v>
      </c>
      <c r="AI1894" s="1">
        <v>0.0</v>
      </c>
      <c r="AJ1894" s="1">
        <v>4.14</v>
      </c>
      <c r="AK1894" s="1" t="s">
        <v>3419</v>
      </c>
      <c r="AL1894" s="1" t="s">
        <v>28</v>
      </c>
      <c r="AM1894" s="1">
        <v>224.0</v>
      </c>
      <c r="AN1894" s="1">
        <v>2011.0</v>
      </c>
      <c r="AO1894" s="1">
        <v>2010.0</v>
      </c>
      <c r="AQ1894" s="3">
        <v>43999.0</v>
      </c>
      <c r="AR1894" s="1" t="s">
        <v>31</v>
      </c>
      <c r="AS1894" s="1" t="s">
        <v>8269</v>
      </c>
      <c r="AT1894" s="1" t="s">
        <v>31</v>
      </c>
      <c r="AX1894" s="1">
        <v>0.0</v>
      </c>
      <c r="AY1894" s="1">
        <v>0.0</v>
      </c>
    </row>
    <row r="1895" spans="20:51" ht="15.75" hidden="1">
      <c r="T1895" s="1">
        <v>277658.0</v>
      </c>
      <c r="U1895" s="1"/>
      <c r="V1895" s="1"/>
      <c r="W1895" s="1"/>
      <c r="X1895" s="1"/>
      <c r="Y1895" s="1" t="s">
        <v>8270</v>
      </c>
      <c r="Z1895" s="1" t="s">
        <v>8271</v>
      </c>
      <c r="AA1895" s="1" t="s">
        <v>8272</v>
      </c>
      <c r="AB1895" s="1"/>
      <c r="AC1895" s="1"/>
      <c r="AD1895" s="1"/>
      <c r="AE1895" s="1"/>
      <c r="AG1895" s="2" t="str">
        <f>"046502596X"</f>
        <v>046502596X</v>
      </c>
      <c r="AH1895" s="2" t="str">
        <f>"9780465025961"</f>
        <v>9780465025961</v>
      </c>
      <c r="AI1895" s="1">
        <v>0.0</v>
      </c>
      <c r="AJ1895" s="1">
        <v>4.05</v>
      </c>
      <c r="AK1895" s="1" t="s">
        <v>46</v>
      </c>
      <c r="AL1895" s="1" t="s">
        <v>28</v>
      </c>
      <c r="AM1895" s="1">
        <v>176.0</v>
      </c>
      <c r="AN1895" s="1">
        <v>1999.0</v>
      </c>
      <c r="AO1895" s="1">
        <v>1998.0</v>
      </c>
      <c r="AQ1895" s="3">
        <v>43999.0</v>
      </c>
      <c r="AR1895" s="1" t="s">
        <v>31</v>
      </c>
      <c r="AS1895" s="1" t="s">
        <v>8273</v>
      </c>
      <c r="AT1895" s="1" t="s">
        <v>31</v>
      </c>
      <c r="AX1895" s="1">
        <v>0.0</v>
      </c>
      <c r="AY1895" s="1">
        <v>0.0</v>
      </c>
    </row>
    <row r="1896" spans="20:51" ht="15.75" hidden="1">
      <c r="T1896" s="1">
        <v>106835.0</v>
      </c>
      <c r="U1896" s="1"/>
      <c r="V1896" s="1"/>
      <c r="W1896" s="1"/>
      <c r="X1896" s="1"/>
      <c r="Y1896" s="1" t="s">
        <v>8274</v>
      </c>
      <c r="Z1896" s="1" t="s">
        <v>8275</v>
      </c>
      <c r="AA1896" s="1" t="s">
        <v>8276</v>
      </c>
      <c r="AB1896" s="1"/>
      <c r="AC1896" s="1"/>
      <c r="AD1896" s="1"/>
      <c r="AE1896" s="1"/>
      <c r="AF1896" s="1" t="s">
        <v>8277</v>
      </c>
      <c r="AG1896" s="2" t="str">
        <f>"0060555661"</f>
        <v>0060555661</v>
      </c>
      <c r="AH1896" s="2" t="str">
        <f>"9780060555665"</f>
        <v>9780060555665</v>
      </c>
      <c r="AI1896" s="1">
        <v>0.0</v>
      </c>
      <c r="AJ1896" s="1">
        <v>4.25</v>
      </c>
      <c r="AK1896" s="1" t="s">
        <v>8278</v>
      </c>
      <c r="AL1896" s="1" t="s">
        <v>28</v>
      </c>
      <c r="AM1896" s="1">
        <v>623.0</v>
      </c>
      <c r="AN1896" s="1">
        <v>2006.0</v>
      </c>
      <c r="AO1896" s="1">
        <v>1949.0</v>
      </c>
      <c r="AQ1896" s="3">
        <v>43999.0</v>
      </c>
      <c r="AR1896" s="1" t="s">
        <v>31</v>
      </c>
      <c r="AS1896" s="1" t="s">
        <v>8279</v>
      </c>
      <c r="AT1896" s="1" t="s">
        <v>31</v>
      </c>
      <c r="AX1896" s="1">
        <v>0.0</v>
      </c>
      <c r="AY1896" s="1">
        <v>0.0</v>
      </c>
    </row>
    <row r="1897" spans="20:51" ht="15.75" hidden="1">
      <c r="T1897" s="1">
        <v>3380813.0</v>
      </c>
      <c r="U1897" s="1"/>
      <c r="V1897" s="1"/>
      <c r="W1897" s="1"/>
      <c r="X1897" s="1"/>
      <c r="Y1897" s="1" t="s">
        <v>8280</v>
      </c>
      <c r="Z1897" s="1" t="s">
        <v>8281</v>
      </c>
      <c r="AA1897" s="1" t="s">
        <v>8282</v>
      </c>
      <c r="AB1897" s="1"/>
      <c r="AC1897" s="1"/>
      <c r="AD1897" s="1"/>
      <c r="AE1897" s="1"/>
      <c r="AG1897" s="2" t="str">
        <f>"0374194165"</f>
        <v>0374194165</v>
      </c>
      <c r="AH1897" s="2" t="str">
        <f>"9780374194161"</f>
        <v>9780374194161</v>
      </c>
      <c r="AI1897" s="1">
        <v>0.0</v>
      </c>
      <c r="AJ1897" s="1">
        <v>3.19</v>
      </c>
      <c r="AK1897" s="1" t="s">
        <v>89</v>
      </c>
      <c r="AL1897" s="1" t="s">
        <v>41</v>
      </c>
      <c r="AM1897" s="1">
        <v>258.0</v>
      </c>
      <c r="AN1897" s="1">
        <v>2009.0</v>
      </c>
      <c r="AO1897" s="1">
        <v>2009.0</v>
      </c>
      <c r="AQ1897" s="3">
        <v>43993.0</v>
      </c>
      <c r="AR1897" s="1" t="s">
        <v>31</v>
      </c>
      <c r="AS1897" s="1" t="s">
        <v>8283</v>
      </c>
      <c r="AT1897" s="1" t="s">
        <v>31</v>
      </c>
      <c r="AX1897" s="1">
        <v>0.0</v>
      </c>
      <c r="AY1897" s="1">
        <v>0.0</v>
      </c>
    </row>
    <row r="1898" spans="20:51" ht="15.75" hidden="1">
      <c r="T1898" s="1">
        <v>1991.0</v>
      </c>
      <c r="U1898" s="1"/>
      <c r="V1898" s="1"/>
      <c r="W1898" s="1"/>
      <c r="X1898" s="1"/>
      <c r="Y1898" s="1" t="s">
        <v>8284</v>
      </c>
      <c r="Z1898" s="1" t="s">
        <v>8285</v>
      </c>
      <c r="AA1898" s="1" t="s">
        <v>8286</v>
      </c>
      <c r="AB1898" s="1"/>
      <c r="AC1898" s="1"/>
      <c r="AD1898" s="1"/>
      <c r="AE1898" s="1"/>
      <c r="AG1898" s="2" t="str">
        <f>"0465031269"</f>
        <v>0465031269</v>
      </c>
      <c r="AH1898" s="2" t="str">
        <f>"9780465031269"</f>
        <v>9780465031269</v>
      </c>
      <c r="AI1898" s="1">
        <v>0.0</v>
      </c>
      <c r="AJ1898" s="1">
        <v>3.7</v>
      </c>
      <c r="AK1898" s="1" t="s">
        <v>46</v>
      </c>
      <c r="AL1898" s="1" t="s">
        <v>28</v>
      </c>
      <c r="AM1898" s="1">
        <v>176.0</v>
      </c>
      <c r="AN1898" s="1">
        <v>1998.0</v>
      </c>
      <c r="AO1898" s="1">
        <v>1997.0</v>
      </c>
      <c r="AQ1898" s="3">
        <v>43992.0</v>
      </c>
      <c r="AR1898" s="1" t="s">
        <v>31</v>
      </c>
      <c r="AS1898" s="1" t="s">
        <v>8287</v>
      </c>
      <c r="AT1898" s="1" t="s">
        <v>31</v>
      </c>
      <c r="AX1898" s="1">
        <v>0.0</v>
      </c>
      <c r="AY1898" s="1">
        <v>0.0</v>
      </c>
    </row>
    <row r="1899" spans="20:51" ht="15.75" hidden="1">
      <c r="T1899" s="1">
        <v>5.0391716E7</v>
      </c>
      <c r="U1899" s="1"/>
      <c r="V1899" s="1"/>
      <c r="W1899" s="1"/>
      <c r="X1899" s="1"/>
      <c r="Y1899" s="1" t="s">
        <v>8288</v>
      </c>
      <c r="Z1899" s="1" t="s">
        <v>8289</v>
      </c>
      <c r="AA1899" s="1" t="s">
        <v>8290</v>
      </c>
      <c r="AB1899" s="1"/>
      <c r="AC1899" s="1"/>
      <c r="AD1899" s="1"/>
      <c r="AE1899" s="1"/>
      <c r="AG1899" s="2" t="str">
        <f>"1989783015"</f>
        <v>1989783015</v>
      </c>
      <c r="AH1899" s="2" t="str">
        <f>"9781989783016"</f>
        <v>9781989783016</v>
      </c>
      <c r="AI1899" s="1">
        <v>0.0</v>
      </c>
      <c r="AJ1899" s="1">
        <v>4.54</v>
      </c>
      <c r="AK1899" s="1" t="s">
        <v>8291</v>
      </c>
      <c r="AL1899" s="1" t="s">
        <v>28</v>
      </c>
      <c r="AM1899" s="1">
        <v>437.0</v>
      </c>
      <c r="AN1899" s="1">
        <v>2020.0</v>
      </c>
      <c r="AO1899" s="1">
        <v>2020.0</v>
      </c>
      <c r="AQ1899" s="3">
        <v>43992.0</v>
      </c>
      <c r="AR1899" s="1" t="s">
        <v>31</v>
      </c>
      <c r="AS1899" s="1" t="s">
        <v>8292</v>
      </c>
      <c r="AT1899" s="1" t="s">
        <v>31</v>
      </c>
      <c r="AX1899" s="1">
        <v>0.0</v>
      </c>
      <c r="AY1899" s="1">
        <v>0.0</v>
      </c>
    </row>
    <row r="1900" spans="20:51" ht="15.75" hidden="1">
      <c r="T1900" s="1">
        <v>4.8888563E7</v>
      </c>
      <c r="U1900" s="1"/>
      <c r="V1900" s="1"/>
      <c r="W1900" s="1"/>
      <c r="X1900" s="1"/>
      <c r="Y1900" s="1" t="s">
        <v>8293</v>
      </c>
      <c r="Z1900" s="1" t="s">
        <v>8294</v>
      </c>
      <c r="AA1900" s="1" t="s">
        <v>8295</v>
      </c>
      <c r="AB1900" s="1"/>
      <c r="AC1900" s="1"/>
      <c r="AD1900" s="1"/>
      <c r="AE1900" s="1"/>
      <c r="AG1900" s="2" t="str">
        <f>"0143135341"</f>
        <v>0143135341</v>
      </c>
      <c r="AH1900" s="2" t="str">
        <f>"9780143135340"</f>
        <v>9780143135340</v>
      </c>
      <c r="AI1900" s="1">
        <v>0.0</v>
      </c>
      <c r="AJ1900" s="1">
        <v>4.25</v>
      </c>
      <c r="AK1900" s="1" t="s">
        <v>460</v>
      </c>
      <c r="AL1900" s="1" t="s">
        <v>28</v>
      </c>
      <c r="AM1900" s="1">
        <v>128.0</v>
      </c>
      <c r="AN1900" s="1">
        <v>2020.0</v>
      </c>
      <c r="AO1900" s="1">
        <v>2020.0</v>
      </c>
      <c r="AQ1900" s="3">
        <v>43992.0</v>
      </c>
      <c r="AR1900" s="1" t="s">
        <v>31</v>
      </c>
      <c r="AS1900" s="1" t="s">
        <v>8296</v>
      </c>
      <c r="AT1900" s="1" t="s">
        <v>31</v>
      </c>
      <c r="AX1900" s="1">
        <v>0.0</v>
      </c>
      <c r="AY1900" s="1">
        <v>0.0</v>
      </c>
    </row>
    <row r="1901" spans="20:51" ht="15.75" hidden="1">
      <c r="T1901" s="1">
        <v>4.5893893E7</v>
      </c>
      <c r="U1901" s="1"/>
      <c r="V1901" s="1"/>
      <c r="W1901" s="1"/>
      <c r="X1901" s="1"/>
      <c r="Y1901" s="1" t="s">
        <v>8297</v>
      </c>
      <c r="Z1901" s="1" t="s">
        <v>8298</v>
      </c>
      <c r="AA1901" s="1" t="s">
        <v>8299</v>
      </c>
      <c r="AB1901" s="1"/>
      <c r="AC1901" s="1"/>
      <c r="AD1901" s="1"/>
      <c r="AE1901" s="1"/>
      <c r="AG1901" s="2" t="str">
        <f>"0892555068"</f>
        <v>0892555068</v>
      </c>
      <c r="AH1901" s="2" t="str">
        <f>"9780892555062"</f>
        <v>9780892555062</v>
      </c>
      <c r="AI1901" s="1">
        <v>0.0</v>
      </c>
      <c r="AJ1901" s="1">
        <v>4.43</v>
      </c>
      <c r="AK1901" s="1" t="s">
        <v>8300</v>
      </c>
      <c r="AL1901" s="1" t="s">
        <v>28</v>
      </c>
      <c r="AM1901" s="1">
        <v>256.0</v>
      </c>
      <c r="AN1901" s="1">
        <v>2020.0</v>
      </c>
      <c r="AO1901" s="1">
        <v>2020.0</v>
      </c>
      <c r="AQ1901" s="3">
        <v>43992.0</v>
      </c>
      <c r="AR1901" s="1" t="s">
        <v>31</v>
      </c>
      <c r="AS1901" s="1" t="s">
        <v>8301</v>
      </c>
      <c r="AT1901" s="1" t="s">
        <v>31</v>
      </c>
      <c r="AX1901" s="1">
        <v>0.0</v>
      </c>
      <c r="AY1901" s="1">
        <v>0.0</v>
      </c>
    </row>
    <row r="1902" spans="20:51" ht="15.75" hidden="1">
      <c r="T1902" s="1">
        <v>2.8007953E7</v>
      </c>
      <c r="U1902" s="1"/>
      <c r="V1902" s="1"/>
      <c r="W1902" s="1"/>
      <c r="X1902" s="1"/>
      <c r="Y1902" s="1" t="s">
        <v>8302</v>
      </c>
      <c r="Z1902" s="1" t="s">
        <v>8303</v>
      </c>
      <c r="AA1902" s="1" t="s">
        <v>8304</v>
      </c>
      <c r="AB1902" s="1"/>
      <c r="AC1902" s="1"/>
      <c r="AD1902" s="1"/>
      <c r="AE1902" s="1"/>
      <c r="AG1902" s="2" t="str">
        <f>"110187127X"</f>
        <v>110187127X</v>
      </c>
      <c r="AH1902" s="2" t="str">
        <f>"9781101871270"</f>
        <v>9781101871270</v>
      </c>
      <c r="AI1902" s="1">
        <v>0.0</v>
      </c>
      <c r="AJ1902" s="1">
        <v>4.19</v>
      </c>
      <c r="AK1902" s="1" t="s">
        <v>2550</v>
      </c>
      <c r="AL1902" s="1" t="s">
        <v>41</v>
      </c>
      <c r="AM1902" s="1">
        <v>352.0</v>
      </c>
      <c r="AN1902" s="1">
        <v>2017.0</v>
      </c>
      <c r="AO1902" s="1">
        <v>2017.0</v>
      </c>
      <c r="AQ1902" s="3">
        <v>43985.0</v>
      </c>
      <c r="AR1902" s="1" t="s">
        <v>31</v>
      </c>
      <c r="AS1902" s="1" t="s">
        <v>8305</v>
      </c>
      <c r="AT1902" s="1" t="s">
        <v>31</v>
      </c>
      <c r="AX1902" s="1">
        <v>0.0</v>
      </c>
      <c r="AY1902" s="1">
        <v>0.0</v>
      </c>
    </row>
    <row r="1903" spans="20:51" ht="15.75" hidden="1">
      <c r="T1903" s="1">
        <v>519039.0</v>
      </c>
      <c r="U1903" s="1"/>
      <c r="V1903" s="1"/>
      <c r="W1903" s="1"/>
      <c r="X1903" s="1"/>
      <c r="Y1903" s="1" t="s">
        <v>8306</v>
      </c>
      <c r="Z1903" s="1" t="s">
        <v>8307</v>
      </c>
      <c r="AA1903" s="1" t="s">
        <v>8308</v>
      </c>
      <c r="AB1903" s="1"/>
      <c r="AC1903" s="1"/>
      <c r="AD1903" s="1"/>
      <c r="AE1903" s="1"/>
      <c r="AF1903" s="1" t="s">
        <v>735</v>
      </c>
      <c r="AG1903" s="2" t="str">
        <f>"0814775039"</f>
        <v>0814775039</v>
      </c>
      <c r="AH1903" s="2" t="str">
        <f>"9780814775035"</f>
        <v>9780814775035</v>
      </c>
      <c r="AI1903" s="1">
        <v>0.0</v>
      </c>
      <c r="AJ1903" s="1">
        <v>4.46</v>
      </c>
      <c r="AK1903" s="1" t="s">
        <v>777</v>
      </c>
      <c r="AL1903" s="1" t="s">
        <v>28</v>
      </c>
      <c r="AM1903" s="1">
        <v>208.0</v>
      </c>
      <c r="AN1903" s="1">
        <v>2001.0</v>
      </c>
      <c r="AO1903" s="1">
        <v>2001.0</v>
      </c>
      <c r="AQ1903" s="3">
        <v>43984.0</v>
      </c>
      <c r="AR1903" s="1" t="s">
        <v>31</v>
      </c>
      <c r="AS1903" s="1" t="s">
        <v>8309</v>
      </c>
      <c r="AT1903" s="1" t="s">
        <v>31</v>
      </c>
      <c r="AX1903" s="1">
        <v>0.0</v>
      </c>
      <c r="AY1903" s="1">
        <v>0.0</v>
      </c>
    </row>
    <row r="1904" spans="20:51" ht="15.75" hidden="1">
      <c r="T1904" s="1">
        <v>3.6747923E7</v>
      </c>
      <c r="U1904" s="1"/>
      <c r="V1904" s="1"/>
      <c r="W1904" s="1"/>
      <c r="X1904" s="1"/>
      <c r="Y1904" s="1" t="s">
        <v>8310</v>
      </c>
      <c r="Z1904" s="1" t="s">
        <v>8311</v>
      </c>
      <c r="AA1904" s="1" t="s">
        <v>8312</v>
      </c>
      <c r="AB1904" s="1"/>
      <c r="AC1904" s="1"/>
      <c r="AD1904" s="1"/>
      <c r="AE1904" s="1"/>
      <c r="AG1904" s="2" t="str">
        <f>"1479892521"</f>
        <v>1479892521</v>
      </c>
      <c r="AH1904" s="2" t="str">
        <f>"9781479892525"</f>
        <v>9781479892525</v>
      </c>
      <c r="AI1904" s="1">
        <v>0.0</v>
      </c>
      <c r="AJ1904" s="1">
        <v>4.27</v>
      </c>
      <c r="AK1904" s="1" t="s">
        <v>777</v>
      </c>
      <c r="AL1904" s="1" t="s">
        <v>28</v>
      </c>
      <c r="AM1904" s="1">
        <v>192.0</v>
      </c>
      <c r="AN1904" s="1">
        <v>2018.0</v>
      </c>
      <c r="AQ1904" s="3">
        <v>43984.0</v>
      </c>
      <c r="AR1904" s="1" t="s">
        <v>31</v>
      </c>
      <c r="AS1904" s="1" t="s">
        <v>8313</v>
      </c>
      <c r="AT1904" s="1" t="s">
        <v>31</v>
      </c>
      <c r="AX1904" s="1">
        <v>0.0</v>
      </c>
      <c r="AY1904" s="1">
        <v>0.0</v>
      </c>
    </row>
    <row r="1905" spans="20:51" ht="15.75" hidden="1">
      <c r="T1905" s="1">
        <v>8757106.0</v>
      </c>
      <c r="U1905" s="1"/>
      <c r="V1905" s="1"/>
      <c r="W1905" s="1"/>
      <c r="X1905" s="1"/>
      <c r="Y1905" s="1" t="s">
        <v>8314</v>
      </c>
      <c r="Z1905" s="1" t="s">
        <v>8315</v>
      </c>
      <c r="AA1905" s="1" t="s">
        <v>8316</v>
      </c>
      <c r="AB1905" s="1"/>
      <c r="AC1905" s="1"/>
      <c r="AD1905" s="1"/>
      <c r="AE1905" s="1"/>
      <c r="AG1905" s="2" t="str">
        <f>"6077720682"</f>
        <v>6077720682</v>
      </c>
      <c r="AH1905" s="2" t="str">
        <f>"9786077720683"</f>
        <v>9786077720683</v>
      </c>
      <c r="AI1905" s="1">
        <v>0.0</v>
      </c>
      <c r="AJ1905" s="1">
        <v>3.77</v>
      </c>
      <c r="AK1905" s="1" t="s">
        <v>1681</v>
      </c>
      <c r="AL1905" s="1" t="s">
        <v>28</v>
      </c>
      <c r="AM1905" s="1">
        <v>104.0</v>
      </c>
      <c r="AN1905" s="1">
        <v>2010.0</v>
      </c>
      <c r="AO1905" s="1">
        <v>2010.0</v>
      </c>
      <c r="AQ1905" s="3">
        <v>43984.0</v>
      </c>
      <c r="AR1905" s="1" t="s">
        <v>31</v>
      </c>
      <c r="AS1905" s="1" t="s">
        <v>8317</v>
      </c>
      <c r="AT1905" s="1" t="s">
        <v>31</v>
      </c>
      <c r="AX1905" s="1">
        <v>0.0</v>
      </c>
      <c r="AY1905" s="1">
        <v>0.0</v>
      </c>
    </row>
    <row r="1906" spans="20:51" ht="15.75" hidden="1">
      <c r="T1906" s="1">
        <v>1.2095063E7</v>
      </c>
      <c r="U1906" s="1"/>
      <c r="V1906" s="1"/>
      <c r="W1906" s="1"/>
      <c r="X1906" s="1"/>
      <c r="Y1906" s="1" t="s">
        <v>8318</v>
      </c>
      <c r="Z1906" s="1" t="s">
        <v>943</v>
      </c>
      <c r="AA1906" s="1" t="s">
        <v>944</v>
      </c>
      <c r="AB1906" s="1"/>
      <c r="AC1906" s="1"/>
      <c r="AD1906" s="1"/>
      <c r="AE1906" s="1"/>
      <c r="AG1906" s="2" t="str">
        <f>"0374298785"</f>
        <v>0374298785</v>
      </c>
      <c r="AH1906" s="2" t="str">
        <f>"9780374298784"</f>
        <v>9780374298784</v>
      </c>
      <c r="AI1906" s="1">
        <v>0.0</v>
      </c>
      <c r="AJ1906" s="1">
        <v>3.89</v>
      </c>
      <c r="AK1906" s="1" t="s">
        <v>89</v>
      </c>
      <c r="AL1906" s="1" t="s">
        <v>41</v>
      </c>
      <c r="AM1906" s="1">
        <v>224.0</v>
      </c>
      <c r="AN1906" s="1">
        <v>2012.0</v>
      </c>
      <c r="AO1906" s="1">
        <v>2012.0</v>
      </c>
      <c r="AQ1906" s="3">
        <v>43982.0</v>
      </c>
      <c r="AR1906" s="1" t="s">
        <v>31</v>
      </c>
      <c r="AS1906" s="1" t="s">
        <v>8319</v>
      </c>
      <c r="AT1906" s="1" t="s">
        <v>31</v>
      </c>
      <c r="AX1906" s="1">
        <v>0.0</v>
      </c>
      <c r="AY1906" s="1">
        <v>0.0</v>
      </c>
    </row>
    <row r="1907" spans="20:51" ht="15.75" hidden="1">
      <c r="T1907" s="1">
        <v>14248.0</v>
      </c>
      <c r="U1907" s="1"/>
      <c r="V1907" s="1"/>
      <c r="W1907" s="1"/>
      <c r="X1907" s="1"/>
      <c r="Y1907" s="1" t="s">
        <v>8320</v>
      </c>
      <c r="Z1907" s="1" t="s">
        <v>8321</v>
      </c>
      <c r="AA1907" s="1" t="s">
        <v>8322</v>
      </c>
      <c r="AB1907" s="1"/>
      <c r="AC1907" s="1"/>
      <c r="AD1907" s="1"/>
      <c r="AE1907" s="1"/>
      <c r="AG1907" s="2" t="str">
        <f>"0060504080"</f>
        <v>0060504080</v>
      </c>
      <c r="AH1907" s="2" t="str">
        <f>"9780060504083"</f>
        <v>9780060504083</v>
      </c>
      <c r="AI1907" s="1">
        <v>0.0</v>
      </c>
      <c r="AJ1907" s="1">
        <v>4.03</v>
      </c>
      <c r="AK1907" s="1" t="s">
        <v>474</v>
      </c>
      <c r="AL1907" s="1" t="s">
        <v>28</v>
      </c>
      <c r="AM1907" s="1">
        <v>264.0</v>
      </c>
      <c r="AN1907" s="1">
        <v>2003.0</v>
      </c>
      <c r="AO1907" s="1">
        <v>2002.0</v>
      </c>
      <c r="AQ1907" s="3">
        <v>43982.0</v>
      </c>
      <c r="AR1907" s="1" t="s">
        <v>31</v>
      </c>
      <c r="AS1907" s="1" t="s">
        <v>8323</v>
      </c>
      <c r="AT1907" s="1" t="s">
        <v>31</v>
      </c>
      <c r="AX1907" s="1">
        <v>0.0</v>
      </c>
      <c r="AY1907" s="1">
        <v>0.0</v>
      </c>
    </row>
    <row r="1908" spans="20:51" ht="15.75" hidden="1">
      <c r="T1908" s="1">
        <v>223635.0</v>
      </c>
      <c r="U1908" s="1"/>
      <c r="V1908" s="1"/>
      <c r="W1908" s="1"/>
      <c r="X1908" s="1"/>
      <c r="Y1908" s="1" t="s">
        <v>8324</v>
      </c>
      <c r="Z1908" s="1" t="s">
        <v>8325</v>
      </c>
      <c r="AA1908" s="1" t="s">
        <v>8326</v>
      </c>
      <c r="AB1908" s="1"/>
      <c r="AC1908" s="1"/>
      <c r="AD1908" s="1"/>
      <c r="AE1908" s="1"/>
      <c r="AF1908" s="1" t="s">
        <v>8327</v>
      </c>
      <c r="AG1908" s="2" t="str">
        <f>"0140189181"</f>
        <v>0140189181</v>
      </c>
      <c r="AH1908" s="2" t="str">
        <f>"9780140189186"</f>
        <v>9780140189186</v>
      </c>
      <c r="AI1908" s="1">
        <v>0.0</v>
      </c>
      <c r="AJ1908" s="1">
        <v>4.04</v>
      </c>
      <c r="AK1908" s="1" t="s">
        <v>232</v>
      </c>
      <c r="AL1908" s="1" t="s">
        <v>28</v>
      </c>
      <c r="AM1908" s="1">
        <v>272.0</v>
      </c>
      <c r="AN1908" s="1">
        <v>1995.0</v>
      </c>
      <c r="AO1908" s="1">
        <v>1936.0</v>
      </c>
      <c r="AQ1908" s="3">
        <v>43982.0</v>
      </c>
      <c r="AR1908" s="1" t="s">
        <v>31</v>
      </c>
      <c r="AS1908" s="1" t="s">
        <v>8328</v>
      </c>
      <c r="AT1908" s="1" t="s">
        <v>31</v>
      </c>
      <c r="AX1908" s="1">
        <v>0.0</v>
      </c>
      <c r="AY1908" s="1">
        <v>0.0</v>
      </c>
    </row>
    <row r="1909" spans="20:51" ht="15.75" hidden="1">
      <c r="T1909" s="1">
        <v>4.4032894E7</v>
      </c>
      <c r="U1909" s="1"/>
      <c r="V1909" s="1"/>
      <c r="W1909" s="1"/>
      <c r="X1909" s="1"/>
      <c r="Y1909" s="1" t="s">
        <v>8329</v>
      </c>
      <c r="Z1909" s="1" t="s">
        <v>8330</v>
      </c>
      <c r="AA1909" s="1" t="s">
        <v>8331</v>
      </c>
      <c r="AB1909" s="1"/>
      <c r="AC1909" s="1"/>
      <c r="AD1909" s="1"/>
      <c r="AE1909" s="1"/>
      <c r="AF1909" s="1" t="s">
        <v>8332</v>
      </c>
      <c r="AG1909" s="2" t="str">
        <f>"8423355217"</f>
        <v>8423355217</v>
      </c>
      <c r="AH1909" s="2" t="str">
        <f>"9788423355211"</f>
        <v>9788423355211</v>
      </c>
      <c r="AI1909" s="1">
        <v>0.0</v>
      </c>
      <c r="AJ1909" s="1">
        <v>3.59</v>
      </c>
      <c r="AK1909" s="1" t="s">
        <v>8333</v>
      </c>
      <c r="AL1909" s="1" t="s">
        <v>28</v>
      </c>
      <c r="AM1909" s="1">
        <v>149.0</v>
      </c>
      <c r="AN1909" s="1">
        <v>2019.0</v>
      </c>
      <c r="AQ1909" s="3">
        <v>43979.0</v>
      </c>
      <c r="AR1909" s="1" t="s">
        <v>31</v>
      </c>
      <c r="AS1909" s="1" t="s">
        <v>8334</v>
      </c>
      <c r="AT1909" s="1" t="s">
        <v>31</v>
      </c>
      <c r="AX1909" s="1">
        <v>0.0</v>
      </c>
      <c r="AY1909" s="1">
        <v>0.0</v>
      </c>
    </row>
    <row r="1910" spans="20:51" ht="15.75" hidden="1">
      <c r="T1910" s="1">
        <v>1.7835572E7</v>
      </c>
      <c r="U1910" s="1"/>
      <c r="V1910" s="1"/>
      <c r="W1910" s="1"/>
      <c r="X1910" s="1"/>
      <c r="Y1910" s="1" t="s">
        <v>8335</v>
      </c>
      <c r="Z1910" s="1" t="s">
        <v>8336</v>
      </c>
      <c r="AA1910" s="1" t="s">
        <v>8337</v>
      </c>
      <c r="AB1910" s="1"/>
      <c r="AC1910" s="1"/>
      <c r="AD1910" s="1"/>
      <c r="AE1910" s="1"/>
      <c r="AG1910" s="2" t="str">
        <f t="shared" si="160" ref="AG1910:AH1910">""</f>
        <v/>
      </c>
      <c r="AH1910" s="2" t="str">
        <f t="shared" si="160"/>
        <v/>
      </c>
      <c r="AI1910" s="1">
        <v>0.0</v>
      </c>
      <c r="AJ1910" s="1">
        <v>3.51</v>
      </c>
      <c r="AK1910" s="1" t="s">
        <v>1681</v>
      </c>
      <c r="AL1910" s="1" t="s">
        <v>28</v>
      </c>
      <c r="AM1910" s="1">
        <v>216.0</v>
      </c>
      <c r="AN1910" s="1">
        <v>2013.0</v>
      </c>
      <c r="AO1910" s="1">
        <v>2013.0</v>
      </c>
      <c r="AQ1910" s="3">
        <v>43976.0</v>
      </c>
      <c r="AR1910" s="1" t="s">
        <v>31</v>
      </c>
      <c r="AS1910" s="1" t="s">
        <v>8338</v>
      </c>
      <c r="AT1910" s="1" t="s">
        <v>31</v>
      </c>
      <c r="AX1910" s="1">
        <v>0.0</v>
      </c>
      <c r="AY1910" s="1">
        <v>0.0</v>
      </c>
    </row>
    <row r="1911" spans="20:51" ht="15.75" hidden="1">
      <c r="T1911" s="1">
        <v>3.1194442E7</v>
      </c>
      <c r="U1911" s="1"/>
      <c r="V1911" s="1"/>
      <c r="W1911" s="1"/>
      <c r="X1911" s="1"/>
      <c r="Y1911" s="1" t="s">
        <v>8339</v>
      </c>
      <c r="Z1911" s="1" t="s">
        <v>8340</v>
      </c>
      <c r="AA1911" s="1" t="s">
        <v>8341</v>
      </c>
      <c r="AB1911" s="1"/>
      <c r="AC1911" s="1"/>
      <c r="AD1911" s="1"/>
      <c r="AE1911" s="1"/>
      <c r="AG1911" s="2" t="str">
        <f t="shared" si="161" ref="AG1911:AH1911">""</f>
        <v/>
      </c>
      <c r="AH1911" s="2" t="str">
        <f t="shared" si="161"/>
        <v/>
      </c>
      <c r="AI1911" s="1">
        <v>0.0</v>
      </c>
      <c r="AJ1911" s="1">
        <v>3.74</v>
      </c>
      <c r="AK1911" s="1" t="s">
        <v>8333</v>
      </c>
      <c r="AL1911" s="1" t="s">
        <v>59</v>
      </c>
      <c r="AM1911" s="1">
        <v>201.0</v>
      </c>
      <c r="AN1911" s="1">
        <v>2016.0</v>
      </c>
      <c r="AO1911" s="1">
        <v>1991.0</v>
      </c>
      <c r="AQ1911" s="3">
        <v>43976.0</v>
      </c>
      <c r="AR1911" s="1" t="s">
        <v>31</v>
      </c>
      <c r="AS1911" s="1" t="s">
        <v>8342</v>
      </c>
      <c r="AT1911" s="1" t="s">
        <v>31</v>
      </c>
      <c r="AX1911" s="1">
        <v>0.0</v>
      </c>
      <c r="AY1911" s="1">
        <v>0.0</v>
      </c>
    </row>
    <row r="1912" spans="20:51" ht="15.75" hidden="1">
      <c r="T1912" s="1">
        <v>4.1060847E7</v>
      </c>
      <c r="U1912" s="1"/>
      <c r="V1912" s="1"/>
      <c r="W1912" s="1"/>
      <c r="X1912" s="1"/>
      <c r="Y1912" s="1" t="s">
        <v>8343</v>
      </c>
      <c r="Z1912" s="1" t="s">
        <v>8344</v>
      </c>
      <c r="AA1912" s="1" t="s">
        <v>8345</v>
      </c>
      <c r="AB1912" s="1"/>
      <c r="AC1912" s="1"/>
      <c r="AD1912" s="1"/>
      <c r="AE1912" s="1"/>
      <c r="AG1912" s="2" t="str">
        <f>"9877690098"</f>
        <v>9877690098</v>
      </c>
      <c r="AH1912" s="2" t="str">
        <f>"9789877690095"</f>
        <v>9789877690095</v>
      </c>
      <c r="AI1912" s="1">
        <v>0.0</v>
      </c>
      <c r="AJ1912" s="1">
        <v>4.02</v>
      </c>
      <c r="AK1912" s="1" t="s">
        <v>8346</v>
      </c>
      <c r="AL1912" s="1" t="s">
        <v>28</v>
      </c>
      <c r="AM1912" s="1">
        <v>176.0</v>
      </c>
      <c r="AO1912" s="1">
        <v>2006.0</v>
      </c>
      <c r="AQ1912" s="3">
        <v>43976.0</v>
      </c>
      <c r="AR1912" s="1" t="s">
        <v>31</v>
      </c>
      <c r="AS1912" s="1" t="s">
        <v>8347</v>
      </c>
      <c r="AT1912" s="1" t="s">
        <v>31</v>
      </c>
      <c r="AX1912" s="1">
        <v>0.0</v>
      </c>
      <c r="AY1912" s="1">
        <v>0.0</v>
      </c>
    </row>
    <row r="1913" spans="20:51" ht="15.75" hidden="1">
      <c r="T1913" s="1">
        <v>4.0316154E7</v>
      </c>
      <c r="U1913" s="1"/>
      <c r="V1913" s="1"/>
      <c r="W1913" s="1"/>
      <c r="X1913" s="1"/>
      <c r="Y1913" s="1" t="s">
        <v>8348</v>
      </c>
      <c r="Z1913" s="1" t="s">
        <v>8349</v>
      </c>
      <c r="AA1913" s="1" t="s">
        <v>8350</v>
      </c>
      <c r="AB1913" s="1"/>
      <c r="AC1913" s="1"/>
      <c r="AD1913" s="1"/>
      <c r="AE1913" s="1"/>
      <c r="AG1913" s="2" t="str">
        <f>"9877690055"</f>
        <v>9877690055</v>
      </c>
      <c r="AH1913" s="2" t="str">
        <f>"9789877690057"</f>
        <v>9789877690057</v>
      </c>
      <c r="AI1913" s="1">
        <v>0.0</v>
      </c>
      <c r="AJ1913" s="1">
        <v>3.8</v>
      </c>
      <c r="AK1913" s="1" t="s">
        <v>6771</v>
      </c>
      <c r="AL1913" s="1" t="s">
        <v>28</v>
      </c>
      <c r="AM1913" s="1">
        <v>176.0</v>
      </c>
      <c r="AN1913" s="1">
        <v>2018.0</v>
      </c>
      <c r="AO1913" s="1">
        <v>2018.0</v>
      </c>
      <c r="AQ1913" s="3">
        <v>43976.0</v>
      </c>
      <c r="AR1913" s="1" t="s">
        <v>31</v>
      </c>
      <c r="AS1913" s="1" t="s">
        <v>8351</v>
      </c>
      <c r="AT1913" s="1" t="s">
        <v>31</v>
      </c>
      <c r="AX1913" s="1">
        <v>0.0</v>
      </c>
      <c r="AY1913" s="1">
        <v>0.0</v>
      </c>
    </row>
    <row r="1914" spans="20:51" ht="15.75" hidden="1">
      <c r="T1914" s="1">
        <v>2237040.0</v>
      </c>
      <c r="U1914" s="1"/>
      <c r="V1914" s="1"/>
      <c r="W1914" s="1"/>
      <c r="X1914" s="1"/>
      <c r="Y1914" s="1" t="s">
        <v>8352</v>
      </c>
      <c r="Z1914" s="1" t="s">
        <v>8353</v>
      </c>
      <c r="AA1914" s="1" t="s">
        <v>8354</v>
      </c>
      <c r="AB1914" s="1"/>
      <c r="AC1914" s="1"/>
      <c r="AD1914" s="1"/>
      <c r="AE1914" s="1"/>
      <c r="AG1914" s="2" t="str">
        <f>"9872110964"</f>
        <v>9872110964</v>
      </c>
      <c r="AH1914" s="2" t="str">
        <f>"9789872110963"</f>
        <v>9789872110963</v>
      </c>
      <c r="AI1914" s="1">
        <v>0.0</v>
      </c>
      <c r="AJ1914" s="1">
        <v>3.96</v>
      </c>
      <c r="AK1914" s="1" t="s">
        <v>8355</v>
      </c>
      <c r="AL1914" s="1" t="s">
        <v>28</v>
      </c>
      <c r="AM1914" s="1">
        <v>200.0</v>
      </c>
      <c r="AN1914" s="1">
        <v>2004.0</v>
      </c>
      <c r="AO1914" s="1">
        <v>2004.0</v>
      </c>
      <c r="AQ1914" s="3">
        <v>43976.0</v>
      </c>
      <c r="AR1914" s="1" t="s">
        <v>31</v>
      </c>
      <c r="AS1914" s="1" t="s">
        <v>8356</v>
      </c>
      <c r="AT1914" s="1" t="s">
        <v>31</v>
      </c>
      <c r="AX1914" s="1">
        <v>0.0</v>
      </c>
      <c r="AY1914" s="1">
        <v>0.0</v>
      </c>
    </row>
    <row r="1915" spans="20:51" ht="15.75" hidden="1">
      <c r="T1915" s="1">
        <v>2054201.0</v>
      </c>
      <c r="U1915" s="1"/>
      <c r="V1915" s="1"/>
      <c r="W1915" s="1"/>
      <c r="X1915" s="1"/>
      <c r="Y1915" s="1" t="s">
        <v>8357</v>
      </c>
      <c r="Z1915" s="1" t="s">
        <v>8353</v>
      </c>
      <c r="AA1915" s="1" t="s">
        <v>8354</v>
      </c>
      <c r="AB1915" s="1"/>
      <c r="AC1915" s="1"/>
      <c r="AD1915" s="1"/>
      <c r="AE1915" s="1"/>
      <c r="AG1915" s="2" t="str">
        <f>"9871307039"</f>
        <v>9871307039</v>
      </c>
      <c r="AH1915" s="2" t="str">
        <f>"9789871307036"</f>
        <v>9789871307036</v>
      </c>
      <c r="AI1915" s="1">
        <v>0.0</v>
      </c>
      <c r="AJ1915" s="1">
        <v>4.39</v>
      </c>
      <c r="AK1915" s="1" t="s">
        <v>8355</v>
      </c>
      <c r="AL1915" s="1" t="s">
        <v>28</v>
      </c>
      <c r="AM1915" s="1">
        <v>501.0</v>
      </c>
      <c r="AN1915" s="1">
        <v>2006.0</v>
      </c>
      <c r="AO1915" s="1">
        <v>2006.0</v>
      </c>
      <c r="AQ1915" s="3">
        <v>43976.0</v>
      </c>
      <c r="AR1915" s="1" t="s">
        <v>31</v>
      </c>
      <c r="AS1915" s="1" t="s">
        <v>8358</v>
      </c>
      <c r="AT1915" s="1" t="s">
        <v>31</v>
      </c>
      <c r="AX1915" s="1">
        <v>0.0</v>
      </c>
      <c r="AY1915" s="1">
        <v>0.0</v>
      </c>
    </row>
    <row r="1916" spans="20:51" ht="15.75" hidden="1">
      <c r="T1916" s="1">
        <v>341580.0</v>
      </c>
      <c r="U1916" s="1"/>
      <c r="V1916" s="1"/>
      <c r="W1916" s="1"/>
      <c r="X1916" s="1"/>
      <c r="Y1916" s="1" t="s">
        <v>8359</v>
      </c>
      <c r="Z1916" s="1" t="s">
        <v>8360</v>
      </c>
      <c r="AA1916" s="1" t="s">
        <v>8361</v>
      </c>
      <c r="AB1916" s="1"/>
      <c r="AC1916" s="1"/>
      <c r="AD1916" s="1"/>
      <c r="AE1916" s="1"/>
      <c r="AG1916" s="2" t="str">
        <f>"843392382X"</f>
        <v>843392382X</v>
      </c>
      <c r="AH1916" s="2" t="str">
        <f>"9788433923820"</f>
        <v>9788433923820</v>
      </c>
      <c r="AI1916" s="1">
        <v>0.0</v>
      </c>
      <c r="AJ1916" s="1">
        <v>4.43</v>
      </c>
      <c r="AK1916" s="1" t="s">
        <v>1146</v>
      </c>
      <c r="AL1916" s="1" t="s">
        <v>41</v>
      </c>
      <c r="AM1916" s="1">
        <v>180.0</v>
      </c>
      <c r="AN1916" s="1">
        <v>2006.0</v>
      </c>
      <c r="AO1916" s="1">
        <v>1996.0</v>
      </c>
      <c r="AQ1916" s="3">
        <v>43976.0</v>
      </c>
      <c r="AR1916" s="1" t="s">
        <v>31</v>
      </c>
      <c r="AS1916" s="1" t="s">
        <v>8362</v>
      </c>
      <c r="AT1916" s="1" t="s">
        <v>31</v>
      </c>
      <c r="AX1916" s="1">
        <v>0.0</v>
      </c>
      <c r="AY1916" s="1">
        <v>0.0</v>
      </c>
    </row>
    <row r="1917" spans="20:51" ht="15.75" hidden="1">
      <c r="T1917" s="1">
        <v>4.003624E7</v>
      </c>
      <c r="U1917" s="1"/>
      <c r="V1917" s="1"/>
      <c r="W1917" s="1"/>
      <c r="X1917" s="1"/>
      <c r="Y1917" s="1" t="s">
        <v>8363</v>
      </c>
      <c r="Z1917" s="1" t="s">
        <v>3275</v>
      </c>
      <c r="AA1917" s="1" t="s">
        <v>3276</v>
      </c>
      <c r="AB1917" s="1"/>
      <c r="AC1917" s="1"/>
      <c r="AD1917" s="1"/>
      <c r="AE1917" s="1"/>
      <c r="AG1917" s="2" t="str">
        <f>""</f>
        <v/>
      </c>
      <c r="AH1917" s="2" t="str">
        <f>"9789874445049"</f>
        <v>9789874445049</v>
      </c>
      <c r="AI1917" s="1">
        <v>0.0</v>
      </c>
      <c r="AJ1917" s="1">
        <v>4.38</v>
      </c>
      <c r="AK1917" s="1" t="s">
        <v>8364</v>
      </c>
      <c r="AL1917" s="1" t="s">
        <v>28</v>
      </c>
      <c r="AM1917" s="1">
        <v>116.0</v>
      </c>
      <c r="AO1917" s="1">
        <v>2018.0</v>
      </c>
      <c r="AQ1917" s="3">
        <v>43976.0</v>
      </c>
      <c r="AR1917" s="1" t="s">
        <v>31</v>
      </c>
      <c r="AS1917" s="1" t="s">
        <v>8365</v>
      </c>
      <c r="AT1917" s="1" t="s">
        <v>31</v>
      </c>
      <c r="AX1917" s="1">
        <v>0.0</v>
      </c>
      <c r="AY1917" s="1">
        <v>0.0</v>
      </c>
    </row>
    <row r="1918" spans="20:51" ht="15.75" hidden="1">
      <c r="T1918" s="1">
        <v>1.7825574E7</v>
      </c>
      <c r="U1918" s="1"/>
      <c r="V1918" s="1"/>
      <c r="W1918" s="1"/>
      <c r="X1918" s="1"/>
      <c r="Y1918" s="1" t="s">
        <v>8366</v>
      </c>
      <c r="Z1918" s="1" t="s">
        <v>8360</v>
      </c>
      <c r="AA1918" s="1" t="s">
        <v>8361</v>
      </c>
      <c r="AB1918" s="1"/>
      <c r="AC1918" s="1"/>
      <c r="AD1918" s="1"/>
      <c r="AE1918" s="1"/>
      <c r="AG1918" s="2" t="str">
        <f>"9562476626"</f>
        <v>9562476626</v>
      </c>
      <c r="AH1918" s="2" t="str">
        <f>"9789562476621"</f>
        <v>9789562476621</v>
      </c>
      <c r="AI1918" s="1">
        <v>0.0</v>
      </c>
      <c r="AJ1918" s="1">
        <v>4.3</v>
      </c>
      <c r="AK1918" s="1" t="s">
        <v>3442</v>
      </c>
      <c r="AL1918" s="1" t="s">
        <v>28</v>
      </c>
      <c r="AM1918" s="1">
        <v>287.0</v>
      </c>
      <c r="AN1918" s="1">
        <v>2012.0</v>
      </c>
      <c r="AO1918" s="1">
        <v>2012.0</v>
      </c>
      <c r="AQ1918" s="3">
        <v>43976.0</v>
      </c>
      <c r="AR1918" s="1" t="s">
        <v>31</v>
      </c>
      <c r="AS1918" s="1" t="s">
        <v>8367</v>
      </c>
      <c r="AT1918" s="1" t="s">
        <v>31</v>
      </c>
      <c r="AX1918" s="1">
        <v>0.0</v>
      </c>
      <c r="AY1918" s="1">
        <v>0.0</v>
      </c>
    </row>
    <row r="1919" spans="20:51" ht="15.75" hidden="1">
      <c r="T1919" s="1">
        <v>1.7563146E7</v>
      </c>
      <c r="U1919" s="1"/>
      <c r="V1919" s="1"/>
      <c r="W1919" s="1"/>
      <c r="X1919" s="1"/>
      <c r="Y1919" s="1" t="s">
        <v>8368</v>
      </c>
      <c r="Z1919" s="1" t="s">
        <v>8369</v>
      </c>
      <c r="AA1919" s="1" t="s">
        <v>8370</v>
      </c>
      <c r="AB1919" s="1"/>
      <c r="AC1919" s="1"/>
      <c r="AD1919" s="1"/>
      <c r="AE1919" s="1"/>
      <c r="AG1919" s="2" t="str">
        <f>"9872074054"</f>
        <v>9872074054</v>
      </c>
      <c r="AH1919" s="2" t="str">
        <f>"9789872074050"</f>
        <v>9789872074050</v>
      </c>
      <c r="AI1919" s="1">
        <v>0.0</v>
      </c>
      <c r="AJ1919" s="1">
        <v>4.2</v>
      </c>
      <c r="AK1919" s="1" t="s">
        <v>8371</v>
      </c>
      <c r="AL1919" s="1" t="s">
        <v>28</v>
      </c>
      <c r="AM1919" s="1">
        <v>182.0</v>
      </c>
      <c r="AN1919" s="1">
        <v>2004.0</v>
      </c>
      <c r="AO1919" s="1">
        <v>1964.0</v>
      </c>
      <c r="AQ1919" s="3">
        <v>43976.0</v>
      </c>
      <c r="AR1919" s="1" t="s">
        <v>31</v>
      </c>
      <c r="AS1919" s="1" t="s">
        <v>8372</v>
      </c>
      <c r="AT1919" s="1" t="s">
        <v>31</v>
      </c>
      <c r="AX1919" s="1">
        <v>0.0</v>
      </c>
      <c r="AY1919" s="1">
        <v>0.0</v>
      </c>
    </row>
    <row r="1920" spans="20:51" ht="15.75" hidden="1">
      <c r="T1920" s="1">
        <v>257887.0</v>
      </c>
      <c r="U1920" s="1"/>
      <c r="V1920" s="1"/>
      <c r="W1920" s="1"/>
      <c r="X1920" s="1"/>
      <c r="Y1920" s="1" t="s">
        <v>8373</v>
      </c>
      <c r="Z1920" s="1" t="s">
        <v>8374</v>
      </c>
      <c r="AA1920" s="1" t="s">
        <v>8375</v>
      </c>
      <c r="AB1920" s="1"/>
      <c r="AC1920" s="1"/>
      <c r="AD1920" s="1"/>
      <c r="AE1920" s="1"/>
      <c r="AG1920" s="2" t="str">
        <f>"8437618630"</f>
        <v>8437618630</v>
      </c>
      <c r="AH1920" s="2" t="str">
        <f>"9788437618630"</f>
        <v>9788437618630</v>
      </c>
      <c r="AI1920" s="1">
        <v>0.0</v>
      </c>
      <c r="AJ1920" s="1">
        <v>3.77</v>
      </c>
      <c r="AK1920" s="1" t="s">
        <v>3433</v>
      </c>
      <c r="AL1920" s="1" t="s">
        <v>28</v>
      </c>
      <c r="AM1920" s="1">
        <v>320.0</v>
      </c>
      <c r="AN1920" s="1">
        <v>2005.0</v>
      </c>
      <c r="AO1920" s="1">
        <v>1976.0</v>
      </c>
      <c r="AQ1920" s="3">
        <v>43976.0</v>
      </c>
      <c r="AR1920" s="1" t="s">
        <v>31</v>
      </c>
      <c r="AS1920" s="1" t="s">
        <v>8376</v>
      </c>
      <c r="AT1920" s="1" t="s">
        <v>31</v>
      </c>
      <c r="AX1920" s="1">
        <v>0.0</v>
      </c>
      <c r="AY1920" s="1">
        <v>0.0</v>
      </c>
    </row>
    <row r="1921" spans="20:51" ht="15.75" hidden="1">
      <c r="T1921" s="1">
        <v>2.1407766E7</v>
      </c>
      <c r="U1921" s="1"/>
      <c r="V1921" s="1"/>
      <c r="W1921" s="1"/>
      <c r="X1921" s="1"/>
      <c r="Y1921" s="1" t="s">
        <v>8377</v>
      </c>
      <c r="Z1921" s="1" t="s">
        <v>4315</v>
      </c>
      <c r="AA1921" s="1" t="s">
        <v>4316</v>
      </c>
      <c r="AB1921" s="1"/>
      <c r="AC1921" s="1"/>
      <c r="AD1921" s="1"/>
      <c r="AE1921" s="1"/>
      <c r="AG1921" s="2" t="str">
        <f>"8476580207"</f>
        <v>8476580207</v>
      </c>
      <c r="AH1921" s="2" t="str">
        <f>"9788476580202"</f>
        <v>9788476580202</v>
      </c>
      <c r="AI1921" s="1">
        <v>0.0</v>
      </c>
      <c r="AJ1921" s="1">
        <v>3.83</v>
      </c>
      <c r="AK1921" s="1" t="s">
        <v>8378</v>
      </c>
      <c r="AL1921" s="1" t="s">
        <v>28</v>
      </c>
      <c r="AM1921" s="1">
        <v>128.0</v>
      </c>
      <c r="AN1921" s="1">
        <v>1986.0</v>
      </c>
      <c r="AO1921" s="1">
        <v>1986.0</v>
      </c>
      <c r="AQ1921" s="3">
        <v>43976.0</v>
      </c>
      <c r="AR1921" s="1" t="s">
        <v>31</v>
      </c>
      <c r="AS1921" s="1" t="s">
        <v>8379</v>
      </c>
      <c r="AT1921" s="1" t="s">
        <v>31</v>
      </c>
      <c r="AX1921" s="1">
        <v>0.0</v>
      </c>
      <c r="AY1921" s="1">
        <v>0.0</v>
      </c>
    </row>
    <row r="1922" spans="20:51" ht="15.75" hidden="1">
      <c r="T1922" s="1">
        <v>200299.0</v>
      </c>
      <c r="U1922" s="1"/>
      <c r="V1922" s="1"/>
      <c r="W1922" s="1"/>
      <c r="X1922" s="1"/>
      <c r="Y1922" s="1" t="s">
        <v>8380</v>
      </c>
      <c r="Z1922" s="1" t="s">
        <v>8381</v>
      </c>
      <c r="AA1922" s="1" t="s">
        <v>8382</v>
      </c>
      <c r="AB1922" s="1"/>
      <c r="AC1922" s="1"/>
      <c r="AD1922" s="1"/>
      <c r="AE1922" s="1"/>
      <c r="AG1922" s="2" t="str">
        <f>"9871136218"</f>
        <v>9871136218</v>
      </c>
      <c r="AH1922" s="2" t="str">
        <f>"9789871136216"</f>
        <v>9789871136216</v>
      </c>
      <c r="AI1922" s="1">
        <v>0.0</v>
      </c>
      <c r="AJ1922" s="1">
        <v>3.6</v>
      </c>
      <c r="AK1922" s="1" t="s">
        <v>8383</v>
      </c>
      <c r="AL1922" s="1" t="s">
        <v>28</v>
      </c>
      <c r="AM1922" s="1">
        <v>172.0</v>
      </c>
      <c r="AN1922" s="1">
        <v>2004.0</v>
      </c>
      <c r="AO1922" s="1">
        <v>1926.0</v>
      </c>
      <c r="AQ1922" s="3">
        <v>43976.0</v>
      </c>
      <c r="AR1922" s="1" t="s">
        <v>31</v>
      </c>
      <c r="AS1922" s="1" t="s">
        <v>8384</v>
      </c>
      <c r="AT1922" s="1" t="s">
        <v>31</v>
      </c>
      <c r="AX1922" s="1">
        <v>0.0</v>
      </c>
      <c r="AY1922" s="1">
        <v>0.0</v>
      </c>
    </row>
    <row r="1923" spans="20:51" ht="15.75" hidden="1">
      <c r="T1923" s="1">
        <v>1254328.0</v>
      </c>
      <c r="U1923" s="1"/>
      <c r="V1923" s="1"/>
      <c r="W1923" s="1"/>
      <c r="X1923" s="1"/>
      <c r="Y1923" s="1" t="s">
        <v>8385</v>
      </c>
      <c r="Z1923" s="1" t="s">
        <v>6761</v>
      </c>
      <c r="AA1923" s="1" t="s">
        <v>6762</v>
      </c>
      <c r="AB1923" s="1"/>
      <c r="AC1923" s="1"/>
      <c r="AD1923" s="1"/>
      <c r="AE1923" s="1"/>
      <c r="AG1923" s="2" t="str">
        <f>"8476581009"</f>
        <v>8476581009</v>
      </c>
      <c r="AH1923" s="2" t="str">
        <f>"9788476581001"</f>
        <v>9788476581001</v>
      </c>
      <c r="AI1923" s="1">
        <v>0.0</v>
      </c>
      <c r="AJ1923" s="1">
        <v>3.97</v>
      </c>
      <c r="AK1923" s="1" t="s">
        <v>8378</v>
      </c>
      <c r="AL1923" s="1" t="s">
        <v>28</v>
      </c>
      <c r="AM1923" s="1">
        <v>168.0</v>
      </c>
      <c r="AN1923" s="1">
        <v>1988.0</v>
      </c>
      <c r="AO1923" s="1">
        <v>1958.0</v>
      </c>
      <c r="AQ1923" s="3">
        <v>43976.0</v>
      </c>
      <c r="AR1923" s="1" t="s">
        <v>31</v>
      </c>
      <c r="AS1923" s="1" t="s">
        <v>8386</v>
      </c>
      <c r="AT1923" s="1" t="s">
        <v>31</v>
      </c>
      <c r="AX1923" s="1">
        <v>0.0</v>
      </c>
      <c r="AY1923" s="1">
        <v>0.0</v>
      </c>
    </row>
    <row r="1924" spans="20:51" ht="15.75" hidden="1">
      <c r="T1924" s="1">
        <v>4244302.0</v>
      </c>
      <c r="U1924" s="1"/>
      <c r="V1924" s="1"/>
      <c r="W1924" s="1"/>
      <c r="X1924" s="1"/>
      <c r="Y1924" s="1" t="s">
        <v>8387</v>
      </c>
      <c r="Z1924" s="1" t="s">
        <v>8388</v>
      </c>
      <c r="AA1924" s="1" t="s">
        <v>8389</v>
      </c>
      <c r="AB1924" s="1"/>
      <c r="AC1924" s="1"/>
      <c r="AD1924" s="1"/>
      <c r="AE1924" s="1"/>
      <c r="AG1924" s="2" t="str">
        <f>"9507864644"</f>
        <v>9507864644</v>
      </c>
      <c r="AH1924" s="2" t="str">
        <f>"9789507864643"</f>
        <v>9789507864643</v>
      </c>
      <c r="AI1924" s="1">
        <v>0.0</v>
      </c>
      <c r="AJ1924" s="1">
        <v>3.81</v>
      </c>
      <c r="AK1924" s="1" t="s">
        <v>8390</v>
      </c>
      <c r="AL1924" s="1" t="s">
        <v>28</v>
      </c>
      <c r="AM1924" s="1">
        <v>194.0</v>
      </c>
      <c r="AN1924" s="1">
        <v>2005.0</v>
      </c>
      <c r="AO1924" s="1">
        <v>1996.0</v>
      </c>
      <c r="AQ1924" s="3">
        <v>43976.0</v>
      </c>
      <c r="AR1924" s="1" t="s">
        <v>31</v>
      </c>
      <c r="AS1924" s="1" t="s">
        <v>8391</v>
      </c>
      <c r="AT1924" s="1" t="s">
        <v>31</v>
      </c>
      <c r="AX1924" s="1">
        <v>0.0</v>
      </c>
      <c r="AY1924" s="1">
        <v>0.0</v>
      </c>
    </row>
    <row r="1925" spans="20:51" ht="15.75" hidden="1">
      <c r="T1925" s="1">
        <v>1646.0</v>
      </c>
      <c r="U1925" s="1"/>
      <c r="V1925" s="1"/>
      <c r="W1925" s="1"/>
      <c r="X1925" s="1"/>
      <c r="Y1925" s="1" t="s">
        <v>8392</v>
      </c>
      <c r="Z1925" s="1" t="s">
        <v>3241</v>
      </c>
      <c r="AA1925" s="1" t="s">
        <v>3242</v>
      </c>
      <c r="AB1925" s="1"/>
      <c r="AC1925" s="1"/>
      <c r="AD1925" s="1"/>
      <c r="AE1925" s="1"/>
      <c r="AG1925" s="2" t="str">
        <f>"8433924710"</f>
        <v>8433924710</v>
      </c>
      <c r="AH1925" s="2" t="str">
        <f>"9788433924711"</f>
        <v>9788433924711</v>
      </c>
      <c r="AI1925" s="1">
        <v>0.0</v>
      </c>
      <c r="AJ1925" s="1">
        <v>3.98</v>
      </c>
      <c r="AK1925" s="1" t="s">
        <v>1681</v>
      </c>
      <c r="AL1925" s="1" t="s">
        <v>28</v>
      </c>
      <c r="AM1925" s="1">
        <v>224.0</v>
      </c>
      <c r="AN1925" s="1">
        <v>2008.0</v>
      </c>
      <c r="AO1925" s="1">
        <v>1980.0</v>
      </c>
      <c r="AQ1925" s="3">
        <v>43976.0</v>
      </c>
      <c r="AR1925" s="1" t="s">
        <v>31</v>
      </c>
      <c r="AS1925" s="1" t="s">
        <v>8393</v>
      </c>
      <c r="AT1925" s="1" t="s">
        <v>31</v>
      </c>
      <c r="AX1925" s="1">
        <v>0.0</v>
      </c>
      <c r="AY1925" s="1">
        <v>0.0</v>
      </c>
    </row>
    <row r="1926" spans="20:51" ht="15.75" hidden="1">
      <c r="T1926" s="1">
        <v>2.3551596E7</v>
      </c>
      <c r="U1926" s="1"/>
      <c r="V1926" s="1"/>
      <c r="W1926" s="1"/>
      <c r="X1926" s="1"/>
      <c r="Y1926" s="1" t="s">
        <v>8394</v>
      </c>
      <c r="Z1926" s="1" t="s">
        <v>8395</v>
      </c>
      <c r="AA1926" s="1" t="s">
        <v>8396</v>
      </c>
      <c r="AB1926" s="1"/>
      <c r="AC1926" s="1"/>
      <c r="AD1926" s="1"/>
      <c r="AE1926" s="1"/>
      <c r="AG1926" s="2" t="str">
        <f>"3865272347"</f>
        <v>3865272347</v>
      </c>
      <c r="AH1926" s="2" t="str">
        <f>""</f>
        <v/>
      </c>
      <c r="AI1926" s="1">
        <v>0.0</v>
      </c>
      <c r="AJ1926" s="1">
        <v>3.33</v>
      </c>
      <c r="AK1926" s="1" t="s">
        <v>8397</v>
      </c>
      <c r="AM1926" s="1">
        <v>310.0</v>
      </c>
      <c r="AN1926" s="1">
        <v>2006.0</v>
      </c>
      <c r="AO1926" s="1">
        <v>2006.0</v>
      </c>
      <c r="AQ1926" s="3">
        <v>43976.0</v>
      </c>
      <c r="AR1926" s="1" t="s">
        <v>31</v>
      </c>
      <c r="AS1926" s="1" t="s">
        <v>8398</v>
      </c>
      <c r="AT1926" s="1" t="s">
        <v>31</v>
      </c>
      <c r="AX1926" s="1">
        <v>0.0</v>
      </c>
      <c r="AY1926" s="1">
        <v>0.0</v>
      </c>
    </row>
    <row r="1927" spans="20:51" ht="15.75" hidden="1">
      <c r="T1927" s="1">
        <v>1.333069E7</v>
      </c>
      <c r="U1927" s="1"/>
      <c r="V1927" s="1"/>
      <c r="W1927" s="1"/>
      <c r="X1927" s="1"/>
      <c r="Y1927" s="1" t="s">
        <v>8399</v>
      </c>
      <c r="Z1927" s="1" t="s">
        <v>8400</v>
      </c>
      <c r="AA1927" s="1" t="s">
        <v>8401</v>
      </c>
      <c r="AB1927" s="1"/>
      <c r="AC1927" s="1"/>
      <c r="AD1927" s="1"/>
      <c r="AE1927" s="1"/>
      <c r="AG1927" s="2" t="str">
        <f>"0345802446"</f>
        <v>0345802446</v>
      </c>
      <c r="AH1927" s="2" t="str">
        <f>"9780345802446"</f>
        <v>9780345802446</v>
      </c>
      <c r="AI1927" s="1">
        <v>0.0</v>
      </c>
      <c r="AJ1927" s="1">
        <v>3.87</v>
      </c>
      <c r="AK1927" s="1" t="s">
        <v>5983</v>
      </c>
      <c r="AL1927" s="1" t="s">
        <v>28</v>
      </c>
      <c r="AM1927" s="1">
        <v>592.0</v>
      </c>
      <c r="AN1927" s="1">
        <v>2012.0</v>
      </c>
      <c r="AO1927" s="1">
        <v>2011.0</v>
      </c>
      <c r="AQ1927" s="3">
        <v>43976.0</v>
      </c>
      <c r="AR1927" s="1" t="s">
        <v>31</v>
      </c>
      <c r="AS1927" s="1" t="s">
        <v>8402</v>
      </c>
      <c r="AT1927" s="1" t="s">
        <v>31</v>
      </c>
      <c r="AX1927" s="1">
        <v>0.0</v>
      </c>
      <c r="AY1927" s="1">
        <v>0.0</v>
      </c>
    </row>
    <row r="1928" spans="20:51" ht="15.75" hidden="1">
      <c r="T1928" s="1">
        <v>3.2588635E7</v>
      </c>
      <c r="U1928" s="1"/>
      <c r="V1928" s="1"/>
      <c r="W1928" s="1"/>
      <c r="X1928" s="1"/>
      <c r="Y1928" s="1" t="s">
        <v>8403</v>
      </c>
      <c r="Z1928" s="1" t="s">
        <v>8404</v>
      </c>
      <c r="AA1928" s="1" t="s">
        <v>8405</v>
      </c>
      <c r="AB1928" s="1"/>
      <c r="AC1928" s="1"/>
      <c r="AD1928" s="1"/>
      <c r="AE1928" s="1"/>
      <c r="AG1928" s="2" t="str">
        <f t="shared" si="162" ref="AG1928:AH1928">""</f>
        <v/>
      </c>
      <c r="AH1928" s="2" t="str">
        <f t="shared" si="162"/>
        <v/>
      </c>
      <c r="AI1928" s="1">
        <v>0.0</v>
      </c>
      <c r="AJ1928" s="1">
        <v>0.0</v>
      </c>
      <c r="AK1928" s="1" t="s">
        <v>8406</v>
      </c>
      <c r="AL1928" s="1" t="s">
        <v>59</v>
      </c>
      <c r="AM1928" s="1">
        <v>274.0</v>
      </c>
      <c r="AN1928" s="1">
        <v>2013.0</v>
      </c>
      <c r="AQ1928" s="3">
        <v>43976.0</v>
      </c>
      <c r="AR1928" s="1" t="s">
        <v>31</v>
      </c>
      <c r="AS1928" s="1" t="s">
        <v>8407</v>
      </c>
      <c r="AT1928" s="1" t="s">
        <v>31</v>
      </c>
      <c r="AX1928" s="1">
        <v>0.0</v>
      </c>
      <c r="AY1928" s="1">
        <v>0.0</v>
      </c>
    </row>
    <row r="1929" spans="20:51" ht="15.75" hidden="1">
      <c r="T1929" s="1">
        <v>4.0224302E7</v>
      </c>
      <c r="U1929" s="1"/>
      <c r="V1929" s="1"/>
      <c r="W1929" s="1"/>
      <c r="X1929" s="1"/>
      <c r="Y1929" s="1" t="s">
        <v>8408</v>
      </c>
      <c r="Z1929" s="1" t="s">
        <v>8409</v>
      </c>
      <c r="AA1929" s="1" t="s">
        <v>8410</v>
      </c>
      <c r="AB1929" s="1"/>
      <c r="AC1929" s="1"/>
      <c r="AD1929" s="1"/>
      <c r="AE1929" s="1"/>
      <c r="AG1929" s="2" t="str">
        <f>"841741858X"</f>
        <v>841741858X</v>
      </c>
      <c r="AH1929" s="2" t="str">
        <f>"9788417418588"</f>
        <v>9788417418588</v>
      </c>
      <c r="AI1929" s="1">
        <v>0.0</v>
      </c>
      <c r="AJ1929" s="1">
        <v>4.16</v>
      </c>
      <c r="AK1929" s="1" t="s">
        <v>8411</v>
      </c>
      <c r="AL1929" s="1" t="s">
        <v>59</v>
      </c>
      <c r="AM1929" s="1">
        <v>226.0</v>
      </c>
      <c r="AN1929" s="1">
        <v>2018.0</v>
      </c>
      <c r="AQ1929" s="3">
        <v>43976.0</v>
      </c>
      <c r="AR1929" s="1" t="s">
        <v>31</v>
      </c>
      <c r="AS1929" s="1" t="s">
        <v>8412</v>
      </c>
      <c r="AT1929" s="1" t="s">
        <v>31</v>
      </c>
      <c r="AX1929" s="1">
        <v>0.0</v>
      </c>
      <c r="AY1929" s="1">
        <v>0.0</v>
      </c>
    </row>
    <row r="1930" spans="20:51" ht="15.75" hidden="1">
      <c r="T1930" s="1">
        <v>6885122.0</v>
      </c>
      <c r="U1930" s="1"/>
      <c r="V1930" s="1"/>
      <c r="W1930" s="1"/>
      <c r="X1930" s="1"/>
      <c r="Y1930" s="1" t="s">
        <v>8413</v>
      </c>
      <c r="Z1930" s="1" t="s">
        <v>4301</v>
      </c>
      <c r="AA1930" s="1" t="s">
        <v>4302</v>
      </c>
      <c r="AB1930" s="1"/>
      <c r="AC1930" s="1"/>
      <c r="AD1930" s="1"/>
      <c r="AE1930" s="1"/>
      <c r="AG1930" s="2" t="str">
        <f>"9682316855"</f>
        <v>9682316855</v>
      </c>
      <c r="AH1930" s="2" t="str">
        <f>"9789682316852"</f>
        <v>9789682316852</v>
      </c>
      <c r="AI1930" s="1">
        <v>0.0</v>
      </c>
      <c r="AJ1930" s="1">
        <v>3.78</v>
      </c>
      <c r="AK1930" s="1" t="s">
        <v>8414</v>
      </c>
      <c r="AL1930" s="1" t="s">
        <v>28</v>
      </c>
      <c r="AM1930" s="1">
        <v>187.0</v>
      </c>
      <c r="AN1930" s="1">
        <v>2005.0</v>
      </c>
      <c r="AO1930" s="1">
        <v>1970.0</v>
      </c>
      <c r="AQ1930" s="3">
        <v>43972.0</v>
      </c>
      <c r="AR1930" s="1" t="s">
        <v>31</v>
      </c>
      <c r="AS1930" s="1" t="s">
        <v>8415</v>
      </c>
      <c r="AT1930" s="1" t="s">
        <v>31</v>
      </c>
      <c r="AX1930" s="1">
        <v>0.0</v>
      </c>
      <c r="AY1930" s="1">
        <v>0.0</v>
      </c>
    </row>
    <row r="1931" spans="20:51" ht="15.75" hidden="1">
      <c r="T1931" s="1">
        <v>1825375.0</v>
      </c>
      <c r="U1931" s="1"/>
      <c r="V1931" s="1"/>
      <c r="W1931" s="1"/>
      <c r="X1931" s="1"/>
      <c r="Y1931" s="1" t="s">
        <v>8416</v>
      </c>
      <c r="Z1931" s="1" t="s">
        <v>8417</v>
      </c>
      <c r="AA1931" s="1" t="s">
        <v>8418</v>
      </c>
      <c r="AB1931" s="1"/>
      <c r="AC1931" s="1"/>
      <c r="AD1931" s="1"/>
      <c r="AE1931" s="1"/>
      <c r="AG1931" s="2" t="str">
        <f>"847880904X"</f>
        <v>847880904X</v>
      </c>
      <c r="AH1931" s="2" t="str">
        <f>"9788478809042"</f>
        <v>9788478809042</v>
      </c>
      <c r="AI1931" s="1">
        <v>0.0</v>
      </c>
      <c r="AJ1931" s="1">
        <v>4.07</v>
      </c>
      <c r="AK1931" s="1" t="s">
        <v>8419</v>
      </c>
      <c r="AL1931" s="1" t="s">
        <v>28</v>
      </c>
      <c r="AM1931" s="1">
        <v>356.0</v>
      </c>
      <c r="AN1931" s="1">
        <v>1998.0</v>
      </c>
      <c r="AO1931" s="1">
        <v>1932.0</v>
      </c>
      <c r="AQ1931" s="3">
        <v>43970.0</v>
      </c>
      <c r="AR1931" s="1" t="s">
        <v>31</v>
      </c>
      <c r="AS1931" s="1" t="s">
        <v>8420</v>
      </c>
      <c r="AT1931" s="1" t="s">
        <v>31</v>
      </c>
      <c r="AX1931" s="1">
        <v>0.0</v>
      </c>
      <c r="AY1931" s="1">
        <v>0.0</v>
      </c>
    </row>
    <row r="1932" spans="20:51" ht="15.75" hidden="1">
      <c r="T1932" s="1">
        <v>2.7275824E7</v>
      </c>
      <c r="U1932" s="1"/>
      <c r="V1932" s="1"/>
      <c r="W1932" s="1"/>
      <c r="X1932" s="1"/>
      <c r="Y1932" s="1" t="s">
        <v>8421</v>
      </c>
      <c r="Z1932" s="1" t="s">
        <v>8422</v>
      </c>
      <c r="AA1932" s="1" t="s">
        <v>8423</v>
      </c>
      <c r="AB1932" s="1"/>
      <c r="AC1932" s="1"/>
      <c r="AD1932" s="1"/>
      <c r="AE1932" s="1"/>
      <c r="AG1932" s="2" t="str">
        <f t="shared" si="163" ref="AG1932:AH1932">""</f>
        <v/>
      </c>
      <c r="AH1932" s="2" t="str">
        <f t="shared" si="163"/>
        <v/>
      </c>
      <c r="AI1932" s="1">
        <v>0.0</v>
      </c>
      <c r="AJ1932" s="1">
        <v>2.94</v>
      </c>
      <c r="AK1932" s="1" t="s">
        <v>8424</v>
      </c>
      <c r="AL1932" s="1" t="s">
        <v>28</v>
      </c>
      <c r="AM1932" s="1">
        <v>132.0</v>
      </c>
      <c r="AN1932" s="1">
        <v>2015.0</v>
      </c>
      <c r="AO1932" s="1">
        <v>2015.0</v>
      </c>
      <c r="AQ1932" s="3">
        <v>43970.0</v>
      </c>
      <c r="AR1932" s="1" t="s">
        <v>31</v>
      </c>
      <c r="AS1932" s="1" t="s">
        <v>8425</v>
      </c>
      <c r="AT1932" s="1" t="s">
        <v>31</v>
      </c>
      <c r="AX1932" s="1">
        <v>0.0</v>
      </c>
      <c r="AY1932" s="1">
        <v>0.0</v>
      </c>
    </row>
    <row r="1933" spans="20:51" ht="15.75" hidden="1">
      <c r="T1933" s="1">
        <v>3994538.0</v>
      </c>
      <c r="U1933" s="1"/>
      <c r="V1933" s="1"/>
      <c r="W1933" s="1"/>
      <c r="X1933" s="1"/>
      <c r="Y1933" s="1" t="s">
        <v>8426</v>
      </c>
      <c r="Z1933" s="1" t="s">
        <v>8360</v>
      </c>
      <c r="AA1933" s="1" t="s">
        <v>8361</v>
      </c>
      <c r="AB1933" s="1"/>
      <c r="AC1933" s="1"/>
      <c r="AD1933" s="1"/>
      <c r="AE1933" s="1"/>
      <c r="AG1933" s="2" t="str">
        <f>"9507313516"</f>
        <v>9507313516</v>
      </c>
      <c r="AH1933" s="2" t="str">
        <f>"9789507313516"</f>
        <v>9789507313516</v>
      </c>
      <c r="AI1933" s="1">
        <v>0.0</v>
      </c>
      <c r="AJ1933" s="1">
        <v>4.5</v>
      </c>
      <c r="AK1933" s="1" t="s">
        <v>8427</v>
      </c>
      <c r="AL1933" s="1" t="s">
        <v>28</v>
      </c>
      <c r="AM1933" s="1">
        <v>217.0</v>
      </c>
      <c r="AN1933" s="1">
        <v>2002.0</v>
      </c>
      <c r="AO1933" s="1">
        <v>2001.0</v>
      </c>
      <c r="AQ1933" s="3">
        <v>43970.0</v>
      </c>
      <c r="AR1933" s="1" t="s">
        <v>31</v>
      </c>
      <c r="AS1933" s="1" t="s">
        <v>8428</v>
      </c>
      <c r="AT1933" s="1" t="s">
        <v>31</v>
      </c>
      <c r="AX1933" s="1">
        <v>0.0</v>
      </c>
      <c r="AY1933" s="1">
        <v>0.0</v>
      </c>
    </row>
    <row r="1934" spans="20:51" ht="15.75" hidden="1">
      <c r="T1934" s="1">
        <v>607046.0</v>
      </c>
      <c r="U1934" s="1"/>
      <c r="V1934" s="1"/>
      <c r="W1934" s="1"/>
      <c r="X1934" s="1"/>
      <c r="Y1934" s="1" t="s">
        <v>8429</v>
      </c>
      <c r="Z1934" s="1" t="s">
        <v>1780</v>
      </c>
      <c r="AA1934" s="1" t="s">
        <v>1781</v>
      </c>
      <c r="AB1934" s="1"/>
      <c r="AC1934" s="1"/>
      <c r="AD1934" s="1"/>
      <c r="AE1934" s="1"/>
      <c r="AG1934" s="2" t="str">
        <f>"8433967134"</f>
        <v>8433967134</v>
      </c>
      <c r="AH1934" s="2" t="str">
        <f>"9788433967138"</f>
        <v>9788433967138</v>
      </c>
      <c r="AI1934" s="1">
        <v>0.0</v>
      </c>
      <c r="AJ1934" s="1">
        <v>4.0</v>
      </c>
      <c r="AK1934" s="1" t="s">
        <v>1146</v>
      </c>
      <c r="AL1934" s="1" t="s">
        <v>315</v>
      </c>
      <c r="AM1934" s="1">
        <v>208.0</v>
      </c>
      <c r="AN1934" s="1">
        <v>2006.0</v>
      </c>
      <c r="AO1934" s="1">
        <v>1997.0</v>
      </c>
      <c r="AQ1934" s="3">
        <v>43970.0</v>
      </c>
      <c r="AR1934" s="1" t="s">
        <v>31</v>
      </c>
      <c r="AS1934" s="1" t="s">
        <v>8430</v>
      </c>
      <c r="AT1934" s="1" t="s">
        <v>31</v>
      </c>
      <c r="AX1934" s="1">
        <v>0.0</v>
      </c>
      <c r="AY1934" s="1">
        <v>0.0</v>
      </c>
    </row>
    <row r="1935" spans="20:51" ht="15.75" hidden="1">
      <c r="T1935" s="1">
        <v>4.9019227E7</v>
      </c>
      <c r="U1935" s="1"/>
      <c r="V1935" s="1"/>
      <c r="W1935" s="1"/>
      <c r="X1935" s="1"/>
      <c r="Y1935" s="1" t="s">
        <v>8431</v>
      </c>
      <c r="Z1935" s="1" t="s">
        <v>8432</v>
      </c>
      <c r="AA1935" s="1" t="s">
        <v>8433</v>
      </c>
      <c r="AB1935" s="1"/>
      <c r="AC1935" s="1"/>
      <c r="AD1935" s="1"/>
      <c r="AE1935" s="1"/>
      <c r="AG1935" s="2" t="str">
        <f>""</f>
        <v/>
      </c>
      <c r="AH1935" s="2" t="str">
        <f>"9789874702630"</f>
        <v>9789874702630</v>
      </c>
      <c r="AI1935" s="1">
        <v>0.0</v>
      </c>
      <c r="AJ1935" s="1">
        <v>3.81</v>
      </c>
      <c r="AK1935" s="1" t="s">
        <v>8434</v>
      </c>
      <c r="AL1935" s="1" t="s">
        <v>28</v>
      </c>
      <c r="AM1935" s="1">
        <v>148.0</v>
      </c>
      <c r="AN1935" s="1">
        <v>2019.0</v>
      </c>
      <c r="AO1935" s="1">
        <v>2019.0</v>
      </c>
      <c r="AQ1935" s="3">
        <v>43970.0</v>
      </c>
      <c r="AR1935" s="1" t="s">
        <v>31</v>
      </c>
      <c r="AS1935" s="1" t="s">
        <v>8435</v>
      </c>
      <c r="AT1935" s="1" t="s">
        <v>31</v>
      </c>
      <c r="AX1935" s="1">
        <v>0.0</v>
      </c>
      <c r="AY1935" s="1">
        <v>0.0</v>
      </c>
    </row>
    <row r="1936" spans="20:51" ht="15.75" hidden="1">
      <c r="T1936" s="1">
        <v>1.0083326E7</v>
      </c>
      <c r="U1936" s="1"/>
      <c r="V1936" s="1"/>
      <c r="W1936" s="1"/>
      <c r="X1936" s="1"/>
      <c r="Y1936" s="1" t="s">
        <v>8436</v>
      </c>
      <c r="Z1936" s="1" t="s">
        <v>7119</v>
      </c>
      <c r="AA1936" s="1" t="s">
        <v>7120</v>
      </c>
      <c r="AB1936" s="1"/>
      <c r="AC1936" s="1"/>
      <c r="AD1936" s="1"/>
      <c r="AE1936" s="1"/>
      <c r="AF1936" s="1" t="s">
        <v>8437</v>
      </c>
      <c r="AG1936" s="2" t="str">
        <f>"8488730128"</f>
        <v>8488730128</v>
      </c>
      <c r="AH1936" s="2" t="str">
        <f>"9788488730121"</f>
        <v>9788488730121</v>
      </c>
      <c r="AI1936" s="1">
        <v>0.0</v>
      </c>
      <c r="AJ1936" s="1">
        <v>3.83</v>
      </c>
      <c r="AK1936" s="1" t="s">
        <v>8438</v>
      </c>
      <c r="AL1936" s="1" t="s">
        <v>28</v>
      </c>
      <c r="AM1936" s="1">
        <v>533.0</v>
      </c>
      <c r="AN1936" s="1">
        <v>1997.0</v>
      </c>
      <c r="AO1936" s="1">
        <v>1895.0</v>
      </c>
      <c r="AQ1936" s="3">
        <v>43969.0</v>
      </c>
      <c r="AR1936" s="1" t="s">
        <v>31</v>
      </c>
      <c r="AS1936" s="1" t="s">
        <v>8439</v>
      </c>
      <c r="AT1936" s="1" t="s">
        <v>31</v>
      </c>
      <c r="AX1936" s="1">
        <v>0.0</v>
      </c>
      <c r="AY1936" s="1">
        <v>0.0</v>
      </c>
    </row>
    <row r="1937" spans="20:51" ht="15.75" hidden="1">
      <c r="T1937" s="1">
        <v>1053395.0</v>
      </c>
      <c r="U1937" s="1"/>
      <c r="V1937" s="1"/>
      <c r="W1937" s="1"/>
      <c r="X1937" s="1"/>
      <c r="Y1937" s="1" t="s">
        <v>8440</v>
      </c>
      <c r="Z1937" s="1" t="s">
        <v>8441</v>
      </c>
      <c r="AA1937" s="1" t="s">
        <v>8442</v>
      </c>
      <c r="AB1937" s="1"/>
      <c r="AC1937" s="1"/>
      <c r="AD1937" s="1"/>
      <c r="AE1937" s="1"/>
      <c r="AG1937" s="2" t="str">
        <f>"8466320393"</f>
        <v>8466320393</v>
      </c>
      <c r="AH1937" s="2" t="str">
        <f>"9788466320399"</f>
        <v>9788466320399</v>
      </c>
      <c r="AI1937" s="1">
        <v>0.0</v>
      </c>
      <c r="AJ1937" s="1">
        <v>3.77</v>
      </c>
      <c r="AK1937" s="1" t="s">
        <v>6037</v>
      </c>
      <c r="AL1937" s="1" t="s">
        <v>28</v>
      </c>
      <c r="AM1937" s="1">
        <v>96.0</v>
      </c>
      <c r="AN1937" s="1">
        <v>2007.0</v>
      </c>
      <c r="AO1937" s="1">
        <v>1939.0</v>
      </c>
      <c r="AQ1937" s="3">
        <v>43969.0</v>
      </c>
      <c r="AR1937" s="1" t="s">
        <v>31</v>
      </c>
      <c r="AS1937" s="1" t="s">
        <v>8443</v>
      </c>
      <c r="AT1937" s="1" t="s">
        <v>31</v>
      </c>
      <c r="AX1937" s="1">
        <v>0.0</v>
      </c>
      <c r="AY1937" s="1">
        <v>0.0</v>
      </c>
    </row>
    <row r="1938" spans="20:51" ht="15.75" hidden="1">
      <c r="T1938" s="1">
        <v>3.3154956E7</v>
      </c>
      <c r="U1938" s="1"/>
      <c r="V1938" s="1"/>
      <c r="W1938" s="1"/>
      <c r="X1938" s="1"/>
      <c r="Y1938" s="1" t="s">
        <v>8444</v>
      </c>
      <c r="Z1938" s="1" t="s">
        <v>1469</v>
      </c>
      <c r="AA1938" s="1" t="s">
        <v>3985</v>
      </c>
      <c r="AB1938" s="1"/>
      <c r="AC1938" s="1"/>
      <c r="AD1938" s="1"/>
      <c r="AE1938" s="1"/>
      <c r="AG1938" s="2" t="str">
        <f>"0241305578"</f>
        <v>0241305578</v>
      </c>
      <c r="AH1938" s="2" t="str">
        <f>"9780241305577"</f>
        <v>9780241305577</v>
      </c>
      <c r="AI1938" s="1">
        <v>0.0</v>
      </c>
      <c r="AJ1938" s="1">
        <v>3.82</v>
      </c>
      <c r="AK1938" s="1" t="s">
        <v>200</v>
      </c>
      <c r="AL1938" s="1" t="s">
        <v>41</v>
      </c>
      <c r="AM1938" s="1">
        <v>336.0</v>
      </c>
      <c r="AN1938" s="1">
        <v>2017.0</v>
      </c>
      <c r="AQ1938" s="3">
        <v>43969.0</v>
      </c>
      <c r="AR1938" s="1" t="s">
        <v>31</v>
      </c>
      <c r="AS1938" s="1" t="s">
        <v>8445</v>
      </c>
      <c r="AT1938" s="1" t="s">
        <v>31</v>
      </c>
      <c r="AX1938" s="1">
        <v>0.0</v>
      </c>
      <c r="AY1938" s="1">
        <v>0.0</v>
      </c>
    </row>
    <row r="1939" spans="20:51" ht="15.75" hidden="1">
      <c r="T1939" s="1">
        <v>5989288.0</v>
      </c>
      <c r="U1939" s="1"/>
      <c r="V1939" s="1"/>
      <c r="W1939" s="1"/>
      <c r="X1939" s="1"/>
      <c r="Y1939" s="1" t="s">
        <v>8446</v>
      </c>
      <c r="Z1939" s="1" t="s">
        <v>7801</v>
      </c>
      <c r="AA1939" s="1" t="s">
        <v>7802</v>
      </c>
      <c r="AB1939" s="1"/>
      <c r="AC1939" s="1"/>
      <c r="AD1939" s="1"/>
      <c r="AE1939" s="1"/>
      <c r="AF1939" s="1" t="s">
        <v>8447</v>
      </c>
      <c r="AG1939" s="2" t="str">
        <f>"0804762309"</f>
        <v>0804762309</v>
      </c>
      <c r="AH1939" s="2" t="str">
        <f>"9780804762304"</f>
        <v>9780804762304</v>
      </c>
      <c r="AI1939" s="1">
        <v>0.0</v>
      </c>
      <c r="AJ1939" s="1">
        <v>3.98</v>
      </c>
      <c r="AK1939" s="1" t="s">
        <v>8448</v>
      </c>
      <c r="AL1939" s="1" t="s">
        <v>28</v>
      </c>
      <c r="AM1939" s="1">
        <v>76.0</v>
      </c>
      <c r="AN1939" s="1">
        <v>2009.0</v>
      </c>
      <c r="AO1939" s="1">
        <v>2006.0</v>
      </c>
      <c r="AQ1939" s="3">
        <v>43969.0</v>
      </c>
      <c r="AR1939" s="1" t="s">
        <v>31</v>
      </c>
      <c r="AS1939" s="1" t="s">
        <v>8449</v>
      </c>
      <c r="AT1939" s="1" t="s">
        <v>31</v>
      </c>
      <c r="AX1939" s="1">
        <v>0.0</v>
      </c>
      <c r="AY1939" s="1">
        <v>0.0</v>
      </c>
    </row>
    <row r="1940" spans="20:51" ht="15.75" hidden="1">
      <c r="T1940" s="1">
        <v>85829.0</v>
      </c>
      <c r="U1940" s="1"/>
      <c r="V1940" s="1"/>
      <c r="W1940" s="1"/>
      <c r="X1940" s="1"/>
      <c r="Y1940" s="1" t="s">
        <v>8450</v>
      </c>
      <c r="Z1940" s="1" t="s">
        <v>7801</v>
      </c>
      <c r="AA1940" s="1" t="s">
        <v>7802</v>
      </c>
      <c r="AB1940" s="1"/>
      <c r="AC1940" s="1"/>
      <c r="AD1940" s="1"/>
      <c r="AE1940" s="1"/>
      <c r="AF1940" s="1" t="s">
        <v>8451</v>
      </c>
      <c r="AG1940" s="2" t="str">
        <f>"0804747385"</f>
        <v>0804747385</v>
      </c>
      <c r="AH1940" s="2" t="str">
        <f>"9780804747387"</f>
        <v>9780804747387</v>
      </c>
      <c r="AI1940" s="1">
        <v>0.0</v>
      </c>
      <c r="AJ1940" s="1">
        <v>3.98</v>
      </c>
      <c r="AK1940" s="1" t="s">
        <v>8448</v>
      </c>
      <c r="AL1940" s="1" t="s">
        <v>28</v>
      </c>
      <c r="AM1940" s="1">
        <v>120.0</v>
      </c>
      <c r="AN1940" s="1">
        <v>2003.0</v>
      </c>
      <c r="AO1940" s="1">
        <v>2002.0</v>
      </c>
      <c r="AQ1940" s="3">
        <v>43969.0</v>
      </c>
      <c r="AR1940" s="1" t="s">
        <v>31</v>
      </c>
      <c r="AS1940" s="1" t="s">
        <v>8452</v>
      </c>
      <c r="AT1940" s="1" t="s">
        <v>31</v>
      </c>
      <c r="AX1940" s="1">
        <v>0.0</v>
      </c>
      <c r="AY1940" s="1">
        <v>0.0</v>
      </c>
    </row>
    <row r="1941" spans="20:51" ht="15.75" hidden="1">
      <c r="T1941" s="1">
        <v>2461524.0</v>
      </c>
      <c r="U1941" s="1"/>
      <c r="V1941" s="1"/>
      <c r="W1941" s="1"/>
      <c r="X1941" s="1"/>
      <c r="Y1941" s="1" t="s">
        <v>8453</v>
      </c>
      <c r="Z1941" s="1" t="s">
        <v>8454</v>
      </c>
      <c r="AA1941" s="1" t="s">
        <v>8455</v>
      </c>
      <c r="AB1941" s="1"/>
      <c r="AC1941" s="1"/>
      <c r="AD1941" s="1"/>
      <c r="AE1941" s="1"/>
      <c r="AF1941" s="1" t="s">
        <v>8456</v>
      </c>
      <c r="AG1941" s="2" t="str">
        <f>"082322791X"</f>
        <v>082322791X</v>
      </c>
      <c r="AH1941" s="2" t="str">
        <f>"9780823227914"</f>
        <v>9780823227914</v>
      </c>
      <c r="AI1941" s="1">
        <v>0.0</v>
      </c>
      <c r="AJ1941" s="1">
        <v>4.09</v>
      </c>
      <c r="AK1941" s="1" t="s">
        <v>8457</v>
      </c>
      <c r="AL1941" s="1" t="s">
        <v>28</v>
      </c>
      <c r="AM1941" s="1">
        <v>192.0</v>
      </c>
      <c r="AN1941" s="1">
        <v>2008.0</v>
      </c>
      <c r="AO1941" s="1">
        <v>2006.0</v>
      </c>
      <c r="AQ1941" s="3">
        <v>43969.0</v>
      </c>
      <c r="AR1941" s="1" t="s">
        <v>31</v>
      </c>
      <c r="AS1941" s="1" t="s">
        <v>8458</v>
      </c>
      <c r="AT1941" s="1" t="s">
        <v>31</v>
      </c>
      <c r="AX1941" s="1">
        <v>0.0</v>
      </c>
      <c r="AY1941" s="1">
        <v>0.0</v>
      </c>
    </row>
    <row r="1942" spans="20:51" ht="15.75" hidden="1">
      <c r="T1942" s="1">
        <v>85326.0</v>
      </c>
      <c r="U1942" s="1"/>
      <c r="V1942" s="1"/>
      <c r="W1942" s="1"/>
      <c r="X1942" s="1"/>
      <c r="Y1942" s="1" t="s">
        <v>8459</v>
      </c>
      <c r="Z1942" s="1" t="s">
        <v>8454</v>
      </c>
      <c r="AA1942" s="1" t="s">
        <v>8455</v>
      </c>
      <c r="AB1942" s="1"/>
      <c r="AC1942" s="1"/>
      <c r="AD1942" s="1"/>
      <c r="AE1942" s="1"/>
      <c r="AF1942" s="1" t="s">
        <v>8460</v>
      </c>
      <c r="AG1942" s="2" t="str">
        <f>"0801858305"</f>
        <v>0801858305</v>
      </c>
      <c r="AH1942" s="2" t="str">
        <f>"9780801858307"</f>
        <v>9780801858307</v>
      </c>
      <c r="AI1942" s="1">
        <v>0.0</v>
      </c>
      <c r="AJ1942" s="1">
        <v>3.96</v>
      </c>
      <c r="AK1942" s="1" t="s">
        <v>1295</v>
      </c>
      <c r="AL1942" s="1" t="s">
        <v>28</v>
      </c>
      <c r="AM1942" s="1">
        <v>456.0</v>
      </c>
      <c r="AN1942" s="1">
        <v>1997.0</v>
      </c>
      <c r="AO1942" s="1">
        <v>1967.0</v>
      </c>
      <c r="AQ1942" s="3">
        <v>43969.0</v>
      </c>
      <c r="AR1942" s="1" t="s">
        <v>31</v>
      </c>
      <c r="AS1942" s="1" t="s">
        <v>8461</v>
      </c>
      <c r="AT1942" s="1" t="s">
        <v>31</v>
      </c>
      <c r="AX1942" s="1">
        <v>0.0</v>
      </c>
      <c r="AY1942" s="1">
        <v>0.0</v>
      </c>
    </row>
    <row r="1943" spans="20:51" ht="15.75" hidden="1">
      <c r="T1943" s="1">
        <v>22613.0</v>
      </c>
      <c r="U1943" s="1"/>
      <c r="V1943" s="1"/>
      <c r="W1943" s="1"/>
      <c r="X1943" s="1"/>
      <c r="Y1943" s="1" t="s">
        <v>8462</v>
      </c>
      <c r="Z1943" s="1" t="s">
        <v>8463</v>
      </c>
      <c r="AA1943" s="1" t="s">
        <v>8464</v>
      </c>
      <c r="AB1943" s="1"/>
      <c r="AC1943" s="1"/>
      <c r="AD1943" s="1"/>
      <c r="AE1943" s="1"/>
      <c r="AF1943" s="1" t="s">
        <v>8465</v>
      </c>
      <c r="AG1943" s="2" t="str">
        <f>"0472065211"</f>
        <v>0472065211</v>
      </c>
      <c r="AH1943" s="2" t="str">
        <f>"9780472065219"</f>
        <v>9780472065219</v>
      </c>
      <c r="AI1943" s="1">
        <v>0.0</v>
      </c>
      <c r="AJ1943" s="1">
        <v>3.99</v>
      </c>
      <c r="AK1943" s="1" t="s">
        <v>5170</v>
      </c>
      <c r="AL1943" s="1" t="s">
        <v>28</v>
      </c>
      <c r="AM1943" s="1">
        <v>164.0</v>
      </c>
      <c r="AN1943" s="1">
        <v>1994.0</v>
      </c>
      <c r="AO1943" s="1">
        <v>1981.0</v>
      </c>
      <c r="AQ1943" s="3">
        <v>43969.0</v>
      </c>
      <c r="AR1943" s="1" t="s">
        <v>31</v>
      </c>
      <c r="AS1943" s="1" t="s">
        <v>8466</v>
      </c>
      <c r="AT1943" s="1" t="s">
        <v>31</v>
      </c>
      <c r="AX1943" s="1">
        <v>0.0</v>
      </c>
      <c r="AY1943" s="1">
        <v>0.0</v>
      </c>
    </row>
    <row r="1944" spans="20:51" ht="15.75" hidden="1">
      <c r="T1944" s="1">
        <v>597614.0</v>
      </c>
      <c r="U1944" s="1"/>
      <c r="V1944" s="1"/>
      <c r="W1944" s="1"/>
      <c r="X1944" s="1"/>
      <c r="Y1944" s="1" t="s">
        <v>8467</v>
      </c>
      <c r="Z1944" s="1" t="s">
        <v>8468</v>
      </c>
      <c r="AA1944" s="1" t="s">
        <v>8469</v>
      </c>
      <c r="AB1944" s="1"/>
      <c r="AC1944" s="1"/>
      <c r="AD1944" s="1"/>
      <c r="AE1944" s="1"/>
      <c r="AG1944" s="2" t="str">
        <f>"1852424036"</f>
        <v>1852424036</v>
      </c>
      <c r="AH1944" s="2" t="str">
        <f>"9781852424039"</f>
        <v>9781852424039</v>
      </c>
      <c r="AI1944" s="1">
        <v>0.0</v>
      </c>
      <c r="AJ1944" s="1">
        <v>3.74</v>
      </c>
      <c r="AK1944" s="1" t="s">
        <v>8470</v>
      </c>
      <c r="AL1944" s="1" t="s">
        <v>28</v>
      </c>
      <c r="AM1944" s="1">
        <v>200.0</v>
      </c>
      <c r="AN1944" s="1">
        <v>2000.0</v>
      </c>
      <c r="AO1944" s="1">
        <v>1995.0</v>
      </c>
      <c r="AQ1944" s="3">
        <v>43969.0</v>
      </c>
      <c r="AR1944" s="1" t="s">
        <v>31</v>
      </c>
      <c r="AS1944" s="1" t="s">
        <v>8471</v>
      </c>
      <c r="AT1944" s="1" t="s">
        <v>31</v>
      </c>
      <c r="AX1944" s="1">
        <v>0.0</v>
      </c>
      <c r="AY1944" s="1">
        <v>0.0</v>
      </c>
    </row>
    <row r="1945" spans="20:51" ht="15.75" hidden="1">
      <c r="T1945" s="1">
        <v>6150907.0</v>
      </c>
      <c r="U1945" s="1"/>
      <c r="V1945" s="1"/>
      <c r="W1945" s="1"/>
      <c r="X1945" s="1"/>
      <c r="Y1945" s="1" t="s">
        <v>8472</v>
      </c>
      <c r="Z1945" s="1" t="s">
        <v>8473</v>
      </c>
      <c r="AA1945" s="1" t="s">
        <v>8474</v>
      </c>
      <c r="AB1945" s="1"/>
      <c r="AC1945" s="1"/>
      <c r="AD1945" s="1"/>
      <c r="AE1945" s="1"/>
      <c r="AG1945" s="2" t="str">
        <f>"098024367X"</f>
        <v>098024367X</v>
      </c>
      <c r="AH1945" s="2" t="str">
        <f>"9780980243673"</f>
        <v>9780980243673</v>
      </c>
      <c r="AI1945" s="1">
        <v>0.0</v>
      </c>
      <c r="AJ1945" s="1">
        <v>3.31</v>
      </c>
      <c r="AK1945" s="1" t="s">
        <v>976</v>
      </c>
      <c r="AL1945" s="1" t="s">
        <v>28</v>
      </c>
      <c r="AM1945" s="1">
        <v>250.0</v>
      </c>
      <c r="AN1945" s="1">
        <v>2009.0</v>
      </c>
      <c r="AO1945" s="1">
        <v>2009.0</v>
      </c>
      <c r="AQ1945" s="3">
        <v>43969.0</v>
      </c>
      <c r="AR1945" s="1" t="s">
        <v>31</v>
      </c>
      <c r="AS1945" s="1" t="s">
        <v>8475</v>
      </c>
      <c r="AT1945" s="1" t="s">
        <v>31</v>
      </c>
      <c r="AX1945" s="1">
        <v>0.0</v>
      </c>
      <c r="AY1945" s="1">
        <v>0.0</v>
      </c>
    </row>
    <row r="1946" spans="20:51" ht="15.75" hidden="1">
      <c r="T1946" s="1">
        <v>3.4757649E7</v>
      </c>
      <c r="U1946" s="1"/>
      <c r="V1946" s="1"/>
      <c r="W1946" s="1"/>
      <c r="X1946" s="1"/>
      <c r="Y1946" s="1" t="s">
        <v>8476</v>
      </c>
      <c r="Z1946" s="1" t="s">
        <v>8477</v>
      </c>
      <c r="AA1946" s="1" t="s">
        <v>8478</v>
      </c>
      <c r="AB1946" s="1"/>
      <c r="AC1946" s="1"/>
      <c r="AD1946" s="1"/>
      <c r="AE1946" s="1"/>
      <c r="AG1946" s="2" t="str">
        <f>"9507319093"</f>
        <v>9507319093</v>
      </c>
      <c r="AH1946" s="2" t="str">
        <f>"9789507319099"</f>
        <v>9789507319099</v>
      </c>
      <c r="AI1946" s="1">
        <v>0.0</v>
      </c>
      <c r="AJ1946" s="1">
        <v>4.08</v>
      </c>
      <c r="AK1946" s="1" t="s">
        <v>8479</v>
      </c>
      <c r="AL1946" s="1" t="s">
        <v>28</v>
      </c>
      <c r="AM1946" s="1">
        <v>168.0</v>
      </c>
      <c r="AN1946" s="1">
        <v>2017.0</v>
      </c>
      <c r="AO1946" s="1">
        <v>2017.0</v>
      </c>
      <c r="AQ1946" s="3">
        <v>43968.0</v>
      </c>
      <c r="AR1946" s="1" t="s">
        <v>31</v>
      </c>
      <c r="AS1946" s="1" t="s">
        <v>8480</v>
      </c>
      <c r="AT1946" s="1" t="s">
        <v>31</v>
      </c>
      <c r="AX1946" s="1">
        <v>0.0</v>
      </c>
      <c r="AY1946" s="1">
        <v>0.0</v>
      </c>
    </row>
    <row r="1947" spans="20:51" ht="15.75" hidden="1">
      <c r="T1947" s="1">
        <v>3.4464546E7</v>
      </c>
      <c r="U1947" s="1"/>
      <c r="V1947" s="1"/>
      <c r="W1947" s="1"/>
      <c r="X1947" s="1"/>
      <c r="Y1947" s="1" t="s">
        <v>8481</v>
      </c>
      <c r="Z1947" s="1" t="s">
        <v>8482</v>
      </c>
      <c r="AA1947" s="1" t="s">
        <v>8483</v>
      </c>
      <c r="AB1947" s="1"/>
      <c r="AC1947" s="1"/>
      <c r="AD1947" s="1"/>
      <c r="AE1947" s="1"/>
      <c r="AG1947" s="2" t="str">
        <f t="shared" si="164" ref="AG1947:AG1948">""</f>
        <v/>
      </c>
      <c r="AH1947" s="2" t="str">
        <f>"9786077455691"</f>
        <v>9786077455691</v>
      </c>
      <c r="AI1947" s="1">
        <v>0.0</v>
      </c>
      <c r="AJ1947" s="1">
        <v>3.88</v>
      </c>
      <c r="AK1947" s="1" t="s">
        <v>8484</v>
      </c>
      <c r="AL1947" s="1" t="s">
        <v>28</v>
      </c>
      <c r="AM1947" s="1">
        <v>105.0</v>
      </c>
      <c r="AN1947" s="1">
        <v>2017.0</v>
      </c>
      <c r="AQ1947" s="3">
        <v>43968.0</v>
      </c>
      <c r="AR1947" s="1" t="s">
        <v>31</v>
      </c>
      <c r="AS1947" s="1" t="s">
        <v>8485</v>
      </c>
      <c r="AT1947" s="1" t="s">
        <v>31</v>
      </c>
      <c r="AX1947" s="1">
        <v>0.0</v>
      </c>
      <c r="AY1947" s="1">
        <v>0.0</v>
      </c>
    </row>
    <row r="1948" spans="20:51" ht="15.75" hidden="1">
      <c r="T1948" s="1">
        <v>4.8840773E7</v>
      </c>
      <c r="U1948" s="1"/>
      <c r="V1948" s="1"/>
      <c r="W1948" s="1"/>
      <c r="X1948" s="1"/>
      <c r="Y1948" s="1" t="s">
        <v>8486</v>
      </c>
      <c r="Z1948" s="1" t="s">
        <v>8487</v>
      </c>
      <c r="AA1948" s="1" t="s">
        <v>8488</v>
      </c>
      <c r="AB1948" s="1"/>
      <c r="AC1948" s="1"/>
      <c r="AD1948" s="1"/>
      <c r="AE1948" s="1"/>
      <c r="AG1948" s="2" t="str">
        <f t="shared" si="164"/>
        <v/>
      </c>
      <c r="AH1948" s="2" t="str">
        <f>"9789874445094"</f>
        <v>9789874445094</v>
      </c>
      <c r="AI1948" s="1">
        <v>0.0</v>
      </c>
      <c r="AJ1948" s="1">
        <v>4.49</v>
      </c>
      <c r="AK1948" s="1" t="s">
        <v>8364</v>
      </c>
      <c r="AL1948" s="1" t="s">
        <v>28</v>
      </c>
      <c r="AM1948" s="1">
        <v>124.0</v>
      </c>
      <c r="AN1948" s="1">
        <v>2019.0</v>
      </c>
      <c r="AQ1948" s="3">
        <v>43968.0</v>
      </c>
      <c r="AR1948" s="1" t="s">
        <v>31</v>
      </c>
      <c r="AS1948" s="1" t="s">
        <v>8489</v>
      </c>
      <c r="AT1948" s="1" t="s">
        <v>31</v>
      </c>
      <c r="AX1948" s="1">
        <v>0.0</v>
      </c>
      <c r="AY1948" s="1">
        <v>0.0</v>
      </c>
    </row>
    <row r="1949" spans="20:51" ht="15.75" hidden="1">
      <c r="T1949" s="1">
        <v>2.7154586E7</v>
      </c>
      <c r="U1949" s="1"/>
      <c r="V1949" s="1"/>
      <c r="W1949" s="1"/>
      <c r="X1949" s="1"/>
      <c r="Y1949" s="1" t="s">
        <v>8490</v>
      </c>
      <c r="Z1949" s="1" t="s">
        <v>8491</v>
      </c>
      <c r="AA1949" s="1" t="s">
        <v>8492</v>
      </c>
      <c r="AB1949" s="1"/>
      <c r="AC1949" s="1"/>
      <c r="AD1949" s="1"/>
      <c r="AE1949" s="1"/>
      <c r="AG1949" s="2" t="str">
        <f>"9873731121"</f>
        <v>9873731121</v>
      </c>
      <c r="AH1949" s="2" t="str">
        <f>"9789873731129"</f>
        <v>9789873731129</v>
      </c>
      <c r="AI1949" s="1">
        <v>0.0</v>
      </c>
      <c r="AJ1949" s="1">
        <v>4.21</v>
      </c>
      <c r="AK1949" s="1" t="s">
        <v>8493</v>
      </c>
      <c r="AL1949" s="1" t="s">
        <v>28</v>
      </c>
      <c r="AM1949" s="1">
        <v>261.0</v>
      </c>
      <c r="AN1949" s="1">
        <v>2015.0</v>
      </c>
      <c r="AO1949" s="1">
        <v>2015.0</v>
      </c>
      <c r="AQ1949" s="3">
        <v>43968.0</v>
      </c>
      <c r="AR1949" s="1" t="s">
        <v>31</v>
      </c>
      <c r="AS1949" s="1" t="s">
        <v>8494</v>
      </c>
      <c r="AT1949" s="1" t="s">
        <v>31</v>
      </c>
      <c r="AX1949" s="1">
        <v>0.0</v>
      </c>
      <c r="AY1949" s="1">
        <v>0.0</v>
      </c>
    </row>
    <row r="1950" spans="20:51" ht="15.75" hidden="1">
      <c r="T1950" s="1">
        <v>4.2936578E7</v>
      </c>
      <c r="U1950" s="1"/>
      <c r="V1950" s="1"/>
      <c r="W1950" s="1"/>
      <c r="X1950" s="1"/>
      <c r="Y1950" s="1" t="s">
        <v>8495</v>
      </c>
      <c r="Z1950" s="1" t="s">
        <v>8496</v>
      </c>
      <c r="AA1950" s="1" t="s">
        <v>8497</v>
      </c>
      <c r="AB1950" s="1"/>
      <c r="AC1950" s="1"/>
      <c r="AD1950" s="1"/>
      <c r="AE1950" s="1"/>
      <c r="AG1950" s="2" t="str">
        <f>"9874941162"</f>
        <v>9874941162</v>
      </c>
      <c r="AH1950" s="2" t="str">
        <f>"9789874941169"</f>
        <v>9789874941169</v>
      </c>
      <c r="AI1950" s="1">
        <v>0.0</v>
      </c>
      <c r="AJ1950" s="1">
        <v>3.68</v>
      </c>
      <c r="AK1950" s="1" t="s">
        <v>8498</v>
      </c>
      <c r="AL1950" s="1" t="s">
        <v>28</v>
      </c>
      <c r="AM1950" s="1">
        <v>144.0</v>
      </c>
      <c r="AN1950" s="1">
        <v>2018.0</v>
      </c>
      <c r="AO1950" s="1">
        <v>1998.0</v>
      </c>
      <c r="AQ1950" s="3">
        <v>43968.0</v>
      </c>
      <c r="AR1950" s="1" t="s">
        <v>31</v>
      </c>
      <c r="AS1950" s="1" t="s">
        <v>8499</v>
      </c>
      <c r="AT1950" s="1" t="s">
        <v>31</v>
      </c>
      <c r="AX1950" s="1">
        <v>0.0</v>
      </c>
      <c r="AY1950" s="1">
        <v>0.0</v>
      </c>
    </row>
    <row r="1951" spans="20:51" ht="15.75" hidden="1">
      <c r="T1951" s="1">
        <v>5.0283147E7</v>
      </c>
      <c r="U1951" s="1"/>
      <c r="V1951" s="1"/>
      <c r="W1951" s="1"/>
      <c r="X1951" s="1"/>
      <c r="Y1951" s="1" t="s">
        <v>8500</v>
      </c>
      <c r="Z1951" s="1" t="s">
        <v>8501</v>
      </c>
      <c r="AA1951" s="1" t="s">
        <v>8502</v>
      </c>
      <c r="AB1951" s="1"/>
      <c r="AC1951" s="1"/>
      <c r="AD1951" s="1"/>
      <c r="AE1951" s="1"/>
      <c r="AF1951" s="1" t="s">
        <v>8503</v>
      </c>
      <c r="AG1951" s="2" t="str">
        <f>""</f>
        <v/>
      </c>
      <c r="AH1951" s="2" t="str">
        <f>"9789874422026"</f>
        <v>9789874422026</v>
      </c>
      <c r="AI1951" s="1">
        <v>0.0</v>
      </c>
      <c r="AJ1951" s="1">
        <v>3.8</v>
      </c>
      <c r="AK1951" s="1" t="s">
        <v>3230</v>
      </c>
      <c r="AL1951" s="1" t="s">
        <v>28</v>
      </c>
      <c r="AM1951" s="1">
        <v>46.0</v>
      </c>
      <c r="AN1951" s="1">
        <v>2017.0</v>
      </c>
      <c r="AO1951" s="1">
        <v>2017.0</v>
      </c>
      <c r="AQ1951" s="3">
        <v>43968.0</v>
      </c>
      <c r="AR1951" s="1" t="s">
        <v>31</v>
      </c>
      <c r="AS1951" s="1" t="s">
        <v>8504</v>
      </c>
      <c r="AT1951" s="1" t="s">
        <v>31</v>
      </c>
      <c r="AX1951" s="1">
        <v>0.0</v>
      </c>
      <c r="AY1951" s="1">
        <v>0.0</v>
      </c>
    </row>
    <row r="1952" spans="20:51" ht="15.75" hidden="1">
      <c r="T1952" s="1">
        <v>2.5424028E7</v>
      </c>
      <c r="U1952" s="1"/>
      <c r="V1952" s="1"/>
      <c r="W1952" s="1"/>
      <c r="X1952" s="1"/>
      <c r="Y1952" s="1" t="s">
        <v>8505</v>
      </c>
      <c r="Z1952" s="1" t="s">
        <v>8506</v>
      </c>
      <c r="AA1952" s="1" t="s">
        <v>8507</v>
      </c>
      <c r="AB1952" s="1"/>
      <c r="AC1952" s="1"/>
      <c r="AD1952" s="1"/>
      <c r="AE1952" s="1"/>
      <c r="AG1952" s="2" t="str">
        <f>"0571317014"</f>
        <v>0571317014</v>
      </c>
      <c r="AH1952" s="2" t="str">
        <f>"9780571317011"</f>
        <v>9780571317011</v>
      </c>
      <c r="AI1952" s="1">
        <v>0.0</v>
      </c>
      <c r="AJ1952" s="1">
        <v>3.78</v>
      </c>
      <c r="AK1952" s="1" t="s">
        <v>285</v>
      </c>
      <c r="AL1952" s="1" t="s">
        <v>41</v>
      </c>
      <c r="AM1952" s="1">
        <v>278.0</v>
      </c>
      <c r="AN1952" s="1">
        <v>2015.0</v>
      </c>
      <c r="AO1952" s="1">
        <v>2015.0</v>
      </c>
      <c r="AQ1952" s="3">
        <v>43968.0</v>
      </c>
      <c r="AR1952" s="1" t="s">
        <v>31</v>
      </c>
      <c r="AS1952" s="1" t="s">
        <v>8508</v>
      </c>
      <c r="AT1952" s="1" t="s">
        <v>31</v>
      </c>
      <c r="AX1952" s="1">
        <v>0.0</v>
      </c>
      <c r="AY1952" s="1">
        <v>0.0</v>
      </c>
    </row>
    <row r="1953" spans="20:51" ht="15.75" hidden="1">
      <c r="T1953" s="1">
        <v>1.6073585E7</v>
      </c>
      <c r="U1953" s="1"/>
      <c r="V1953" s="1"/>
      <c r="W1953" s="1"/>
      <c r="X1953" s="1"/>
      <c r="Y1953" s="1" t="s">
        <v>8509</v>
      </c>
      <c r="Z1953" s="1" t="s">
        <v>8510</v>
      </c>
      <c r="AA1953" s="1" t="s">
        <v>8511</v>
      </c>
      <c r="AB1953" s="1"/>
      <c r="AC1953" s="1"/>
      <c r="AD1953" s="1"/>
      <c r="AE1953" s="1"/>
      <c r="AG1953" s="2" t="str">
        <f>"8433972367"</f>
        <v>8433972367</v>
      </c>
      <c r="AH1953" s="2" t="str">
        <f>"9788433972361"</f>
        <v>9788433972361</v>
      </c>
      <c r="AI1953" s="1">
        <v>0.0</v>
      </c>
      <c r="AJ1953" s="1">
        <v>2.83</v>
      </c>
      <c r="AK1953" s="1" t="s">
        <v>1681</v>
      </c>
      <c r="AL1953" s="1" t="s">
        <v>28</v>
      </c>
      <c r="AM1953" s="1">
        <v>200.0</v>
      </c>
      <c r="AN1953" s="1">
        <v>2012.0</v>
      </c>
      <c r="AO1953" s="1">
        <v>2012.0</v>
      </c>
      <c r="AQ1953" s="3">
        <v>43968.0</v>
      </c>
      <c r="AR1953" s="1" t="s">
        <v>31</v>
      </c>
      <c r="AS1953" s="1" t="s">
        <v>8512</v>
      </c>
      <c r="AT1953" s="1" t="s">
        <v>31</v>
      </c>
      <c r="AX1953" s="1">
        <v>0.0</v>
      </c>
      <c r="AY1953" s="1">
        <v>0.0</v>
      </c>
    </row>
    <row r="1954" spans="20:51" ht="15.75" hidden="1">
      <c r="T1954" s="1">
        <v>1.7365309E7</v>
      </c>
      <c r="U1954" s="1"/>
      <c r="V1954" s="1"/>
      <c r="W1954" s="1"/>
      <c r="X1954" s="1"/>
      <c r="Y1954" s="1" t="s">
        <v>8513</v>
      </c>
      <c r="Z1954" s="1" t="s">
        <v>8514</v>
      </c>
      <c r="AA1954" s="1" t="s">
        <v>8515</v>
      </c>
      <c r="AB1954" s="1"/>
      <c r="AC1954" s="1"/>
      <c r="AD1954" s="1"/>
      <c r="AE1954" s="1"/>
      <c r="AG1954" s="2" t="str">
        <f t="shared" si="165" ref="AG1954:AH1954">""</f>
        <v/>
      </c>
      <c r="AH1954" s="2" t="str">
        <f t="shared" si="165"/>
        <v/>
      </c>
      <c r="AI1954" s="1">
        <v>0.0</v>
      </c>
      <c r="AJ1954" s="1">
        <v>3.57</v>
      </c>
      <c r="AK1954" s="1" t="s">
        <v>8516</v>
      </c>
      <c r="AL1954" s="1" t="s">
        <v>28</v>
      </c>
      <c r="AM1954" s="1">
        <v>280.0</v>
      </c>
      <c r="AN1954" s="1">
        <v>2013.0</v>
      </c>
      <c r="AO1954" s="1">
        <v>2013.0</v>
      </c>
      <c r="AQ1954" s="3">
        <v>43967.0</v>
      </c>
      <c r="AR1954" s="1" t="s">
        <v>31</v>
      </c>
      <c r="AS1954" s="1" t="s">
        <v>8517</v>
      </c>
      <c r="AT1954" s="1" t="s">
        <v>31</v>
      </c>
      <c r="AX1954" s="1">
        <v>0.0</v>
      </c>
      <c r="AY1954" s="1">
        <v>0.0</v>
      </c>
    </row>
    <row r="1955" spans="20:51" ht="15.75" hidden="1">
      <c r="T1955" s="1">
        <v>565149.0</v>
      </c>
      <c r="U1955" s="1"/>
      <c r="V1955" s="1"/>
      <c r="W1955" s="1"/>
      <c r="X1955" s="1"/>
      <c r="Y1955" s="1" t="s">
        <v>8518</v>
      </c>
      <c r="Z1955" s="1" t="s">
        <v>7656</v>
      </c>
      <c r="AA1955" s="1" t="s">
        <v>7657</v>
      </c>
      <c r="AB1955" s="1"/>
      <c r="AC1955" s="1"/>
      <c r="AD1955" s="1"/>
      <c r="AE1955" s="1"/>
      <c r="AF1955" s="1" t="s">
        <v>8519</v>
      </c>
      <c r="AG1955" s="2" t="str">
        <f>"0811201848"</f>
        <v>0811201848</v>
      </c>
      <c r="AH1955" s="2" t="str">
        <f>"9780811201841"</f>
        <v>9780811201841</v>
      </c>
      <c r="AI1955" s="1">
        <v>0.0</v>
      </c>
      <c r="AJ1955" s="1">
        <v>4.34</v>
      </c>
      <c r="AK1955" s="1" t="s">
        <v>95</v>
      </c>
      <c r="AL1955" s="1" t="s">
        <v>28</v>
      </c>
      <c r="AM1955" s="1">
        <v>182.0</v>
      </c>
      <c r="AN1955" s="1">
        <v>1957.0</v>
      </c>
      <c r="AO1955" s="1">
        <v>1875.0</v>
      </c>
      <c r="AQ1955" s="3">
        <v>43967.0</v>
      </c>
      <c r="AR1955" s="1" t="s">
        <v>31</v>
      </c>
      <c r="AS1955" s="1" t="s">
        <v>8520</v>
      </c>
      <c r="AT1955" s="1" t="s">
        <v>31</v>
      </c>
      <c r="AX1955" s="1">
        <v>0.0</v>
      </c>
      <c r="AY1955" s="1">
        <v>0.0</v>
      </c>
    </row>
    <row r="1956" spans="20:51" ht="15.75" hidden="1">
      <c r="T1956" s="1">
        <v>6356810.0</v>
      </c>
      <c r="U1956" s="1"/>
      <c r="V1956" s="1"/>
      <c r="W1956" s="1"/>
      <c r="X1956" s="1"/>
      <c r="Y1956" s="1" t="s">
        <v>8521</v>
      </c>
      <c r="Z1956" s="1" t="s">
        <v>8522</v>
      </c>
      <c r="AA1956" s="1" t="s">
        <v>8523</v>
      </c>
      <c r="AB1956" s="1"/>
      <c r="AC1956" s="1"/>
      <c r="AD1956" s="1"/>
      <c r="AE1956" s="1"/>
      <c r="AG1956" s="2" t="str">
        <f>"0745643000"</f>
        <v>0745643000</v>
      </c>
      <c r="AH1956" s="2" t="str">
        <f>"9780745643007"</f>
        <v>9780745643007</v>
      </c>
      <c r="AI1956" s="1">
        <v>0.0</v>
      </c>
      <c r="AJ1956" s="1">
        <v>4.18</v>
      </c>
      <c r="AK1956" s="1" t="s">
        <v>2694</v>
      </c>
      <c r="AL1956" s="1" t="s">
        <v>28</v>
      </c>
      <c r="AM1956" s="1">
        <v>176.0</v>
      </c>
      <c r="AN1956" s="1">
        <v>2009.0</v>
      </c>
      <c r="AO1956" s="1">
        <v>2006.0</v>
      </c>
      <c r="AQ1956" s="3">
        <v>43967.0</v>
      </c>
      <c r="AR1956" s="1" t="s">
        <v>31</v>
      </c>
      <c r="AS1956" s="1" t="s">
        <v>8524</v>
      </c>
      <c r="AT1956" s="1" t="s">
        <v>31</v>
      </c>
      <c r="AX1956" s="1">
        <v>0.0</v>
      </c>
      <c r="AY1956" s="1">
        <v>0.0</v>
      </c>
    </row>
    <row r="1957" spans="20:51" ht="15.75" hidden="1">
      <c r="T1957" s="1">
        <v>3.3258947E7</v>
      </c>
      <c r="U1957" s="1"/>
      <c r="V1957" s="1"/>
      <c r="W1957" s="1"/>
      <c r="X1957" s="1"/>
      <c r="Y1957" s="1" t="s">
        <v>8525</v>
      </c>
      <c r="Z1957" s="1" t="s">
        <v>8526</v>
      </c>
      <c r="AA1957" s="1" t="s">
        <v>8527</v>
      </c>
      <c r="AB1957" s="1"/>
      <c r="AC1957" s="1"/>
      <c r="AD1957" s="1"/>
      <c r="AE1957" s="1"/>
      <c r="AG1957" s="2" t="str">
        <f>"9871882564"</f>
        <v>9871882564</v>
      </c>
      <c r="AH1957" s="2" t="str">
        <f>"9789871882564"</f>
        <v>9789871882564</v>
      </c>
      <c r="AI1957" s="1">
        <v>0.0</v>
      </c>
      <c r="AJ1957" s="1">
        <v>4.29</v>
      </c>
      <c r="AK1957" s="1" t="s">
        <v>8528</v>
      </c>
      <c r="AL1957" s="1" t="s">
        <v>28</v>
      </c>
      <c r="AM1957" s="1">
        <v>174.0</v>
      </c>
      <c r="AN1957" s="1">
        <v>2016.0</v>
      </c>
      <c r="AO1957" s="1">
        <v>2016.0</v>
      </c>
      <c r="AQ1957" s="3">
        <v>43963.0</v>
      </c>
      <c r="AR1957" s="1" t="s">
        <v>31</v>
      </c>
      <c r="AS1957" s="1" t="s">
        <v>8529</v>
      </c>
      <c r="AT1957" s="1" t="s">
        <v>31</v>
      </c>
      <c r="AX1957" s="1">
        <v>0.0</v>
      </c>
      <c r="AY1957" s="1">
        <v>0.0</v>
      </c>
    </row>
    <row r="1958" spans="20:51" ht="15.75" hidden="1">
      <c r="T1958" s="1">
        <v>4.8989095E7</v>
      </c>
      <c r="U1958" s="1"/>
      <c r="V1958" s="1"/>
      <c r="W1958" s="1"/>
      <c r="X1958" s="1"/>
      <c r="Y1958" s="1" t="s">
        <v>8530</v>
      </c>
      <c r="Z1958" s="1" t="s">
        <v>8531</v>
      </c>
      <c r="AA1958" s="1" t="s">
        <v>8532</v>
      </c>
      <c r="AB1958" s="1"/>
      <c r="AC1958" s="1"/>
      <c r="AD1958" s="1"/>
      <c r="AE1958" s="1"/>
      <c r="AG1958" s="2" t="str">
        <f>"1094120235"</f>
        <v>1094120235</v>
      </c>
      <c r="AH1958" s="2" t="str">
        <f>"9781094120232"</f>
        <v>9781094120232</v>
      </c>
      <c r="AI1958" s="1">
        <v>0.0</v>
      </c>
      <c r="AJ1958" s="1">
        <v>4.25</v>
      </c>
      <c r="AK1958" s="1" t="s">
        <v>4065</v>
      </c>
      <c r="AL1958" s="1" t="s">
        <v>2143</v>
      </c>
      <c r="AN1958" s="1">
        <v>2020.0</v>
      </c>
      <c r="AO1958" s="1">
        <v>2020.0</v>
      </c>
      <c r="AQ1958" s="3">
        <v>43962.0</v>
      </c>
      <c r="AR1958" s="1" t="s">
        <v>31</v>
      </c>
      <c r="AS1958" s="1" t="s">
        <v>8533</v>
      </c>
      <c r="AT1958" s="1" t="s">
        <v>31</v>
      </c>
      <c r="AX1958" s="1">
        <v>0.0</v>
      </c>
      <c r="AY1958" s="1">
        <v>0.0</v>
      </c>
    </row>
    <row r="1959" spans="20:51" ht="15.75" hidden="1">
      <c r="T1959" s="1">
        <v>325260.0</v>
      </c>
      <c r="U1959" s="1"/>
      <c r="V1959" s="1"/>
      <c r="W1959" s="1"/>
      <c r="X1959" s="1"/>
      <c r="Y1959" s="1" t="s">
        <v>8534</v>
      </c>
      <c r="Z1959" s="1" t="s">
        <v>554</v>
      </c>
      <c r="AA1959" s="1" t="s">
        <v>555</v>
      </c>
      <c r="AB1959" s="1"/>
      <c r="AC1959" s="1"/>
      <c r="AD1959" s="1"/>
      <c r="AE1959" s="1"/>
      <c r="AG1959" s="2" t="str">
        <f>"1840680431"</f>
        <v>1840680431</v>
      </c>
      <c r="AH1959" s="2" t="str">
        <f>"9781840680430"</f>
        <v>9781840680430</v>
      </c>
      <c r="AI1959" s="1">
        <v>0.0</v>
      </c>
      <c r="AJ1959" s="1">
        <v>4.14</v>
      </c>
      <c r="AK1959" s="1" t="s">
        <v>556</v>
      </c>
      <c r="AL1959" s="1" t="s">
        <v>28</v>
      </c>
      <c r="AM1959" s="1">
        <v>256.0</v>
      </c>
      <c r="AN1959" s="1">
        <v>2001.0</v>
      </c>
      <c r="AO1959" s="1">
        <v>2001.0</v>
      </c>
      <c r="AQ1959" s="3">
        <v>43961.0</v>
      </c>
      <c r="AR1959" s="1" t="s">
        <v>31</v>
      </c>
      <c r="AS1959" s="1" t="s">
        <v>8535</v>
      </c>
      <c r="AT1959" s="1" t="s">
        <v>31</v>
      </c>
      <c r="AX1959" s="1">
        <v>0.0</v>
      </c>
      <c r="AY1959" s="1">
        <v>0.0</v>
      </c>
    </row>
    <row r="1960" spans="20:51" ht="15.75" hidden="1">
      <c r="T1960" s="1">
        <v>777260.0</v>
      </c>
      <c r="U1960" s="1"/>
      <c r="V1960" s="1"/>
      <c r="W1960" s="1"/>
      <c r="X1960" s="1"/>
      <c r="Y1960" s="1" t="s">
        <v>8536</v>
      </c>
      <c r="Z1960" s="1" t="s">
        <v>8537</v>
      </c>
      <c r="AA1960" s="1" t="s">
        <v>8538</v>
      </c>
      <c r="AB1960" s="1"/>
      <c r="AC1960" s="1"/>
      <c r="AD1960" s="1"/>
      <c r="AE1960" s="1"/>
      <c r="AG1960" s="2" t="str">
        <f>"0879516240"</f>
        <v>0879516240</v>
      </c>
      <c r="AH1960" s="2" t="str">
        <f>"9780879516246"</f>
        <v>9780879516246</v>
      </c>
      <c r="AI1960" s="1">
        <v>0.0</v>
      </c>
      <c r="AJ1960" s="1">
        <v>4.57</v>
      </c>
      <c r="AK1960" s="1" t="s">
        <v>8539</v>
      </c>
      <c r="AL1960" s="1" t="s">
        <v>28</v>
      </c>
      <c r="AM1960" s="1">
        <v>496.0</v>
      </c>
      <c r="AN1960" s="1">
        <v>1995.0</v>
      </c>
      <c r="AO1960" s="1">
        <v>1986.0</v>
      </c>
      <c r="AQ1960" s="3">
        <v>43961.0</v>
      </c>
      <c r="AR1960" s="1" t="s">
        <v>31</v>
      </c>
      <c r="AS1960" s="1" t="s">
        <v>8540</v>
      </c>
      <c r="AT1960" s="1" t="s">
        <v>31</v>
      </c>
      <c r="AX1960" s="1">
        <v>0.0</v>
      </c>
      <c r="AY1960" s="1">
        <v>0.0</v>
      </c>
    </row>
    <row r="1961" spans="20:51" ht="15.75" hidden="1">
      <c r="T1961" s="1">
        <v>2422891.0</v>
      </c>
      <c r="U1961" s="1"/>
      <c r="V1961" s="1"/>
      <c r="W1961" s="1"/>
      <c r="X1961" s="1"/>
      <c r="Y1961" s="1" t="s">
        <v>8541</v>
      </c>
      <c r="Z1961" s="1" t="s">
        <v>8542</v>
      </c>
      <c r="AA1961" s="1" t="s">
        <v>8543</v>
      </c>
      <c r="AB1961" s="1"/>
      <c r="AC1961" s="1"/>
      <c r="AD1961" s="1"/>
      <c r="AE1961" s="1"/>
      <c r="AF1961" s="1" t="s">
        <v>8544</v>
      </c>
      <c r="AG1961" s="2" t="str">
        <f>"1842432184"</f>
        <v>1842432184</v>
      </c>
      <c r="AH1961" s="2" t="str">
        <f>"9781842432181"</f>
        <v>9781842432181</v>
      </c>
      <c r="AI1961" s="1">
        <v>0.0</v>
      </c>
      <c r="AJ1961" s="1">
        <v>3.32</v>
      </c>
      <c r="AK1961" s="1" t="s">
        <v>8545</v>
      </c>
      <c r="AL1961" s="1" t="s">
        <v>28</v>
      </c>
      <c r="AM1961" s="1">
        <v>204.0</v>
      </c>
      <c r="AN1961" s="1">
        <v>2008.0</v>
      </c>
      <c r="AO1961" s="1">
        <v>2001.0</v>
      </c>
      <c r="AQ1961" s="3">
        <v>43961.0</v>
      </c>
      <c r="AR1961" s="1" t="s">
        <v>31</v>
      </c>
      <c r="AS1961" s="1" t="s">
        <v>8546</v>
      </c>
      <c r="AT1961" s="1" t="s">
        <v>31</v>
      </c>
      <c r="AX1961" s="1">
        <v>0.0</v>
      </c>
      <c r="AY1961" s="1">
        <v>0.0</v>
      </c>
    </row>
    <row r="1962" spans="20:51" ht="15.75" hidden="1">
      <c r="T1962" s="1">
        <v>602649.0</v>
      </c>
      <c r="U1962" s="1"/>
      <c r="V1962" s="1"/>
      <c r="W1962" s="1"/>
      <c r="X1962" s="1"/>
      <c r="Y1962" s="1" t="s">
        <v>8547</v>
      </c>
      <c r="Z1962" s="1" t="s">
        <v>8548</v>
      </c>
      <c r="AA1962" s="1" t="s">
        <v>8549</v>
      </c>
      <c r="AB1962" s="1"/>
      <c r="AC1962" s="1"/>
      <c r="AD1962" s="1"/>
      <c r="AE1962" s="1"/>
      <c r="AG1962" s="2" t="str">
        <f>"1844571645"</f>
        <v>1844571645</v>
      </c>
      <c r="AH1962" s="2" t="str">
        <f>"9781844571642"</f>
        <v>9781844571642</v>
      </c>
      <c r="AI1962" s="1">
        <v>0.0</v>
      </c>
      <c r="AJ1962" s="1">
        <v>3.98</v>
      </c>
      <c r="AK1962" s="1" t="s">
        <v>8550</v>
      </c>
      <c r="AL1962" s="1" t="s">
        <v>28</v>
      </c>
      <c r="AM1962" s="1">
        <v>272.0</v>
      </c>
      <c r="AN1962" s="1">
        <v>2007.0</v>
      </c>
      <c r="AO1962" s="1">
        <v>2007.0</v>
      </c>
      <c r="AQ1962" s="3">
        <v>43961.0</v>
      </c>
      <c r="AR1962" s="1" t="s">
        <v>31</v>
      </c>
      <c r="AS1962" s="1" t="s">
        <v>8551</v>
      </c>
      <c r="AT1962" s="1" t="s">
        <v>31</v>
      </c>
      <c r="AX1962" s="1">
        <v>0.0</v>
      </c>
      <c r="AY1962" s="1">
        <v>0.0</v>
      </c>
    </row>
    <row r="1963" spans="20:51" ht="15.75" hidden="1">
      <c r="T1963" s="1">
        <v>513752.0</v>
      </c>
      <c r="U1963" s="1"/>
      <c r="V1963" s="1"/>
      <c r="W1963" s="1"/>
      <c r="X1963" s="1"/>
      <c r="Y1963" s="1" t="s">
        <v>8552</v>
      </c>
      <c r="Z1963" s="1" t="s">
        <v>8553</v>
      </c>
      <c r="AA1963" s="1" t="s">
        <v>8554</v>
      </c>
      <c r="AB1963" s="1"/>
      <c r="AC1963" s="1"/>
      <c r="AD1963" s="1"/>
      <c r="AE1963" s="1"/>
      <c r="AF1963" s="1" t="s">
        <v>8555</v>
      </c>
      <c r="AG1963" s="2" t="str">
        <f>"0879101776"</f>
        <v>0879101776</v>
      </c>
      <c r="AH1963" s="2" t="str">
        <f>"9780879101770"</f>
        <v>9780879101770</v>
      </c>
      <c r="AI1963" s="1">
        <v>0.0</v>
      </c>
      <c r="AJ1963" s="1">
        <v>4.09</v>
      </c>
      <c r="AK1963" s="1" t="s">
        <v>8556</v>
      </c>
      <c r="AL1963" s="1" t="s">
        <v>28</v>
      </c>
      <c r="AM1963" s="1">
        <v>226.0</v>
      </c>
      <c r="AN1963" s="1">
        <v>2004.0</v>
      </c>
      <c r="AO1963" s="1">
        <v>2004.0</v>
      </c>
      <c r="AQ1963" s="3">
        <v>43961.0</v>
      </c>
      <c r="AR1963" s="1" t="s">
        <v>31</v>
      </c>
      <c r="AS1963" s="1" t="s">
        <v>8557</v>
      </c>
      <c r="AT1963" s="1" t="s">
        <v>31</v>
      </c>
      <c r="AX1963" s="1">
        <v>0.0</v>
      </c>
      <c r="AY1963" s="1">
        <v>0.0</v>
      </c>
    </row>
    <row r="1964" spans="20:51" ht="15.75" hidden="1">
      <c r="T1964" s="1">
        <v>1078943.0</v>
      </c>
      <c r="U1964" s="1"/>
      <c r="V1964" s="1"/>
      <c r="W1964" s="1"/>
      <c r="X1964" s="1"/>
      <c r="Y1964" s="1" t="s">
        <v>8558</v>
      </c>
      <c r="Z1964" s="1" t="s">
        <v>8559</v>
      </c>
      <c r="AA1964" s="1" t="s">
        <v>8560</v>
      </c>
      <c r="AB1964" s="1"/>
      <c r="AC1964" s="1"/>
      <c r="AD1964" s="1"/>
      <c r="AE1964" s="1"/>
      <c r="AG1964" s="2" t="str">
        <f>"0806514256"</f>
        <v>0806514256</v>
      </c>
      <c r="AH1964" s="2" t="str">
        <f>"9780806514253"</f>
        <v>9780806514253</v>
      </c>
      <c r="AI1964" s="1">
        <v>0.0</v>
      </c>
      <c r="AJ1964" s="1">
        <v>3.74</v>
      </c>
      <c r="AK1964" s="1" t="s">
        <v>6255</v>
      </c>
      <c r="AL1964" s="1" t="s">
        <v>28</v>
      </c>
      <c r="AM1964" s="1">
        <v>227.0</v>
      </c>
      <c r="AN1964" s="1">
        <v>2000.0</v>
      </c>
      <c r="AO1964" s="1">
        <v>1993.0</v>
      </c>
      <c r="AQ1964" s="3">
        <v>43961.0</v>
      </c>
      <c r="AR1964" s="1" t="s">
        <v>31</v>
      </c>
      <c r="AS1964" s="1" t="s">
        <v>8561</v>
      </c>
      <c r="AT1964" s="1" t="s">
        <v>31</v>
      </c>
      <c r="AX1964" s="1">
        <v>0.0</v>
      </c>
      <c r="AY1964" s="1">
        <v>0.0</v>
      </c>
    </row>
    <row r="1965" spans="20:51" ht="15.75" hidden="1">
      <c r="T1965" s="1">
        <v>516060.0</v>
      </c>
      <c r="U1965" s="1"/>
      <c r="V1965" s="1"/>
      <c r="W1965" s="1"/>
      <c r="X1965" s="1"/>
      <c r="Y1965" s="1" t="s">
        <v>8562</v>
      </c>
      <c r="Z1965" s="1" t="s">
        <v>8563</v>
      </c>
      <c r="AA1965" s="1" t="s">
        <v>8564</v>
      </c>
      <c r="AB1965" s="1"/>
      <c r="AC1965" s="1"/>
      <c r="AD1965" s="1"/>
      <c r="AE1965" s="1"/>
      <c r="AF1965" s="1" t="s">
        <v>8565</v>
      </c>
      <c r="AG1965" s="2" t="str">
        <f>"1889307017"</f>
        <v>1889307017</v>
      </c>
      <c r="AH1965" s="2" t="str">
        <f>"9781889307015"</f>
        <v>9781889307015</v>
      </c>
      <c r="AI1965" s="1">
        <v>0.0</v>
      </c>
      <c r="AJ1965" s="1">
        <v>4.28</v>
      </c>
      <c r="AK1965" s="1" t="s">
        <v>8566</v>
      </c>
      <c r="AL1965" s="1" t="s">
        <v>28</v>
      </c>
      <c r="AM1965" s="1">
        <v>224.0</v>
      </c>
      <c r="AN1965" s="1">
        <v>1986.0</v>
      </c>
      <c r="AO1965" s="1">
        <v>1986.0</v>
      </c>
      <c r="AQ1965" s="3">
        <v>43961.0</v>
      </c>
      <c r="AR1965" s="1" t="s">
        <v>31</v>
      </c>
      <c r="AS1965" s="1" t="s">
        <v>8567</v>
      </c>
      <c r="AT1965" s="1" t="s">
        <v>31</v>
      </c>
      <c r="AX1965" s="1">
        <v>0.0</v>
      </c>
      <c r="AY1965" s="1">
        <v>0.0</v>
      </c>
    </row>
    <row r="1966" spans="20:51" ht="15.75" hidden="1">
      <c r="T1966" s="1">
        <v>1695103.0</v>
      </c>
      <c r="U1966" s="1"/>
      <c r="V1966" s="1"/>
      <c r="W1966" s="1"/>
      <c r="X1966" s="1"/>
      <c r="Y1966" s="1" t="s">
        <v>8568</v>
      </c>
      <c r="Z1966" s="1" t="s">
        <v>8569</v>
      </c>
      <c r="AA1966" s="1" t="s">
        <v>8570</v>
      </c>
      <c r="AB1966" s="1"/>
      <c r="AC1966" s="1"/>
      <c r="AD1966" s="1"/>
      <c r="AE1966" s="1"/>
      <c r="AG1966" s="2" t="str">
        <f>"0878338799"</f>
        <v>0878338799</v>
      </c>
      <c r="AH1966" s="2" t="str">
        <f>"9780878338795"</f>
        <v>9780878338795</v>
      </c>
      <c r="AI1966" s="1">
        <v>0.0</v>
      </c>
      <c r="AJ1966" s="1">
        <v>3.84</v>
      </c>
      <c r="AK1966" s="1" t="s">
        <v>8571</v>
      </c>
      <c r="AL1966" s="1" t="s">
        <v>41</v>
      </c>
      <c r="AN1966" s="1">
        <v>1995.0</v>
      </c>
      <c r="AO1966" s="1">
        <v>1995.0</v>
      </c>
      <c r="AQ1966" s="3">
        <v>43961.0</v>
      </c>
      <c r="AR1966" s="1" t="s">
        <v>31</v>
      </c>
      <c r="AS1966" s="1" t="s">
        <v>8572</v>
      </c>
      <c r="AT1966" s="1" t="s">
        <v>31</v>
      </c>
      <c r="AX1966" s="1">
        <v>0.0</v>
      </c>
      <c r="AY1966" s="1">
        <v>0.0</v>
      </c>
    </row>
    <row r="1967" spans="20:51" ht="15.75" hidden="1">
      <c r="T1967" s="1">
        <v>280021.0</v>
      </c>
      <c r="U1967" s="1"/>
      <c r="V1967" s="1"/>
      <c r="W1967" s="1"/>
      <c r="X1967" s="1"/>
      <c r="Y1967" s="1" t="s">
        <v>8573</v>
      </c>
      <c r="Z1967" s="1" t="s">
        <v>8574</v>
      </c>
      <c r="AA1967" s="1" t="s">
        <v>8575</v>
      </c>
      <c r="AB1967" s="1"/>
      <c r="AC1967" s="1"/>
      <c r="AD1967" s="1"/>
      <c r="AE1967" s="1"/>
      <c r="AG1967" s="2" t="str">
        <f>"0517573660"</f>
        <v>0517573660</v>
      </c>
      <c r="AH1967" s="2" t="str">
        <f>"9780517573662"</f>
        <v>9780517573662</v>
      </c>
      <c r="AI1967" s="1">
        <v>0.0</v>
      </c>
      <c r="AJ1967" s="1">
        <v>4.2</v>
      </c>
      <c r="AK1967" s="1" t="s">
        <v>2681</v>
      </c>
      <c r="AL1967" s="1" t="s">
        <v>41</v>
      </c>
      <c r="AM1967" s="1">
        <v>255.0</v>
      </c>
      <c r="AN1967" s="1">
        <v>1989.0</v>
      </c>
      <c r="AO1967" s="1">
        <v>1984.0</v>
      </c>
      <c r="AQ1967" s="3">
        <v>43961.0</v>
      </c>
      <c r="AR1967" s="1" t="s">
        <v>31</v>
      </c>
      <c r="AS1967" s="1" t="s">
        <v>8576</v>
      </c>
      <c r="AT1967" s="1" t="s">
        <v>31</v>
      </c>
      <c r="AX1967" s="1">
        <v>0.0</v>
      </c>
      <c r="AY1967" s="1">
        <v>0.0</v>
      </c>
    </row>
    <row r="1968" spans="20:51" ht="15.75" hidden="1">
      <c r="T1968" s="1">
        <v>97751.0</v>
      </c>
      <c r="U1968" s="1"/>
      <c r="V1968" s="1"/>
      <c r="W1968" s="1"/>
      <c r="X1968" s="1"/>
      <c r="Y1968" s="1" t="s">
        <v>8577</v>
      </c>
      <c r="Z1968" s="1" t="s">
        <v>8578</v>
      </c>
      <c r="AA1968" s="1" t="s">
        <v>8579</v>
      </c>
      <c r="AB1968" s="1"/>
      <c r="AC1968" s="1"/>
      <c r="AD1968" s="1"/>
      <c r="AE1968" s="1"/>
      <c r="AF1968" s="1" t="s">
        <v>8580</v>
      </c>
      <c r="AG1968" s="2" t="str">
        <f>"0142437476"</f>
        <v>0142437476</v>
      </c>
      <c r="AH1968" s="2" t="str">
        <f>"9780142437476"</f>
        <v>9780142437476</v>
      </c>
      <c r="AI1968" s="1">
        <v>0.0</v>
      </c>
      <c r="AJ1968" s="1">
        <v>3.88</v>
      </c>
      <c r="AK1968" s="1" t="s">
        <v>232</v>
      </c>
      <c r="AL1968" s="1" t="s">
        <v>28</v>
      </c>
      <c r="AM1968" s="1">
        <v>240.0</v>
      </c>
      <c r="AN1968" s="1">
        <v>2003.0</v>
      </c>
      <c r="AO1968" s="1">
        <v>1919.0</v>
      </c>
      <c r="AQ1968" s="3">
        <v>43961.0</v>
      </c>
      <c r="AR1968" s="1" t="s">
        <v>31</v>
      </c>
      <c r="AS1968" s="1" t="s">
        <v>8581</v>
      </c>
      <c r="AT1968" s="1" t="s">
        <v>31</v>
      </c>
      <c r="AX1968" s="1">
        <v>0.0</v>
      </c>
      <c r="AY1968" s="1">
        <v>0.0</v>
      </c>
    </row>
    <row r="1969" spans="20:51" ht="15.75" hidden="1">
      <c r="T1969" s="1">
        <v>4.2815538E7</v>
      </c>
      <c r="U1969" s="1"/>
      <c r="V1969" s="1"/>
      <c r="W1969" s="1"/>
      <c r="X1969" s="1"/>
      <c r="Y1969" s="1" t="s">
        <v>8582</v>
      </c>
      <c r="Z1969" s="1" t="s">
        <v>8583</v>
      </c>
      <c r="AA1969" s="1" t="s">
        <v>8584</v>
      </c>
      <c r="AB1969" s="1"/>
      <c r="AC1969" s="1"/>
      <c r="AD1969" s="1"/>
      <c r="AE1969" s="1"/>
      <c r="AG1969" s="2" t="str">
        <f>"0525508961"</f>
        <v>0525508961</v>
      </c>
      <c r="AH1969" s="2" t="str">
        <f>"9780525508960"</f>
        <v>9780525508960</v>
      </c>
      <c r="AI1969" s="1">
        <v>0.0</v>
      </c>
      <c r="AJ1969" s="1">
        <v>3.98</v>
      </c>
      <c r="AK1969" s="1" t="s">
        <v>988</v>
      </c>
      <c r="AL1969" s="1" t="s">
        <v>41</v>
      </c>
      <c r="AM1969" s="1">
        <v>384.0</v>
      </c>
      <c r="AN1969" s="1">
        <v>2019.0</v>
      </c>
      <c r="AO1969" s="1">
        <v>2019.0</v>
      </c>
      <c r="AQ1969" s="3">
        <v>43961.0</v>
      </c>
      <c r="AR1969" s="1" t="s">
        <v>31</v>
      </c>
      <c r="AS1969" s="1" t="s">
        <v>8585</v>
      </c>
      <c r="AT1969" s="1" t="s">
        <v>31</v>
      </c>
      <c r="AX1969" s="1">
        <v>0.0</v>
      </c>
      <c r="AY1969" s="1">
        <v>0.0</v>
      </c>
    </row>
    <row r="1970" spans="20:51" ht="15.75" hidden="1">
      <c r="T1970" s="1">
        <v>3.6210669E7</v>
      </c>
      <c r="U1970" s="1"/>
      <c r="V1970" s="1"/>
      <c r="W1970" s="1"/>
      <c r="X1970" s="1"/>
      <c r="Y1970" s="1" t="s">
        <v>8586</v>
      </c>
      <c r="Z1970" s="1" t="s">
        <v>8587</v>
      </c>
      <c r="AA1970" s="1" t="s">
        <v>8588</v>
      </c>
      <c r="AB1970" s="1"/>
      <c r="AC1970" s="1"/>
      <c r="AD1970" s="1"/>
      <c r="AE1970" s="1"/>
      <c r="AF1970" s="1" t="s">
        <v>8589</v>
      </c>
      <c r="AG1970" s="2" t="str">
        <f>"0813595126"</f>
        <v>0813595126</v>
      </c>
      <c r="AH1970" s="2" t="str">
        <f>"9780813595122"</f>
        <v>9780813595122</v>
      </c>
      <c r="AI1970" s="1">
        <v>0.0</v>
      </c>
      <c r="AJ1970" s="1">
        <v>3.61</v>
      </c>
      <c r="AK1970" s="1" t="s">
        <v>8590</v>
      </c>
      <c r="AL1970" s="1" t="s">
        <v>28</v>
      </c>
      <c r="AM1970" s="1">
        <v>524.0</v>
      </c>
      <c r="AN1970" s="1">
        <v>2018.0</v>
      </c>
      <c r="AO1970" s="1">
        <v>2008.0</v>
      </c>
      <c r="AQ1970" s="3">
        <v>43961.0</v>
      </c>
      <c r="AR1970" s="1" t="s">
        <v>31</v>
      </c>
      <c r="AS1970" s="1" t="s">
        <v>8591</v>
      </c>
      <c r="AT1970" s="1" t="s">
        <v>31</v>
      </c>
      <c r="AX1970" s="1">
        <v>0.0</v>
      </c>
      <c r="AY1970" s="1">
        <v>0.0</v>
      </c>
    </row>
    <row r="1971" spans="20:51" ht="15.75" hidden="1">
      <c r="T1971" s="1">
        <v>4.3985446E7</v>
      </c>
      <c r="U1971" s="1"/>
      <c r="V1971" s="1"/>
      <c r="W1971" s="1"/>
      <c r="X1971" s="1"/>
      <c r="Y1971" s="1" t="s">
        <v>8592</v>
      </c>
      <c r="Z1971" s="1" t="s">
        <v>8593</v>
      </c>
      <c r="AA1971" s="1" t="s">
        <v>8594</v>
      </c>
      <c r="AB1971" s="1"/>
      <c r="AC1971" s="1"/>
      <c r="AD1971" s="1"/>
      <c r="AE1971" s="1"/>
      <c r="AG1971" s="2" t="str">
        <f>"0889775842"</f>
        <v>0889775842</v>
      </c>
      <c r="AH1971" s="2" t="str">
        <f>"9780889775848"</f>
        <v>9780889775848</v>
      </c>
      <c r="AI1971" s="1">
        <v>0.0</v>
      </c>
      <c r="AJ1971" s="1">
        <v>3.71</v>
      </c>
      <c r="AK1971" s="1" t="s">
        <v>8595</v>
      </c>
      <c r="AL1971" s="1" t="s">
        <v>28</v>
      </c>
      <c r="AM1971" s="1">
        <v>356.0</v>
      </c>
      <c r="AN1971" s="1">
        <v>2019.0</v>
      </c>
      <c r="AO1971" s="1">
        <v>2019.0</v>
      </c>
      <c r="AQ1971" s="3">
        <v>43961.0</v>
      </c>
      <c r="AR1971" s="1" t="s">
        <v>31</v>
      </c>
      <c r="AS1971" s="1" t="s">
        <v>8596</v>
      </c>
      <c r="AT1971" s="1" t="s">
        <v>31</v>
      </c>
      <c r="AX1971" s="1">
        <v>0.0</v>
      </c>
      <c r="AY1971" s="1">
        <v>0.0</v>
      </c>
    </row>
    <row r="1972" spans="20:51" ht="15.75" hidden="1">
      <c r="T1972" s="1">
        <v>4.9660279E7</v>
      </c>
      <c r="U1972" s="1"/>
      <c r="V1972" s="1"/>
      <c r="W1972" s="1"/>
      <c r="X1972" s="1"/>
      <c r="Y1972" s="1" t="s">
        <v>8597</v>
      </c>
      <c r="Z1972" s="1" t="s">
        <v>8598</v>
      </c>
      <c r="AA1972" s="1" t="s">
        <v>8599</v>
      </c>
      <c r="AB1972" s="1"/>
      <c r="AC1972" s="1"/>
      <c r="AD1972" s="1"/>
      <c r="AE1972" s="1"/>
      <c r="AG1972" s="2" t="str">
        <f>"0826522750"</f>
        <v>0826522750</v>
      </c>
      <c r="AH1972" s="2" t="str">
        <f>"9780826522757"</f>
        <v>9780826522757</v>
      </c>
      <c r="AI1972" s="1">
        <v>0.0</v>
      </c>
      <c r="AJ1972" s="1">
        <v>3.78</v>
      </c>
      <c r="AK1972" s="1" t="s">
        <v>8600</v>
      </c>
      <c r="AL1972" s="1" t="s">
        <v>28</v>
      </c>
      <c r="AM1972" s="1">
        <v>172.0</v>
      </c>
      <c r="AN1972" s="1">
        <v>2020.0</v>
      </c>
      <c r="AQ1972" s="3">
        <v>43961.0</v>
      </c>
      <c r="AR1972" s="1" t="s">
        <v>31</v>
      </c>
      <c r="AS1972" s="1" t="s">
        <v>8601</v>
      </c>
      <c r="AT1972" s="1" t="s">
        <v>31</v>
      </c>
      <c r="AX1972" s="1">
        <v>0.0</v>
      </c>
      <c r="AY1972" s="1">
        <v>0.0</v>
      </c>
    </row>
    <row r="1973" spans="20:51" ht="15.75" hidden="1">
      <c r="T1973" s="1">
        <v>24406.0</v>
      </c>
      <c r="U1973" s="1"/>
      <c r="V1973" s="1"/>
      <c r="W1973" s="1"/>
      <c r="X1973" s="1"/>
      <c r="Y1973" s="1" t="s">
        <v>8602</v>
      </c>
      <c r="Z1973" s="1" t="s">
        <v>8603</v>
      </c>
      <c r="AA1973" s="1" t="s">
        <v>8604</v>
      </c>
      <c r="AB1973" s="1"/>
      <c r="AC1973" s="1"/>
      <c r="AD1973" s="1"/>
      <c r="AE1973" s="1"/>
      <c r="AG1973" s="2" t="str">
        <f>"155728024X"</f>
        <v>155728024X</v>
      </c>
      <c r="AH1973" s="2" t="str">
        <f>"9781557280244"</f>
        <v>9781557280244</v>
      </c>
      <c r="AI1973" s="1">
        <v>0.0</v>
      </c>
      <c r="AJ1973" s="1">
        <v>4.18</v>
      </c>
      <c r="AK1973" s="1" t="s">
        <v>8605</v>
      </c>
      <c r="AL1973" s="1" t="s">
        <v>28</v>
      </c>
      <c r="AM1973" s="1">
        <v>61.0</v>
      </c>
      <c r="AN1973" s="1">
        <v>1988.0</v>
      </c>
      <c r="AO1973" s="1">
        <v>1988.0</v>
      </c>
      <c r="AQ1973" s="3">
        <v>43961.0</v>
      </c>
      <c r="AR1973" s="1" t="s">
        <v>31</v>
      </c>
      <c r="AS1973" s="1" t="s">
        <v>8606</v>
      </c>
      <c r="AT1973" s="1" t="s">
        <v>31</v>
      </c>
      <c r="AX1973" s="1">
        <v>0.0</v>
      </c>
      <c r="AY1973" s="1">
        <v>0.0</v>
      </c>
    </row>
    <row r="1974" spans="20:51" ht="15.75" hidden="1">
      <c r="T1974" s="1">
        <v>4.480381E7</v>
      </c>
      <c r="U1974" s="1"/>
      <c r="V1974" s="1"/>
      <c r="W1974" s="1"/>
      <c r="X1974" s="1"/>
      <c r="Y1974" s="1" t="s">
        <v>8607</v>
      </c>
      <c r="Z1974" s="1" t="s">
        <v>8608</v>
      </c>
      <c r="AA1974" s="1" t="s">
        <v>8609</v>
      </c>
      <c r="AB1974" s="1"/>
      <c r="AC1974" s="1"/>
      <c r="AD1974" s="1"/>
      <c r="AE1974" s="1"/>
      <c r="AG1974" s="2" t="str">
        <f>"081653991X"</f>
        <v>081653991X</v>
      </c>
      <c r="AH1974" s="2" t="str">
        <f>"9780816539918"</f>
        <v>9780816539918</v>
      </c>
      <c r="AI1974" s="1">
        <v>0.0</v>
      </c>
      <c r="AJ1974" s="1">
        <v>4.3</v>
      </c>
      <c r="AK1974" s="1" t="s">
        <v>8610</v>
      </c>
      <c r="AL1974" s="1" t="s">
        <v>28</v>
      </c>
      <c r="AM1974" s="1">
        <v>168.0</v>
      </c>
      <c r="AN1974" s="1">
        <v>2019.0</v>
      </c>
      <c r="AO1974" s="1">
        <v>2019.0</v>
      </c>
      <c r="AQ1974" s="3">
        <v>43961.0</v>
      </c>
      <c r="AR1974" s="1" t="s">
        <v>31</v>
      </c>
      <c r="AS1974" s="1" t="s">
        <v>8611</v>
      </c>
      <c r="AT1974" s="1" t="s">
        <v>31</v>
      </c>
      <c r="AX1974" s="1">
        <v>0.0</v>
      </c>
      <c r="AY1974" s="1">
        <v>0.0</v>
      </c>
    </row>
    <row r="1975" spans="20:51" ht="15.75" hidden="1">
      <c r="T1975" s="1">
        <v>88047.0</v>
      </c>
      <c r="U1975" s="1"/>
      <c r="V1975" s="1"/>
      <c r="W1975" s="1"/>
      <c r="X1975" s="1"/>
      <c r="Y1975" s="1" t="s">
        <v>8612</v>
      </c>
      <c r="Z1975" s="1" t="s">
        <v>8613</v>
      </c>
      <c r="AA1975" s="1" t="s">
        <v>8614</v>
      </c>
      <c r="AB1975" s="1"/>
      <c r="AC1975" s="1"/>
      <c r="AD1975" s="1"/>
      <c r="AE1975" s="1"/>
      <c r="AG1975" s="2" t="str">
        <f>"1555974260"</f>
        <v>1555974260</v>
      </c>
      <c r="AH1975" s="2" t="str">
        <f>"9781555974268"</f>
        <v>9781555974268</v>
      </c>
      <c r="AI1975" s="1">
        <v>0.0</v>
      </c>
      <c r="AJ1975" s="1">
        <v>4.03</v>
      </c>
      <c r="AK1975" s="1" t="s">
        <v>971</v>
      </c>
      <c r="AL1975" s="1" t="s">
        <v>28</v>
      </c>
      <c r="AM1975" s="1">
        <v>261.0</v>
      </c>
      <c r="AN1975" s="1">
        <v>2005.0</v>
      </c>
      <c r="AO1975" s="1">
        <v>2003.0</v>
      </c>
      <c r="AQ1975" s="3">
        <v>43957.0</v>
      </c>
      <c r="AR1975" s="1" t="s">
        <v>31</v>
      </c>
      <c r="AS1975" s="1" t="s">
        <v>8615</v>
      </c>
      <c r="AT1975" s="1" t="s">
        <v>31</v>
      </c>
      <c r="AX1975" s="1">
        <v>0.0</v>
      </c>
      <c r="AY1975" s="1">
        <v>0.0</v>
      </c>
    </row>
    <row r="1976" spans="20:51" ht="15.75" hidden="1">
      <c r="T1976" s="1">
        <v>2818194.0</v>
      </c>
      <c r="U1976" s="1"/>
      <c r="V1976" s="1"/>
      <c r="W1976" s="1"/>
      <c r="X1976" s="1"/>
      <c r="Y1976" s="1" t="s">
        <v>8616</v>
      </c>
      <c r="Z1976" s="1" t="s">
        <v>7768</v>
      </c>
      <c r="AA1976" s="1" t="s">
        <v>7769</v>
      </c>
      <c r="AB1976" s="1"/>
      <c r="AC1976" s="1"/>
      <c r="AD1976" s="1"/>
      <c r="AE1976" s="1"/>
      <c r="AG1976" s="2" t="str">
        <f>"9505572247"</f>
        <v>9505572247</v>
      </c>
      <c r="AH1976" s="2" t="str">
        <f>"9789505572243"</f>
        <v>9789505572243</v>
      </c>
      <c r="AI1976" s="1">
        <v>0.0</v>
      </c>
      <c r="AJ1976" s="1">
        <v>3.4</v>
      </c>
      <c r="AK1976" s="1" t="s">
        <v>8617</v>
      </c>
      <c r="AL1976" s="1" t="s">
        <v>28</v>
      </c>
      <c r="AM1976" s="1">
        <v>208.0</v>
      </c>
      <c r="AN1976" s="1">
        <v>1996.0</v>
      </c>
      <c r="AO1976" s="1">
        <v>1965.0</v>
      </c>
      <c r="AQ1976" s="3">
        <v>43957.0</v>
      </c>
      <c r="AR1976" s="1" t="s">
        <v>31</v>
      </c>
      <c r="AS1976" s="1" t="s">
        <v>8618</v>
      </c>
      <c r="AT1976" s="1" t="s">
        <v>31</v>
      </c>
      <c r="AX1976" s="1">
        <v>0.0</v>
      </c>
      <c r="AY1976" s="1">
        <v>0.0</v>
      </c>
    </row>
    <row r="1977" spans="20:51" ht="15.75" hidden="1">
      <c r="T1977" s="1">
        <v>1.312196E7</v>
      </c>
      <c r="U1977" s="1"/>
      <c r="V1977" s="1"/>
      <c r="W1977" s="1"/>
      <c r="X1977" s="1"/>
      <c r="Y1977" s="1" t="s">
        <v>3562</v>
      </c>
      <c r="Z1977" s="1" t="s">
        <v>1144</v>
      </c>
      <c r="AA1977" s="1" t="s">
        <v>1145</v>
      </c>
      <c r="AB1977" s="1"/>
      <c r="AC1977" s="1"/>
      <c r="AD1977" s="1"/>
      <c r="AE1977" s="1"/>
      <c r="AG1977" s="2" t="str">
        <f>""</f>
        <v/>
      </c>
      <c r="AH1977" s="2" t="str">
        <f>"9789500432122"</f>
        <v>9789500432122</v>
      </c>
      <c r="AI1977" s="1">
        <v>0.0</v>
      </c>
      <c r="AJ1977" s="1">
        <v>3.83</v>
      </c>
      <c r="AK1977" s="1" t="s">
        <v>3291</v>
      </c>
      <c r="AL1977" s="1" t="s">
        <v>28</v>
      </c>
      <c r="AM1977" s="1">
        <v>221.0</v>
      </c>
      <c r="AN1977" s="1">
        <v>2009.0</v>
      </c>
      <c r="AO1977" s="1">
        <v>2009.0</v>
      </c>
      <c r="AQ1977" s="3">
        <v>43954.0</v>
      </c>
      <c r="AR1977" s="1" t="s">
        <v>31</v>
      </c>
      <c r="AS1977" s="1" t="s">
        <v>8619</v>
      </c>
      <c r="AT1977" s="1" t="s">
        <v>31</v>
      </c>
      <c r="AX1977" s="1">
        <v>0.0</v>
      </c>
      <c r="AY1977" s="1">
        <v>0.0</v>
      </c>
    </row>
    <row r="1978" spans="20:51" ht="15.75" hidden="1">
      <c r="T1978" s="1">
        <v>4.0314099E7</v>
      </c>
      <c r="U1978" s="1"/>
      <c r="V1978" s="1"/>
      <c r="W1978" s="1"/>
      <c r="X1978" s="1"/>
      <c r="Y1978" s="1" t="s">
        <v>8620</v>
      </c>
      <c r="Z1978" s="1" t="s">
        <v>1144</v>
      </c>
      <c r="AA1978" s="1" t="s">
        <v>1145</v>
      </c>
      <c r="AB1978" s="1"/>
      <c r="AC1978" s="1"/>
      <c r="AD1978" s="1"/>
      <c r="AE1978" s="1"/>
      <c r="AG1978" s="2" t="str">
        <f>"8433939483"</f>
        <v>8433939483</v>
      </c>
      <c r="AH1978" s="2" t="str">
        <f>"9788433939487"</f>
        <v>9788433939487</v>
      </c>
      <c r="AI1978" s="1">
        <v>0.0</v>
      </c>
      <c r="AJ1978" s="1">
        <v>4.29</v>
      </c>
      <c r="AK1978" s="1" t="s">
        <v>1681</v>
      </c>
      <c r="AL1978" s="1" t="s">
        <v>59</v>
      </c>
      <c r="AM1978" s="1">
        <v>173.0</v>
      </c>
      <c r="AN1978" s="1">
        <v>2018.0</v>
      </c>
      <c r="AO1978" s="1">
        <v>2014.0</v>
      </c>
      <c r="AQ1978" s="3">
        <v>43954.0</v>
      </c>
      <c r="AR1978" s="1" t="s">
        <v>31</v>
      </c>
      <c r="AS1978" s="1" t="s">
        <v>8621</v>
      </c>
      <c r="AT1978" s="1" t="s">
        <v>31</v>
      </c>
      <c r="AX1978" s="1">
        <v>0.0</v>
      </c>
      <c r="AY1978" s="1">
        <v>0.0</v>
      </c>
    </row>
    <row r="1979" spans="20:51" ht="15.75" hidden="1">
      <c r="T1979" s="1">
        <v>551866.0</v>
      </c>
      <c r="U1979" s="1"/>
      <c r="V1979" s="1"/>
      <c r="W1979" s="1"/>
      <c r="X1979" s="1"/>
      <c r="Y1979" s="1" t="s">
        <v>8622</v>
      </c>
      <c r="Z1979" s="1" t="s">
        <v>8623</v>
      </c>
      <c r="AA1979" s="1" t="s">
        <v>8624</v>
      </c>
      <c r="AB1979" s="1"/>
      <c r="AC1979" s="1"/>
      <c r="AD1979" s="1"/>
      <c r="AE1979" s="1"/>
      <c r="AF1979" s="1" t="s">
        <v>2085</v>
      </c>
      <c r="AG1979" s="2" t="str">
        <f>"0684717255"</f>
        <v>0684717255</v>
      </c>
      <c r="AH1979" s="2" t="str">
        <f>"9780684717258"</f>
        <v>9780684717258</v>
      </c>
      <c r="AI1979" s="1">
        <v>0.0</v>
      </c>
      <c r="AJ1979" s="1">
        <v>4.07</v>
      </c>
      <c r="AK1979" s="1" t="s">
        <v>8625</v>
      </c>
      <c r="AL1979" s="1" t="s">
        <v>28</v>
      </c>
      <c r="AM1979" s="1">
        <v>185.0</v>
      </c>
      <c r="AN1979" s="1">
        <v>1971.0</v>
      </c>
      <c r="AO1979" s="1">
        <v>1923.0</v>
      </c>
      <c r="AQ1979" s="3">
        <v>43952.0</v>
      </c>
      <c r="AR1979" s="1" t="s">
        <v>31</v>
      </c>
      <c r="AS1979" s="1" t="s">
        <v>8626</v>
      </c>
      <c r="AT1979" s="1" t="s">
        <v>31</v>
      </c>
      <c r="AX1979" s="1">
        <v>0.0</v>
      </c>
      <c r="AY1979" s="1">
        <v>0.0</v>
      </c>
    </row>
    <row r="1980" spans="20:51" ht="15.75" hidden="1">
      <c r="T1980" s="1">
        <v>337521.0</v>
      </c>
      <c r="U1980" s="1"/>
      <c r="V1980" s="1"/>
      <c r="W1980" s="1"/>
      <c r="X1980" s="1"/>
      <c r="Y1980" s="1" t="s">
        <v>8627</v>
      </c>
      <c r="Z1980" s="1" t="s">
        <v>8628</v>
      </c>
      <c r="AA1980" s="1" t="s">
        <v>8629</v>
      </c>
      <c r="AB1980" s="1"/>
      <c r="AC1980" s="1"/>
      <c r="AD1980" s="1"/>
      <c r="AE1980" s="1"/>
      <c r="AG1980" s="2" t="str">
        <f>"0801822181"</f>
        <v>0801822181</v>
      </c>
      <c r="AH1980" s="2" t="str">
        <f>"9780801822186"</f>
        <v>9780801822186</v>
      </c>
      <c r="AI1980" s="1">
        <v>0.0</v>
      </c>
      <c r="AJ1980" s="1">
        <v>4.13</v>
      </c>
      <c r="AK1980" s="1" t="s">
        <v>1295</v>
      </c>
      <c r="AL1980" s="1" t="s">
        <v>28</v>
      </c>
      <c r="AM1980" s="1">
        <v>352.0</v>
      </c>
      <c r="AN1980" s="1">
        <v>1979.0</v>
      </c>
      <c r="AO1980" s="1">
        <v>1972.0</v>
      </c>
      <c r="AQ1980" s="3">
        <v>43952.0</v>
      </c>
      <c r="AR1980" s="1" t="s">
        <v>31</v>
      </c>
      <c r="AS1980" s="1" t="s">
        <v>8630</v>
      </c>
      <c r="AT1980" s="1" t="s">
        <v>31</v>
      </c>
      <c r="AX1980" s="1">
        <v>0.0</v>
      </c>
      <c r="AY1980" s="1">
        <v>0.0</v>
      </c>
    </row>
    <row r="1981" spans="20:51" ht="15.75" hidden="1">
      <c r="T1981" s="1">
        <v>1.8877989E7</v>
      </c>
      <c r="U1981" s="1"/>
      <c r="V1981" s="1"/>
      <c r="W1981" s="1"/>
      <c r="X1981" s="1"/>
      <c r="Y1981" s="1" t="s">
        <v>8631</v>
      </c>
      <c r="Z1981" s="1" t="s">
        <v>8632</v>
      </c>
      <c r="AA1981" s="1" t="s">
        <v>8633</v>
      </c>
      <c r="AB1981" s="1"/>
      <c r="AC1981" s="1"/>
      <c r="AD1981" s="1"/>
      <c r="AE1981" s="1"/>
      <c r="AG1981" s="2" t="str">
        <f t="shared" si="166" ref="AG1981:AH1981">""</f>
        <v/>
      </c>
      <c r="AH1981" s="2" t="str">
        <f t="shared" si="166"/>
        <v/>
      </c>
      <c r="AI1981" s="1">
        <v>0.0</v>
      </c>
      <c r="AJ1981" s="1">
        <v>3.78</v>
      </c>
      <c r="AK1981" s="1" t="s">
        <v>1113</v>
      </c>
      <c r="AL1981" s="1" t="s">
        <v>59</v>
      </c>
      <c r="AM1981" s="1">
        <v>465.0</v>
      </c>
      <c r="AN1981" s="1">
        <v>2012.0</v>
      </c>
      <c r="AO1981" s="1">
        <v>2010.0</v>
      </c>
      <c r="AQ1981" s="3">
        <v>43952.0</v>
      </c>
      <c r="AR1981" s="1" t="s">
        <v>31</v>
      </c>
      <c r="AS1981" s="1" t="s">
        <v>8634</v>
      </c>
      <c r="AT1981" s="1" t="s">
        <v>31</v>
      </c>
      <c r="AX1981" s="1">
        <v>0.0</v>
      </c>
      <c r="AY1981" s="1">
        <v>0.0</v>
      </c>
    </row>
    <row r="1982" spans="20:51" ht="15.75" hidden="1">
      <c r="T1982" s="1">
        <v>545421.0</v>
      </c>
      <c r="U1982" s="1"/>
      <c r="V1982" s="1"/>
      <c r="W1982" s="1"/>
      <c r="X1982" s="1"/>
      <c r="Y1982" s="1" t="s">
        <v>8635</v>
      </c>
      <c r="Z1982" s="1" t="s">
        <v>8636</v>
      </c>
      <c r="AA1982" s="1" t="s">
        <v>8637</v>
      </c>
      <c r="AB1982" s="1"/>
      <c r="AC1982" s="1"/>
      <c r="AD1982" s="1"/>
      <c r="AE1982" s="1"/>
      <c r="AG1982" s="2" t="str">
        <f>"078671669X"</f>
        <v>078671669X</v>
      </c>
      <c r="AH1982" s="2" t="str">
        <f>"9780786716692"</f>
        <v>9780786716692</v>
      </c>
      <c r="AI1982" s="1">
        <v>0.0</v>
      </c>
      <c r="AJ1982" s="1">
        <v>3.86</v>
      </c>
      <c r="AK1982" s="1" t="s">
        <v>304</v>
      </c>
      <c r="AL1982" s="1" t="s">
        <v>28</v>
      </c>
      <c r="AM1982" s="1">
        <v>185.0</v>
      </c>
      <c r="AN1982" s="1">
        <v>2005.0</v>
      </c>
      <c r="AO1982" s="1">
        <v>1978.0</v>
      </c>
      <c r="AQ1982" s="3">
        <v>43952.0</v>
      </c>
      <c r="AR1982" s="1" t="s">
        <v>31</v>
      </c>
      <c r="AS1982" s="1" t="s">
        <v>8638</v>
      </c>
      <c r="AT1982" s="1" t="s">
        <v>31</v>
      </c>
      <c r="AX1982" s="1">
        <v>0.0</v>
      </c>
      <c r="AY1982" s="1">
        <v>0.0</v>
      </c>
    </row>
    <row r="1983" spans="20:51" ht="15.75" hidden="1">
      <c r="T1983" s="1">
        <v>4.3842414E7</v>
      </c>
      <c r="U1983" s="1"/>
      <c r="V1983" s="1"/>
      <c r="W1983" s="1"/>
      <c r="X1983" s="1"/>
      <c r="Y1983" s="1" t="s">
        <v>8639</v>
      </c>
      <c r="Z1983" s="1" t="s">
        <v>7603</v>
      </c>
      <c r="AA1983" s="1" t="s">
        <v>7604</v>
      </c>
      <c r="AB1983" s="1"/>
      <c r="AC1983" s="1"/>
      <c r="AD1983" s="1"/>
      <c r="AE1983" s="1"/>
      <c r="AF1983" s="1" t="s">
        <v>8640</v>
      </c>
      <c r="AG1983" s="2" t="str">
        <f t="shared" si="167" ref="AG1983:AH1983">""</f>
        <v/>
      </c>
      <c r="AH1983" s="2" t="str">
        <f t="shared" si="167"/>
        <v/>
      </c>
      <c r="AI1983" s="1">
        <v>0.0</v>
      </c>
      <c r="AJ1983" s="1">
        <v>4.13</v>
      </c>
      <c r="AK1983" s="1" t="s">
        <v>8641</v>
      </c>
      <c r="AL1983" s="1" t="s">
        <v>59</v>
      </c>
      <c r="AM1983" s="1">
        <v>82.0</v>
      </c>
      <c r="AN1983" s="1">
        <v>2019.0</v>
      </c>
      <c r="AO1983" s="1">
        <v>2018.0</v>
      </c>
      <c r="AQ1983" s="3">
        <v>43952.0</v>
      </c>
      <c r="AR1983" s="1" t="s">
        <v>31</v>
      </c>
      <c r="AS1983" s="1" t="s">
        <v>8642</v>
      </c>
      <c r="AT1983" s="1" t="s">
        <v>31</v>
      </c>
      <c r="AX1983" s="1">
        <v>0.0</v>
      </c>
      <c r="AY1983" s="1">
        <v>0.0</v>
      </c>
    </row>
    <row r="1984" spans="20:51" ht="15.75" hidden="1">
      <c r="T1984" s="1">
        <v>183332.0</v>
      </c>
      <c r="U1984" s="1"/>
      <c r="V1984" s="1"/>
      <c r="W1984" s="1"/>
      <c r="X1984" s="1"/>
      <c r="Y1984" s="1" t="s">
        <v>8643</v>
      </c>
      <c r="Z1984" s="1" t="s">
        <v>1784</v>
      </c>
      <c r="AA1984" s="1" t="s">
        <v>1785</v>
      </c>
      <c r="AB1984" s="1"/>
      <c r="AC1984" s="1"/>
      <c r="AD1984" s="1"/>
      <c r="AE1984" s="1"/>
      <c r="AF1984" s="1" t="s">
        <v>8644</v>
      </c>
      <c r="AG1984" s="2" t="str">
        <f>"0374529787"</f>
        <v>0374529787</v>
      </c>
      <c r="AH1984" s="2" t="str">
        <f>"9780374529789"</f>
        <v>9780374529789</v>
      </c>
      <c r="AI1984" s="1">
        <v>0.0</v>
      </c>
      <c r="AJ1984" s="1">
        <v>4.21</v>
      </c>
      <c r="AK1984" s="1" t="s">
        <v>89</v>
      </c>
      <c r="AL1984" s="1" t="s">
        <v>28</v>
      </c>
      <c r="AM1984" s="1">
        <v>496.0</v>
      </c>
      <c r="AN1984" s="1">
        <v>2005.0</v>
      </c>
      <c r="AO1984" s="1">
        <v>1966.0</v>
      </c>
      <c r="AQ1984" s="3">
        <v>43952.0</v>
      </c>
      <c r="AR1984" s="1" t="s">
        <v>31</v>
      </c>
      <c r="AS1984" s="1" t="s">
        <v>8645</v>
      </c>
      <c r="AT1984" s="1" t="s">
        <v>31</v>
      </c>
      <c r="AX1984" s="1">
        <v>0.0</v>
      </c>
      <c r="AY1984" s="1">
        <v>0.0</v>
      </c>
    </row>
    <row r="1985" spans="20:51" ht="15.75" hidden="1">
      <c r="T1985" s="1">
        <v>1.337725E7</v>
      </c>
      <c r="U1985" s="1"/>
      <c r="V1985" s="1"/>
      <c r="W1985" s="1"/>
      <c r="X1985" s="1"/>
      <c r="Y1985" s="1" t="s">
        <v>8646</v>
      </c>
      <c r="Z1985" s="1" t="s">
        <v>8647</v>
      </c>
      <c r="AA1985" s="1" t="s">
        <v>8648</v>
      </c>
      <c r="AB1985" s="1"/>
      <c r="AC1985" s="1"/>
      <c r="AD1985" s="1"/>
      <c r="AE1985" s="1"/>
      <c r="AG1985" s="2" t="str">
        <f>"0522855547"</f>
        <v>0522855547</v>
      </c>
      <c r="AH1985" s="2" t="str">
        <f>"9780522855548"</f>
        <v>9780522855548</v>
      </c>
      <c r="AI1985" s="1">
        <v>0.0</v>
      </c>
      <c r="AJ1985" s="1">
        <v>3.57</v>
      </c>
      <c r="AK1985" s="1" t="s">
        <v>8649</v>
      </c>
      <c r="AL1985" s="1" t="s">
        <v>28</v>
      </c>
      <c r="AM1985" s="1">
        <v>551.0</v>
      </c>
      <c r="AN1985" s="1">
        <v>2011.0</v>
      </c>
      <c r="AO1985" s="1">
        <v>1940.0</v>
      </c>
      <c r="AQ1985" s="3">
        <v>43952.0</v>
      </c>
      <c r="AR1985" s="1" t="s">
        <v>31</v>
      </c>
      <c r="AS1985" s="1" t="s">
        <v>8650</v>
      </c>
      <c r="AT1985" s="1" t="s">
        <v>31</v>
      </c>
      <c r="AX1985" s="1">
        <v>0.0</v>
      </c>
      <c r="AY1985" s="1">
        <v>0.0</v>
      </c>
    </row>
    <row r="1986" spans="20:51" ht="15.75" hidden="1">
      <c r="T1986" s="1">
        <v>915979.0</v>
      </c>
      <c r="U1986" s="1"/>
      <c r="V1986" s="1"/>
      <c r="W1986" s="1"/>
      <c r="X1986" s="1"/>
      <c r="Y1986" s="1" t="s">
        <v>8651</v>
      </c>
      <c r="Z1986" s="1" t="s">
        <v>8652</v>
      </c>
      <c r="AA1986" s="1" t="s">
        <v>8653</v>
      </c>
      <c r="AB1986" s="1"/>
      <c r="AC1986" s="1"/>
      <c r="AD1986" s="1"/>
      <c r="AE1986" s="1"/>
      <c r="AG1986" s="2" t="str">
        <f>"0712662979"</f>
        <v>0712662979</v>
      </c>
      <c r="AH1986" s="2" t="str">
        <f>"9780712662970"</f>
        <v>9780712662970</v>
      </c>
      <c r="AI1986" s="1">
        <v>0.0</v>
      </c>
      <c r="AJ1986" s="1">
        <v>3.92</v>
      </c>
      <c r="AK1986" s="1" t="s">
        <v>8654</v>
      </c>
      <c r="AL1986" s="1" t="s">
        <v>28</v>
      </c>
      <c r="AM1986" s="1">
        <v>336.0</v>
      </c>
      <c r="AN1986" s="1">
        <v>1995.0</v>
      </c>
      <c r="AO1986" s="1">
        <v>1972.0</v>
      </c>
      <c r="AQ1986" s="3">
        <v>43952.0</v>
      </c>
      <c r="AR1986" s="1" t="s">
        <v>31</v>
      </c>
      <c r="AS1986" s="1" t="s">
        <v>8655</v>
      </c>
      <c r="AT1986" s="1" t="s">
        <v>31</v>
      </c>
      <c r="AX1986" s="1">
        <v>0.0</v>
      </c>
      <c r="AY1986" s="1">
        <v>0.0</v>
      </c>
    </row>
    <row r="1987" spans="20:51" ht="15.75" hidden="1">
      <c r="T1987" s="1">
        <v>3.9655238E7</v>
      </c>
      <c r="U1987" s="1"/>
      <c r="V1987" s="1"/>
      <c r="W1987" s="1"/>
      <c r="X1987" s="1"/>
      <c r="Y1987" s="1" t="s">
        <v>8656</v>
      </c>
      <c r="Z1987" s="1" t="s">
        <v>791</v>
      </c>
      <c r="AA1987" s="1" t="s">
        <v>792</v>
      </c>
      <c r="AB1987" s="1"/>
      <c r="AC1987" s="1"/>
      <c r="AD1987" s="1"/>
      <c r="AE1987" s="1"/>
      <c r="AF1987" s="1" t="s">
        <v>8657</v>
      </c>
      <c r="AG1987" s="2" t="str">
        <f>"1635900409"</f>
        <v>1635900409</v>
      </c>
      <c r="AH1987" s="2" t="str">
        <f>"9781635900408"</f>
        <v>9781635900408</v>
      </c>
      <c r="AI1987" s="1">
        <v>0.0</v>
      </c>
      <c r="AJ1987" s="1">
        <v>4.12</v>
      </c>
      <c r="AK1987" s="1" t="s">
        <v>6041</v>
      </c>
      <c r="AL1987" s="1" t="s">
        <v>28</v>
      </c>
      <c r="AM1987" s="1">
        <v>312.0</v>
      </c>
      <c r="AN1987" s="1">
        <v>2018.0</v>
      </c>
      <c r="AO1987" s="1">
        <v>2018.0</v>
      </c>
      <c r="AQ1987" s="3">
        <v>43952.0</v>
      </c>
      <c r="AR1987" s="1" t="s">
        <v>31</v>
      </c>
      <c r="AS1987" s="1" t="s">
        <v>8658</v>
      </c>
      <c r="AT1987" s="1" t="s">
        <v>31</v>
      </c>
      <c r="AX1987" s="1">
        <v>0.0</v>
      </c>
      <c r="AY1987" s="1">
        <v>0.0</v>
      </c>
    </row>
    <row r="1988" spans="20:51" ht="15.75" hidden="1">
      <c r="T1988" s="1">
        <v>1056293.0</v>
      </c>
      <c r="U1988" s="1"/>
      <c r="V1988" s="1"/>
      <c r="W1988" s="1"/>
      <c r="X1988" s="1"/>
      <c r="Y1988" s="1" t="s">
        <v>8659</v>
      </c>
      <c r="Z1988" s="1" t="s">
        <v>8660</v>
      </c>
      <c r="AA1988" s="1" t="s">
        <v>8661</v>
      </c>
      <c r="AB1988" s="1"/>
      <c r="AC1988" s="1"/>
      <c r="AD1988" s="1"/>
      <c r="AE1988" s="1"/>
      <c r="AF1988" s="1" t="s">
        <v>8662</v>
      </c>
      <c r="AG1988" s="2" t="str">
        <f>"0807015598"</f>
        <v>0807015598</v>
      </c>
      <c r="AH1988" s="2" t="str">
        <f>"9780807015599"</f>
        <v>9780807015599</v>
      </c>
      <c r="AI1988" s="1">
        <v>0.0</v>
      </c>
      <c r="AJ1988" s="1">
        <v>3.59</v>
      </c>
      <c r="AK1988" s="1" t="s">
        <v>831</v>
      </c>
      <c r="AL1988" s="1" t="s">
        <v>28</v>
      </c>
      <c r="AM1988" s="1">
        <v>123.0</v>
      </c>
      <c r="AN1988" s="1">
        <v>1997.0</v>
      </c>
      <c r="AO1988" s="1">
        <v>1965.0</v>
      </c>
      <c r="AQ1988" s="3">
        <v>43950.0</v>
      </c>
      <c r="AR1988" s="1" t="s">
        <v>31</v>
      </c>
      <c r="AS1988" s="1" t="s">
        <v>8663</v>
      </c>
      <c r="AT1988" s="1" t="s">
        <v>31</v>
      </c>
      <c r="AX1988" s="1">
        <v>0.0</v>
      </c>
      <c r="AY1988" s="1">
        <v>0.0</v>
      </c>
    </row>
    <row r="1989" spans="20:51" ht="15.75" hidden="1">
      <c r="T1989" s="1">
        <v>14142.0</v>
      </c>
      <c r="U1989" s="1"/>
      <c r="V1989" s="1"/>
      <c r="W1989" s="1"/>
      <c r="X1989" s="1"/>
      <c r="Y1989" s="1" t="s">
        <v>8664</v>
      </c>
      <c r="Z1989" s="1" t="s">
        <v>7081</v>
      </c>
      <c r="AA1989" s="1" t="s">
        <v>7082</v>
      </c>
      <c r="AB1989" s="1"/>
      <c r="AC1989" s="1"/>
      <c r="AD1989" s="1"/>
      <c r="AE1989" s="1"/>
      <c r="AG1989" s="2" t="str">
        <f>"0061129739"</f>
        <v>0061129739</v>
      </c>
      <c r="AH1989" s="2" t="str">
        <f>"9780061129735"</f>
        <v>9780061129735</v>
      </c>
      <c r="AI1989" s="1">
        <v>0.0</v>
      </c>
      <c r="AJ1989" s="1">
        <v>4.01</v>
      </c>
      <c r="AK1989" s="1" t="s">
        <v>1031</v>
      </c>
      <c r="AL1989" s="1" t="s">
        <v>28</v>
      </c>
      <c r="AM1989" s="1">
        <v>180.0</v>
      </c>
      <c r="AN1989" s="1">
        <v>2006.0</v>
      </c>
      <c r="AO1989" s="1">
        <v>1956.0</v>
      </c>
      <c r="AQ1989" s="3">
        <v>43950.0</v>
      </c>
      <c r="AR1989" s="1" t="s">
        <v>31</v>
      </c>
      <c r="AS1989" s="1" t="s">
        <v>8665</v>
      </c>
      <c r="AT1989" s="1" t="s">
        <v>31</v>
      </c>
      <c r="AX1989" s="1">
        <v>0.0</v>
      </c>
      <c r="AY1989" s="1">
        <v>0.0</v>
      </c>
    </row>
    <row r="1990" spans="20:51" ht="15.75" hidden="1">
      <c r="T1990" s="1">
        <v>4.5026242E7</v>
      </c>
      <c r="U1990" s="1"/>
      <c r="V1990" s="1"/>
      <c r="W1990" s="1"/>
      <c r="X1990" s="1"/>
      <c r="Y1990" s="1" t="s">
        <v>8666</v>
      </c>
      <c r="Z1990" s="1" t="s">
        <v>135</v>
      </c>
      <c r="AA1990" s="1" t="s">
        <v>136</v>
      </c>
      <c r="AB1990" s="1"/>
      <c r="AC1990" s="1"/>
      <c r="AD1990" s="1"/>
      <c r="AE1990" s="1"/>
      <c r="AF1990" s="1" t="s">
        <v>8344</v>
      </c>
      <c r="AG1990" s="2" t="str">
        <f>"8433998765"</f>
        <v>8433998765</v>
      </c>
      <c r="AH1990" s="2" t="str">
        <f>"9788433998767"</f>
        <v>9788433998767</v>
      </c>
      <c r="AI1990" s="1">
        <v>0.0</v>
      </c>
      <c r="AJ1990" s="1">
        <v>4.23</v>
      </c>
      <c r="AK1990" s="1" t="s">
        <v>1681</v>
      </c>
      <c r="AL1990" s="1" t="s">
        <v>28</v>
      </c>
      <c r="AM1990" s="1">
        <v>320.0</v>
      </c>
      <c r="AN1990" s="1">
        <v>2019.0</v>
      </c>
      <c r="AO1990" s="1">
        <v>2019.0</v>
      </c>
      <c r="AQ1990" s="3">
        <v>43950.0</v>
      </c>
      <c r="AR1990" s="1" t="s">
        <v>31</v>
      </c>
      <c r="AS1990" s="1" t="s">
        <v>8667</v>
      </c>
      <c r="AT1990" s="1" t="s">
        <v>31</v>
      </c>
      <c r="AX1990" s="1">
        <v>0.0</v>
      </c>
      <c r="AY1990" s="1">
        <v>0.0</v>
      </c>
    </row>
    <row r="1991" spans="20:51" ht="15.75" hidden="1">
      <c r="T1991" s="1">
        <v>3.4953392E7</v>
      </c>
      <c r="U1991" s="1"/>
      <c r="V1991" s="1"/>
      <c r="W1991" s="1"/>
      <c r="X1991" s="1"/>
      <c r="Y1991" s="1" t="s">
        <v>8668</v>
      </c>
      <c r="Z1991" s="1" t="s">
        <v>1144</v>
      </c>
      <c r="AA1991" s="1" t="s">
        <v>1145</v>
      </c>
      <c r="AB1991" s="1"/>
      <c r="AC1991" s="1"/>
      <c r="AD1991" s="1"/>
      <c r="AE1991" s="1"/>
      <c r="AG1991" s="2" t="str">
        <f t="shared" si="168" ref="AG1991:AH1991">""</f>
        <v/>
      </c>
      <c r="AH1991" s="2" t="str">
        <f t="shared" si="168"/>
        <v/>
      </c>
      <c r="AI1991" s="1">
        <v>0.0</v>
      </c>
      <c r="AJ1991" s="1">
        <v>3.49</v>
      </c>
      <c r="AK1991" s="1" t="s">
        <v>6771</v>
      </c>
      <c r="AL1991" s="1" t="s">
        <v>59</v>
      </c>
      <c r="AM1991" s="1">
        <v>108.0</v>
      </c>
      <c r="AN1991" s="1">
        <v>2017.0</v>
      </c>
      <c r="AO1991" s="1">
        <v>2017.0</v>
      </c>
      <c r="AQ1991" s="3">
        <v>43950.0</v>
      </c>
      <c r="AR1991" s="1" t="s">
        <v>31</v>
      </c>
      <c r="AS1991" s="1" t="s">
        <v>8669</v>
      </c>
      <c r="AT1991" s="1" t="s">
        <v>31</v>
      </c>
      <c r="AX1991" s="1">
        <v>0.0</v>
      </c>
      <c r="AY1991" s="1">
        <v>0.0</v>
      </c>
    </row>
    <row r="1992" spans="20:51" ht="15.75" hidden="1">
      <c r="T1992" s="1">
        <v>4.5487462E7</v>
      </c>
      <c r="U1992" s="1"/>
      <c r="V1992" s="1"/>
      <c r="W1992" s="1"/>
      <c r="X1992" s="1"/>
      <c r="Y1992" s="1" t="s">
        <v>8670</v>
      </c>
      <c r="Z1992" s="1" t="s">
        <v>8671</v>
      </c>
      <c r="AA1992" s="1" t="s">
        <v>8672</v>
      </c>
      <c r="AB1992" s="1"/>
      <c r="AC1992" s="1"/>
      <c r="AD1992" s="1"/>
      <c r="AE1992" s="1"/>
      <c r="AG1992" s="2" t="str">
        <f>"9874063653"</f>
        <v>9874063653</v>
      </c>
      <c r="AH1992" s="2" t="str">
        <f>"9789874063656"</f>
        <v>9789874063656</v>
      </c>
      <c r="AI1992" s="1">
        <v>0.0</v>
      </c>
      <c r="AJ1992" s="1">
        <v>3.62</v>
      </c>
      <c r="AK1992" s="1" t="s">
        <v>8673</v>
      </c>
      <c r="AL1992" s="1" t="s">
        <v>28</v>
      </c>
      <c r="AM1992" s="1">
        <v>176.0</v>
      </c>
      <c r="AN1992" s="1">
        <v>2019.0</v>
      </c>
      <c r="AO1992" s="1">
        <v>2019.0</v>
      </c>
      <c r="AQ1992" s="3">
        <v>43949.0</v>
      </c>
      <c r="AR1992" s="1" t="s">
        <v>31</v>
      </c>
      <c r="AS1992" s="1" t="s">
        <v>8674</v>
      </c>
      <c r="AT1992" s="1" t="s">
        <v>31</v>
      </c>
      <c r="AX1992" s="1">
        <v>0.0</v>
      </c>
      <c r="AY1992" s="1">
        <v>0.0</v>
      </c>
    </row>
    <row r="1993" spans="20:51" ht="15.75" hidden="1">
      <c r="T1993" s="1">
        <v>340340.0</v>
      </c>
      <c r="U1993" s="1"/>
      <c r="V1993" s="1"/>
      <c r="W1993" s="1"/>
      <c r="X1993" s="1"/>
      <c r="Y1993" s="1" t="s">
        <v>8675</v>
      </c>
      <c r="Z1993" s="1" t="s">
        <v>8676</v>
      </c>
      <c r="AA1993" s="1" t="s">
        <v>8677</v>
      </c>
      <c r="AB1993" s="1"/>
      <c r="AC1993" s="1"/>
      <c r="AD1993" s="1"/>
      <c r="AE1993" s="1"/>
      <c r="AF1993" s="1" t="s">
        <v>8678</v>
      </c>
      <c r="AG1993" s="2" t="str">
        <f>"0231116098"</f>
        <v>0231116098</v>
      </c>
      <c r="AH1993" s="2" t="str">
        <f>"9780231116091"</f>
        <v>9780231116091</v>
      </c>
      <c r="AI1993" s="1">
        <v>0.0</v>
      </c>
      <c r="AJ1993" s="1">
        <v>3.58</v>
      </c>
      <c r="AK1993" s="1" t="s">
        <v>2611</v>
      </c>
      <c r="AL1993" s="1" t="s">
        <v>28</v>
      </c>
      <c r="AM1993" s="1">
        <v>184.0</v>
      </c>
      <c r="AN1993" s="1">
        <v>2000.0</v>
      </c>
      <c r="AO1993" s="1">
        <v>1994.0</v>
      </c>
      <c r="AQ1993" s="3">
        <v>43949.0</v>
      </c>
      <c r="AR1993" s="1" t="s">
        <v>31</v>
      </c>
      <c r="AS1993" s="1" t="s">
        <v>8679</v>
      </c>
      <c r="AT1993" s="1" t="s">
        <v>31</v>
      </c>
      <c r="AX1993" s="1">
        <v>0.0</v>
      </c>
      <c r="AY1993" s="1">
        <v>0.0</v>
      </c>
    </row>
    <row r="1994" spans="20:51" ht="15.75" hidden="1">
      <c r="T1994" s="1">
        <v>12534.0</v>
      </c>
      <c r="U1994" s="1"/>
      <c r="V1994" s="1"/>
      <c r="W1994" s="1"/>
      <c r="X1994" s="1"/>
      <c r="Y1994" s="1" t="s">
        <v>8680</v>
      </c>
      <c r="Z1994" s="1" t="s">
        <v>7456</v>
      </c>
      <c r="AA1994" s="1" t="s">
        <v>7457</v>
      </c>
      <c r="AB1994" s="1"/>
      <c r="AC1994" s="1"/>
      <c r="AD1994" s="1"/>
      <c r="AE1994" s="1"/>
      <c r="AG1994" s="2" t="str">
        <f>"0060915412"</f>
        <v>0060915412</v>
      </c>
      <c r="AH1994" s="2" t="str">
        <f>"9780060915414"</f>
        <v>9780060915414</v>
      </c>
      <c r="AI1994" s="1">
        <v>0.0</v>
      </c>
      <c r="AJ1994" s="1">
        <v>4.15</v>
      </c>
      <c r="AK1994" s="1" t="s">
        <v>474</v>
      </c>
      <c r="AL1994" s="1" t="s">
        <v>28</v>
      </c>
      <c r="AM1994" s="1">
        <v>175.0</v>
      </c>
      <c r="AN1994" s="1">
        <v>1988.0</v>
      </c>
      <c r="AO1994" s="1">
        <v>1982.0</v>
      </c>
      <c r="AQ1994" s="3">
        <v>43949.0</v>
      </c>
      <c r="AR1994" s="1" t="s">
        <v>31</v>
      </c>
      <c r="AS1994" s="1" t="s">
        <v>8681</v>
      </c>
      <c r="AT1994" s="1" t="s">
        <v>31</v>
      </c>
      <c r="AX1994" s="1">
        <v>0.0</v>
      </c>
      <c r="AY1994" s="1">
        <v>0.0</v>
      </c>
    </row>
    <row r="1995" spans="20:51" ht="15.75" hidden="1">
      <c r="T1995" s="1">
        <v>620939.0</v>
      </c>
      <c r="U1995" s="1"/>
      <c r="V1995" s="1"/>
      <c r="W1995" s="1"/>
      <c r="X1995" s="1"/>
      <c r="Y1995" s="1" t="s">
        <v>8682</v>
      </c>
      <c r="Z1995" s="1" t="s">
        <v>8683</v>
      </c>
      <c r="AA1995" s="1" t="s">
        <v>8684</v>
      </c>
      <c r="AB1995" s="1"/>
      <c r="AC1995" s="1"/>
      <c r="AD1995" s="1"/>
      <c r="AE1995" s="1"/>
      <c r="AF1995" s="1" t="s">
        <v>8685</v>
      </c>
      <c r="AG1995" s="2" t="str">
        <f>"058228452X"</f>
        <v>058228452X</v>
      </c>
      <c r="AH1995" s="2" t="str">
        <f>"9780582284524"</f>
        <v>9780582284524</v>
      </c>
      <c r="AI1995" s="1">
        <v>0.0</v>
      </c>
      <c r="AJ1995" s="1">
        <v>4.04</v>
      </c>
      <c r="AK1995" s="1" t="s">
        <v>8686</v>
      </c>
      <c r="AL1995" s="1" t="s">
        <v>28</v>
      </c>
      <c r="AM1995" s="1">
        <v>528.0</v>
      </c>
      <c r="AN1995" s="1">
        <v>1984.0</v>
      </c>
      <c r="AO1995" s="1">
        <v>1984.0</v>
      </c>
      <c r="AQ1995" s="3">
        <v>43949.0</v>
      </c>
      <c r="AR1995" s="1" t="s">
        <v>31</v>
      </c>
      <c r="AS1995" s="1" t="s">
        <v>8687</v>
      </c>
      <c r="AT1995" s="1" t="s">
        <v>31</v>
      </c>
      <c r="AX1995" s="1">
        <v>0.0</v>
      </c>
      <c r="AY1995" s="1">
        <v>0.0</v>
      </c>
    </row>
    <row r="1996" spans="20:51" ht="15.75" hidden="1">
      <c r="T1996" s="1">
        <v>75291.0</v>
      </c>
      <c r="U1996" s="1"/>
      <c r="V1996" s="1"/>
      <c r="W1996" s="1"/>
      <c r="X1996" s="1"/>
      <c r="Y1996" s="1" t="s">
        <v>8688</v>
      </c>
      <c r="Z1996" s="1" t="s">
        <v>8689</v>
      </c>
      <c r="AA1996" s="1" t="s">
        <v>8690</v>
      </c>
      <c r="AB1996" s="1"/>
      <c r="AC1996" s="1"/>
      <c r="AD1996" s="1"/>
      <c r="AE1996" s="1"/>
      <c r="AG1996" s="2" t="str">
        <f>"0399531971"</f>
        <v>0399531971</v>
      </c>
      <c r="AH1996" s="2" t="str">
        <f>"9780399531972"</f>
        <v>9780399531972</v>
      </c>
      <c r="AI1996" s="1">
        <v>0.0</v>
      </c>
      <c r="AJ1996" s="1">
        <v>3.94</v>
      </c>
      <c r="AK1996" s="1" t="s">
        <v>5311</v>
      </c>
      <c r="AL1996" s="1" t="s">
        <v>28</v>
      </c>
      <c r="AM1996" s="1">
        <v>371.0</v>
      </c>
      <c r="AN1996" s="1">
        <v>2005.0</v>
      </c>
      <c r="AO1996" s="1">
        <v>1934.0</v>
      </c>
      <c r="AQ1996" s="3">
        <v>43949.0</v>
      </c>
      <c r="AR1996" s="1" t="s">
        <v>31</v>
      </c>
      <c r="AS1996" s="1" t="s">
        <v>8691</v>
      </c>
      <c r="AT1996" s="1" t="s">
        <v>31</v>
      </c>
      <c r="AX1996" s="1">
        <v>0.0</v>
      </c>
      <c r="AY1996" s="1">
        <v>0.0</v>
      </c>
    </row>
    <row r="1997" spans="20:51" ht="15.75" hidden="1">
      <c r="T1997" s="1">
        <v>52940.0</v>
      </c>
      <c r="U1997" s="1"/>
      <c r="V1997" s="1"/>
      <c r="W1997" s="1"/>
      <c r="X1997" s="1"/>
      <c r="Y1997" s="1" t="s">
        <v>8692</v>
      </c>
      <c r="Z1997" s="1" t="s">
        <v>4030</v>
      </c>
      <c r="AA1997" s="1" t="s">
        <v>4031</v>
      </c>
      <c r="AB1997" s="1"/>
      <c r="AC1997" s="1"/>
      <c r="AD1997" s="1"/>
      <c r="AE1997" s="1"/>
      <c r="AG1997" s="2" t="str">
        <f>"0747543038"</f>
        <v>0747543038</v>
      </c>
      <c r="AH1997" s="2" t="str">
        <f>"9780747543039"</f>
        <v>9780747543039</v>
      </c>
      <c r="AI1997" s="1">
        <v>0.0</v>
      </c>
      <c r="AJ1997" s="1">
        <v>4.0</v>
      </c>
      <c r="AK1997" s="1" t="s">
        <v>1813</v>
      </c>
      <c r="AL1997" s="1" t="s">
        <v>28</v>
      </c>
      <c r="AM1997" s="1">
        <v>208.0</v>
      </c>
      <c r="AN1997" s="1">
        <v>1999.0</v>
      </c>
      <c r="AO1997" s="1">
        <v>1979.0</v>
      </c>
      <c r="AQ1997" s="3">
        <v>43949.0</v>
      </c>
      <c r="AR1997" s="1" t="s">
        <v>31</v>
      </c>
      <c r="AS1997" s="1" t="s">
        <v>8693</v>
      </c>
      <c r="AT1997" s="1" t="s">
        <v>31</v>
      </c>
      <c r="AX1997" s="1">
        <v>0.0</v>
      </c>
      <c r="AY1997" s="1">
        <v>0.0</v>
      </c>
    </row>
    <row r="1998" spans="20:51" ht="15.75" hidden="1">
      <c r="T1998" s="1">
        <v>306965.0</v>
      </c>
      <c r="U1998" s="1"/>
      <c r="V1998" s="1"/>
      <c r="W1998" s="1"/>
      <c r="X1998" s="1"/>
      <c r="Y1998" s="1" t="s">
        <v>8694</v>
      </c>
      <c r="Z1998" s="1" t="s">
        <v>4483</v>
      </c>
      <c r="AA1998" s="1" t="s">
        <v>4484</v>
      </c>
      <c r="AB1998" s="1"/>
      <c r="AC1998" s="1"/>
      <c r="AD1998" s="1"/>
      <c r="AE1998" s="1"/>
      <c r="AG1998" s="2" t="str">
        <f>"0807029238"</f>
        <v>0807029238</v>
      </c>
      <c r="AH1998" s="2" t="str">
        <f>"9780807029237"</f>
        <v>9780807029237</v>
      </c>
      <c r="AI1998" s="1">
        <v>0.0</v>
      </c>
      <c r="AJ1998" s="1">
        <v>4.12</v>
      </c>
      <c r="AK1998" s="1" t="s">
        <v>831</v>
      </c>
      <c r="AL1998" s="1" t="s">
        <v>28</v>
      </c>
      <c r="AM1998" s="1">
        <v>240.0</v>
      </c>
      <c r="AN1998" s="1">
        <v>2000.0</v>
      </c>
      <c r="AO1998" s="1">
        <v>1999.0</v>
      </c>
      <c r="AQ1998" s="3">
        <v>43949.0</v>
      </c>
      <c r="AR1998" s="1" t="s">
        <v>31</v>
      </c>
      <c r="AS1998" s="1" t="s">
        <v>8695</v>
      </c>
      <c r="AT1998" s="1" t="s">
        <v>31</v>
      </c>
      <c r="AX1998" s="1">
        <v>0.0</v>
      </c>
      <c r="AY1998" s="1">
        <v>0.0</v>
      </c>
    </row>
    <row r="1999" spans="20:51" ht="15.75" hidden="1">
      <c r="T1999" s="1">
        <v>3.4524485E7</v>
      </c>
      <c r="U1999" s="1"/>
      <c r="V1999" s="1"/>
      <c r="W1999" s="1"/>
      <c r="X1999" s="1"/>
      <c r="Y1999" s="1" t="s">
        <v>8696</v>
      </c>
      <c r="Z1999" s="1" t="s">
        <v>8697</v>
      </c>
      <c r="AA1999" s="1" t="s">
        <v>8698</v>
      </c>
      <c r="AB1999" s="1"/>
      <c r="AC1999" s="1"/>
      <c r="AD1999" s="1"/>
      <c r="AE1999" s="1"/>
      <c r="AF1999" s="1" t="s">
        <v>8699</v>
      </c>
      <c r="AG1999" s="2" t="str">
        <f>"022629983X"</f>
        <v>022629983X</v>
      </c>
      <c r="AH1999" s="2" t="str">
        <f>"9780226299839"</f>
        <v>9780226299839</v>
      </c>
      <c r="AI1999" s="1">
        <v>0.0</v>
      </c>
      <c r="AJ1999" s="1">
        <v>4.15</v>
      </c>
      <c r="AK1999" s="1" t="s">
        <v>224</v>
      </c>
      <c r="AL1999" s="1" t="s">
        <v>41</v>
      </c>
      <c r="AM1999" s="1">
        <v>320.0</v>
      </c>
      <c r="AN1999" s="1">
        <v>2017.0</v>
      </c>
      <c r="AO1999" s="1">
        <v>2017.0</v>
      </c>
      <c r="AQ1999" s="3">
        <v>43943.0</v>
      </c>
      <c r="AR1999" s="1" t="s">
        <v>31</v>
      </c>
      <c r="AS1999" s="1" t="s">
        <v>8700</v>
      </c>
      <c r="AT1999" s="1" t="s">
        <v>31</v>
      </c>
      <c r="AX1999" s="1">
        <v>0.0</v>
      </c>
      <c r="AY1999" s="1">
        <v>0.0</v>
      </c>
    </row>
    <row r="2000" spans="20:51" ht="15.75" hidden="1">
      <c r="T2000" s="1">
        <v>672222.0</v>
      </c>
      <c r="U2000" s="1"/>
      <c r="V2000" s="1"/>
      <c r="W2000" s="1"/>
      <c r="X2000" s="1"/>
      <c r="Y2000" s="1" t="s">
        <v>8701</v>
      </c>
      <c r="Z2000" s="1" t="s">
        <v>8702</v>
      </c>
      <c r="AA2000" s="1" t="s">
        <v>8703</v>
      </c>
      <c r="AB2000" s="1"/>
      <c r="AC2000" s="1"/>
      <c r="AD2000" s="1"/>
      <c r="AE2000" s="1"/>
      <c r="AG2000" s="2" t="str">
        <f>"0151707553"</f>
        <v>0151707553</v>
      </c>
      <c r="AH2000" s="2" t="str">
        <f>"9780151707553"</f>
        <v>9780151707553</v>
      </c>
      <c r="AI2000" s="1">
        <v>0.0</v>
      </c>
      <c r="AJ2000" s="1">
        <v>3.98</v>
      </c>
      <c r="AK2000" s="1" t="s">
        <v>403</v>
      </c>
      <c r="AL2000" s="1" t="s">
        <v>41</v>
      </c>
      <c r="AM2000" s="1">
        <v>208.0</v>
      </c>
      <c r="AN2000" s="1">
        <v>1990.0</v>
      </c>
      <c r="AO2000" s="1">
        <v>1939.0</v>
      </c>
      <c r="AQ2000" s="3">
        <v>43941.0</v>
      </c>
      <c r="AR2000" s="1" t="s">
        <v>31</v>
      </c>
      <c r="AS2000" s="1" t="s">
        <v>8704</v>
      </c>
      <c r="AT2000" s="1" t="s">
        <v>31</v>
      </c>
      <c r="AX2000" s="1">
        <v>0.0</v>
      </c>
      <c r="AY2000" s="1">
        <v>0.0</v>
      </c>
    </row>
    <row r="2001" spans="20:51" ht="15.75" hidden="1">
      <c r="T2001" s="1">
        <v>16200.0</v>
      </c>
      <c r="U2001" s="1"/>
      <c r="V2001" s="1"/>
      <c r="W2001" s="1"/>
      <c r="X2001" s="1"/>
      <c r="Y2001" s="1" t="s">
        <v>8705</v>
      </c>
      <c r="Z2001" s="1" t="s">
        <v>8706</v>
      </c>
      <c r="AA2001" s="1" t="s">
        <v>8707</v>
      </c>
      <c r="AB2001" s="1"/>
      <c r="AC2001" s="1"/>
      <c r="AD2001" s="1"/>
      <c r="AE2001" s="1"/>
      <c r="AG2001" s="2" t="str">
        <f>"0385722435"</f>
        <v>0385722435</v>
      </c>
      <c r="AH2001" s="2" t="str">
        <f>"9780385722438"</f>
        <v>9780385722438</v>
      </c>
      <c r="AI2001" s="1">
        <v>0.0</v>
      </c>
      <c r="AJ2001" s="1">
        <v>3.92</v>
      </c>
      <c r="AK2001" s="1" t="s">
        <v>2017</v>
      </c>
      <c r="AL2001" s="1" t="s">
        <v>28</v>
      </c>
      <c r="AM2001" s="1">
        <v>208.0</v>
      </c>
      <c r="AN2001" s="1">
        <v>2002.0</v>
      </c>
      <c r="AO2001" s="1">
        <v>2001.0</v>
      </c>
      <c r="AQ2001" s="3">
        <v>43939.0</v>
      </c>
      <c r="AR2001" s="1" t="s">
        <v>31</v>
      </c>
      <c r="AS2001" s="1" t="s">
        <v>8708</v>
      </c>
      <c r="AT2001" s="1" t="s">
        <v>31</v>
      </c>
      <c r="AX2001" s="1">
        <v>0.0</v>
      </c>
      <c r="AY2001" s="1">
        <v>0.0</v>
      </c>
    </row>
    <row r="2002" spans="20:51" ht="15.75" hidden="1">
      <c r="T2002" s="1">
        <v>2.4796231E7</v>
      </c>
      <c r="U2002" s="1"/>
      <c r="V2002" s="1"/>
      <c r="W2002" s="1"/>
      <c r="X2002" s="1"/>
      <c r="Y2002" s="1" t="s">
        <v>8709</v>
      </c>
      <c r="Z2002" s="1" t="s">
        <v>7091</v>
      </c>
      <c r="AA2002" s="1" t="s">
        <v>7092</v>
      </c>
      <c r="AB2002" s="1"/>
      <c r="AC2002" s="1"/>
      <c r="AD2002" s="1"/>
      <c r="AE2002" s="1"/>
      <c r="AF2002" s="1" t="s">
        <v>8710</v>
      </c>
      <c r="AG2002" s="2" t="str">
        <f>"1566894093"</f>
        <v>1566894093</v>
      </c>
      <c r="AH2002" s="2" t="str">
        <f>"9781566894098"</f>
        <v>9781566894098</v>
      </c>
      <c r="AI2002" s="1">
        <v>0.0</v>
      </c>
      <c r="AJ2002" s="1">
        <v>3.49</v>
      </c>
      <c r="AK2002" s="1" t="s">
        <v>4008</v>
      </c>
      <c r="AL2002" s="1" t="s">
        <v>28</v>
      </c>
      <c r="AM2002" s="1">
        <v>192.0</v>
      </c>
      <c r="AN2002" s="1">
        <v>2015.0</v>
      </c>
      <c r="AO2002" s="1">
        <v>2013.0</v>
      </c>
      <c r="AQ2002" s="3">
        <v>43939.0</v>
      </c>
      <c r="AR2002" s="1" t="s">
        <v>31</v>
      </c>
      <c r="AS2002" s="1" t="s">
        <v>8711</v>
      </c>
      <c r="AT2002" s="1" t="s">
        <v>31</v>
      </c>
      <c r="AX2002" s="1">
        <v>0.0</v>
      </c>
      <c r="AY2002" s="1">
        <v>0.0</v>
      </c>
    </row>
    <row r="2003" spans="20:51" ht="15.75" hidden="1">
      <c r="T2003" s="1">
        <v>2410293.0</v>
      </c>
      <c r="U2003" s="1"/>
      <c r="V2003" s="1"/>
      <c r="W2003" s="1"/>
      <c r="X2003" s="1"/>
      <c r="Y2003" s="1" t="s">
        <v>8712</v>
      </c>
      <c r="Z2003" s="1" t="s">
        <v>1777</v>
      </c>
      <c r="AA2003" s="1" t="s">
        <v>1778</v>
      </c>
      <c r="AB2003" s="1"/>
      <c r="AC2003" s="1"/>
      <c r="AD2003" s="1"/>
      <c r="AE2003" s="1"/>
      <c r="AG2003" s="2" t="str">
        <f>"0374200114"</f>
        <v>0374200114</v>
      </c>
      <c r="AH2003" s="2" t="str">
        <f>"9780374200114"</f>
        <v>9780374200114</v>
      </c>
      <c r="AI2003" s="1">
        <v>0.0</v>
      </c>
      <c r="AJ2003" s="1">
        <v>3.18</v>
      </c>
      <c r="AK2003" s="1" t="s">
        <v>89</v>
      </c>
      <c r="AL2003" s="1" t="s">
        <v>41</v>
      </c>
      <c r="AM2003" s="1">
        <v>240.0</v>
      </c>
      <c r="AN2003" s="1">
        <v>2008.0</v>
      </c>
      <c r="AO2003" s="1">
        <v>2008.0</v>
      </c>
      <c r="AQ2003" s="3">
        <v>43939.0</v>
      </c>
      <c r="AR2003" s="1" t="s">
        <v>31</v>
      </c>
      <c r="AS2003" s="1" t="s">
        <v>8713</v>
      </c>
      <c r="AT2003" s="1" t="s">
        <v>31</v>
      </c>
      <c r="AX2003" s="1">
        <v>0.0</v>
      </c>
      <c r="AY2003" s="1">
        <v>0.0</v>
      </c>
    </row>
    <row r="2004" spans="20:51" ht="15.75" hidden="1">
      <c r="T2004" s="1">
        <v>8944483.0</v>
      </c>
      <c r="U2004" s="1"/>
      <c r="V2004" s="1"/>
      <c r="W2004" s="1"/>
      <c r="X2004" s="1"/>
      <c r="Y2004" s="1" t="s">
        <v>8714</v>
      </c>
      <c r="Z2004" s="1" t="s">
        <v>8715</v>
      </c>
      <c r="AA2004" s="1" t="s">
        <v>8716</v>
      </c>
      <c r="AB2004" s="1"/>
      <c r="AC2004" s="1"/>
      <c r="AD2004" s="1"/>
      <c r="AE2004" s="1"/>
      <c r="AG2004" s="2" t="str">
        <f>"8437618797"</f>
        <v>8437618797</v>
      </c>
      <c r="AH2004" s="2" t="str">
        <f>"9788437618791"</f>
        <v>9788437618791</v>
      </c>
      <c r="AI2004" s="1">
        <v>0.0</v>
      </c>
      <c r="AJ2004" s="1">
        <v>3.97</v>
      </c>
      <c r="AK2004" s="1" t="s">
        <v>3433</v>
      </c>
      <c r="AL2004" s="1" t="s">
        <v>28</v>
      </c>
      <c r="AM2004" s="1">
        <v>387.0</v>
      </c>
      <c r="AN2004" s="1">
        <v>2005.0</v>
      </c>
      <c r="AO2004" s="1">
        <v>1976.0</v>
      </c>
      <c r="AQ2004" s="3">
        <v>43938.0</v>
      </c>
      <c r="AR2004" s="1" t="s">
        <v>31</v>
      </c>
      <c r="AS2004" s="1" t="s">
        <v>8717</v>
      </c>
      <c r="AT2004" s="1" t="s">
        <v>31</v>
      </c>
      <c r="AX2004" s="1">
        <v>0.0</v>
      </c>
      <c r="AY2004" s="1">
        <v>0.0</v>
      </c>
    </row>
    <row r="2005" spans="20:51" ht="15.75" hidden="1">
      <c r="T2005" s="1">
        <v>7860.0</v>
      </c>
      <c r="U2005" s="1"/>
      <c r="V2005" s="1"/>
      <c r="W2005" s="1"/>
      <c r="X2005" s="1"/>
      <c r="Y2005" s="1" t="s">
        <v>8718</v>
      </c>
      <c r="Z2005" s="1" t="s">
        <v>8719</v>
      </c>
      <c r="AA2005" s="1" t="s">
        <v>8720</v>
      </c>
      <c r="AB2005" s="1"/>
      <c r="AC2005" s="1"/>
      <c r="AD2005" s="1"/>
      <c r="AE2005" s="1"/>
      <c r="AF2005" s="1" t="s">
        <v>8721</v>
      </c>
      <c r="AG2005" s="2" t="str">
        <f>"185984328X"</f>
        <v>185984328X</v>
      </c>
      <c r="AH2005" s="2" t="str">
        <f>"9781859843284"</f>
        <v>9781859843284</v>
      </c>
      <c r="AI2005" s="1">
        <v>0.0</v>
      </c>
      <c r="AJ2005" s="1">
        <v>3.71</v>
      </c>
      <c r="AK2005" s="1" t="s">
        <v>1973</v>
      </c>
      <c r="AL2005" s="1" t="s">
        <v>28</v>
      </c>
      <c r="AM2005" s="1">
        <v>192.0</v>
      </c>
      <c r="AN2005" s="1">
        <v>2001.0</v>
      </c>
      <c r="AO2005" s="1">
        <v>2000.0</v>
      </c>
      <c r="AQ2005" s="3">
        <v>43938.0</v>
      </c>
      <c r="AR2005" s="1" t="s">
        <v>31</v>
      </c>
      <c r="AS2005" s="1" t="s">
        <v>8722</v>
      </c>
      <c r="AT2005" s="1" t="s">
        <v>31</v>
      </c>
      <c r="AX2005" s="1">
        <v>0.0</v>
      </c>
      <c r="AY2005" s="1">
        <v>0.0</v>
      </c>
    </row>
    <row r="2006" spans="20:51" ht="15.75" hidden="1">
      <c r="T2006" s="1">
        <v>1.1700333E7</v>
      </c>
      <c r="U2006" s="1"/>
      <c r="V2006" s="1"/>
      <c r="W2006" s="1"/>
      <c r="X2006" s="1"/>
      <c r="Y2006" s="1" t="s">
        <v>8723</v>
      </c>
      <c r="Z2006" s="1" t="s">
        <v>2866</v>
      </c>
      <c r="AA2006" s="1" t="s">
        <v>2867</v>
      </c>
      <c r="AB2006" s="1"/>
      <c r="AC2006" s="1"/>
      <c r="AD2006" s="1"/>
      <c r="AE2006" s="1"/>
      <c r="AG2006" s="2" t="str">
        <f>"1908276029"</f>
        <v>1908276029</v>
      </c>
      <c r="AH2006" s="2" t="str">
        <f>"9781908276025"</f>
        <v>9781908276025</v>
      </c>
      <c r="AI2006" s="1">
        <v>0.0</v>
      </c>
      <c r="AJ2006" s="1">
        <v>3.4</v>
      </c>
      <c r="AK2006" s="1" t="s">
        <v>1663</v>
      </c>
      <c r="AL2006" s="1" t="s">
        <v>28</v>
      </c>
      <c r="AM2006" s="1">
        <v>165.0</v>
      </c>
      <c r="AN2006" s="1">
        <v>2011.0</v>
      </c>
      <c r="AO2006" s="1">
        <v>2011.0</v>
      </c>
      <c r="AQ2006" s="3">
        <v>43935.0</v>
      </c>
      <c r="AR2006" s="1" t="s">
        <v>31</v>
      </c>
      <c r="AS2006" s="1" t="s">
        <v>8724</v>
      </c>
      <c r="AT2006" s="1" t="s">
        <v>31</v>
      </c>
      <c r="AX2006" s="1">
        <v>0.0</v>
      </c>
      <c r="AY2006" s="1">
        <v>0.0</v>
      </c>
    </row>
    <row r="2007" spans="20:51" ht="15.75" hidden="1">
      <c r="T2007" s="1">
        <v>398145.0</v>
      </c>
      <c r="U2007" s="1"/>
      <c r="V2007" s="1"/>
      <c r="W2007" s="1"/>
      <c r="X2007" s="1"/>
      <c r="Y2007" s="1" t="s">
        <v>8725</v>
      </c>
      <c r="Z2007" s="1" t="s">
        <v>8726</v>
      </c>
      <c r="AA2007" s="1" t="s">
        <v>8727</v>
      </c>
      <c r="AB2007" s="1"/>
      <c r="AC2007" s="1"/>
      <c r="AD2007" s="1"/>
      <c r="AE2007" s="1"/>
      <c r="AF2007" s="1" t="s">
        <v>8728</v>
      </c>
      <c r="AG2007" s="2" t="str">
        <f>"0976140721"</f>
        <v>0976140721</v>
      </c>
      <c r="AH2007" s="2" t="str">
        <f>"9780976140726"</f>
        <v>9780976140726</v>
      </c>
      <c r="AI2007" s="1">
        <v>0.0</v>
      </c>
      <c r="AJ2007" s="1">
        <v>3.55</v>
      </c>
      <c r="AK2007" s="1" t="s">
        <v>1708</v>
      </c>
      <c r="AL2007" s="1" t="s">
        <v>28</v>
      </c>
      <c r="AM2007" s="1">
        <v>133.0</v>
      </c>
      <c r="AN2007" s="1">
        <v>2005.0</v>
      </c>
      <c r="AO2007" s="1">
        <v>1810.0</v>
      </c>
      <c r="AQ2007" s="3">
        <v>43935.0</v>
      </c>
      <c r="AR2007" s="1" t="s">
        <v>31</v>
      </c>
      <c r="AS2007" s="1" t="s">
        <v>8729</v>
      </c>
      <c r="AT2007" s="1" t="s">
        <v>31</v>
      </c>
      <c r="AX2007" s="1">
        <v>0.0</v>
      </c>
      <c r="AY2007" s="1">
        <v>0.0</v>
      </c>
    </row>
    <row r="2008" spans="20:51" ht="15.75" hidden="1">
      <c r="T2008" s="1">
        <v>1013972.0</v>
      </c>
      <c r="U2008" s="1"/>
      <c r="V2008" s="1"/>
      <c r="W2008" s="1"/>
      <c r="X2008" s="1"/>
      <c r="Y2008" s="1" t="s">
        <v>8730</v>
      </c>
      <c r="Z2008" s="1" t="s">
        <v>8731</v>
      </c>
      <c r="AA2008" s="1" t="s">
        <v>8732</v>
      </c>
      <c r="AB2008" s="1"/>
      <c r="AC2008" s="1"/>
      <c r="AD2008" s="1"/>
      <c r="AE2008" s="1"/>
      <c r="AF2008" s="1" t="s">
        <v>8733</v>
      </c>
      <c r="AG2008" s="2" t="str">
        <f>"0394739698"</f>
        <v>0394739698</v>
      </c>
      <c r="AH2008" s="2" t="str">
        <f>"9780394739694"</f>
        <v>9780394739694</v>
      </c>
      <c r="AI2008" s="1">
        <v>0.0</v>
      </c>
      <c r="AJ2008" s="1">
        <v>4.34</v>
      </c>
      <c r="AK2008" s="1" t="s">
        <v>634</v>
      </c>
      <c r="AL2008" s="1" t="s">
        <v>28</v>
      </c>
      <c r="AM2008" s="1">
        <v>525.0</v>
      </c>
      <c r="AN2008" s="1">
        <v>1984.0</v>
      </c>
      <c r="AO2008" s="1">
        <v>1984.0</v>
      </c>
      <c r="AQ2008" s="3">
        <v>43934.0</v>
      </c>
      <c r="AR2008" s="1" t="s">
        <v>31</v>
      </c>
      <c r="AS2008" s="1" t="s">
        <v>8734</v>
      </c>
      <c r="AT2008" s="1" t="s">
        <v>31</v>
      </c>
      <c r="AX2008" s="1">
        <v>0.0</v>
      </c>
      <c r="AY2008" s="1">
        <v>0.0</v>
      </c>
    </row>
    <row r="2009" spans="20:51" ht="15.75" hidden="1">
      <c r="T2009" s="1">
        <v>98780.0</v>
      </c>
      <c r="U2009" s="1"/>
      <c r="V2009" s="1"/>
      <c r="W2009" s="1"/>
      <c r="X2009" s="1"/>
      <c r="Y2009" s="1" t="s">
        <v>8735</v>
      </c>
      <c r="Z2009" s="1" t="s">
        <v>8736</v>
      </c>
      <c r="AA2009" s="1" t="s">
        <v>8737</v>
      </c>
      <c r="AB2009" s="1"/>
      <c r="AC2009" s="1"/>
      <c r="AD2009" s="1"/>
      <c r="AE2009" s="1"/>
      <c r="AG2009" s="2" t="str">
        <f>"080506270X"</f>
        <v>080506270X</v>
      </c>
      <c r="AH2009" s="2" t="str">
        <f>"9780805062700"</f>
        <v>9780805062700</v>
      </c>
      <c r="AI2009" s="1">
        <v>0.0</v>
      </c>
      <c r="AJ2009" s="1">
        <v>3.8</v>
      </c>
      <c r="AK2009" s="1" t="s">
        <v>8738</v>
      </c>
      <c r="AL2009" s="1" t="s">
        <v>4066</v>
      </c>
      <c r="AM2009" s="1">
        <v>296.0</v>
      </c>
      <c r="AN2009" s="1">
        <v>1999.0</v>
      </c>
      <c r="AO2009" s="1">
        <v>1998.0</v>
      </c>
      <c r="AQ2009" s="3">
        <v>43934.0</v>
      </c>
      <c r="AR2009" s="1" t="s">
        <v>31</v>
      </c>
      <c r="AS2009" s="1" t="s">
        <v>8739</v>
      </c>
      <c r="AT2009" s="1" t="s">
        <v>31</v>
      </c>
      <c r="AX2009" s="1">
        <v>0.0</v>
      </c>
      <c r="AY2009" s="1">
        <v>0.0</v>
      </c>
    </row>
    <row r="2010" spans="20:51" ht="15.75" hidden="1">
      <c r="T2010" s="1">
        <v>142239.0</v>
      </c>
      <c r="U2010" s="1"/>
      <c r="V2010" s="1"/>
      <c r="W2010" s="1"/>
      <c r="X2010" s="1"/>
      <c r="Y2010" s="1" t="s">
        <v>8740</v>
      </c>
      <c r="Z2010" s="1" t="s">
        <v>8741</v>
      </c>
      <c r="AA2010" s="1" t="s">
        <v>8742</v>
      </c>
      <c r="AB2010" s="1"/>
      <c r="AC2010" s="1"/>
      <c r="AD2010" s="1"/>
      <c r="AE2010" s="1"/>
      <c r="AG2010" s="2" t="str">
        <f>"0817463003"</f>
        <v>0817463003</v>
      </c>
      <c r="AH2010" s="2" t="str">
        <f>"9780817463007"</f>
        <v>9780817463007</v>
      </c>
      <c r="AI2010" s="1">
        <v>0.0</v>
      </c>
      <c r="AJ2010" s="1">
        <v>4.32</v>
      </c>
      <c r="AK2010" s="1" t="s">
        <v>8743</v>
      </c>
      <c r="AL2010" s="1" t="s">
        <v>28</v>
      </c>
      <c r="AM2010" s="1">
        <v>160.0</v>
      </c>
      <c r="AN2010" s="1">
        <v>2004.0</v>
      </c>
      <c r="AO2010" s="1">
        <v>1990.0</v>
      </c>
      <c r="AQ2010" s="3">
        <v>43934.0</v>
      </c>
      <c r="AR2010" s="1" t="s">
        <v>31</v>
      </c>
      <c r="AS2010" s="1" t="s">
        <v>8744</v>
      </c>
      <c r="AT2010" s="1" t="s">
        <v>31</v>
      </c>
      <c r="AX2010" s="1">
        <v>0.0</v>
      </c>
      <c r="AY2010" s="1">
        <v>0.0</v>
      </c>
    </row>
    <row r="2011" spans="20:51" ht="15.75" hidden="1">
      <c r="T2011" s="1">
        <v>733648.0</v>
      </c>
      <c r="U2011" s="1"/>
      <c r="V2011" s="1"/>
      <c r="W2011" s="1"/>
      <c r="X2011" s="1"/>
      <c r="Y2011" s="1" t="s">
        <v>8745</v>
      </c>
      <c r="Z2011" s="1" t="s">
        <v>8746</v>
      </c>
      <c r="AA2011" s="1" t="s">
        <v>8747</v>
      </c>
      <c r="AB2011" s="1"/>
      <c r="AC2011" s="1"/>
      <c r="AD2011" s="1"/>
      <c r="AE2011" s="1"/>
      <c r="AG2011" s="2" t="str">
        <f>"1578590450"</f>
        <v>1578590450</v>
      </c>
      <c r="AH2011" s="2" t="str">
        <f>"9781578590452"</f>
        <v>9781578590452</v>
      </c>
      <c r="AI2011" s="1">
        <v>0.0</v>
      </c>
      <c r="AJ2011" s="1">
        <v>3.97</v>
      </c>
      <c r="AK2011" s="1" t="s">
        <v>8748</v>
      </c>
      <c r="AL2011" s="1" t="s">
        <v>28</v>
      </c>
      <c r="AM2011" s="1">
        <v>637.0</v>
      </c>
      <c r="AN2011" s="1">
        <v>1993.0</v>
      </c>
      <c r="AO2011" s="1">
        <v>1993.0</v>
      </c>
      <c r="AQ2011" s="3">
        <v>43934.0</v>
      </c>
      <c r="AR2011" s="1" t="s">
        <v>31</v>
      </c>
      <c r="AS2011" s="1" t="s">
        <v>8749</v>
      </c>
      <c r="AT2011" s="1" t="s">
        <v>31</v>
      </c>
      <c r="AX2011" s="1">
        <v>0.0</v>
      </c>
      <c r="AY2011" s="1">
        <v>0.0</v>
      </c>
    </row>
    <row r="2012" spans="20:51" ht="15.75" hidden="1">
      <c r="T2012" s="1">
        <v>4.3398196E7</v>
      </c>
      <c r="U2012" s="1"/>
      <c r="V2012" s="1"/>
      <c r="W2012" s="1"/>
      <c r="X2012" s="1"/>
      <c r="Y2012" s="1" t="s">
        <v>8750</v>
      </c>
      <c r="Z2012" s="1" t="s">
        <v>8751</v>
      </c>
      <c r="AA2012" s="1" t="s">
        <v>8752</v>
      </c>
      <c r="AB2012" s="1"/>
      <c r="AC2012" s="1"/>
      <c r="AD2012" s="1"/>
      <c r="AE2012" s="1"/>
      <c r="AF2012" s="1" t="s">
        <v>8753</v>
      </c>
      <c r="AG2012" s="2" t="str">
        <f>"1911284169"</f>
        <v>1911284169</v>
      </c>
      <c r="AH2012" s="2" t="str">
        <f>"9781911284161"</f>
        <v>9781911284161</v>
      </c>
      <c r="AI2012" s="1">
        <v>0.0</v>
      </c>
      <c r="AJ2012" s="1">
        <v>3.49</v>
      </c>
      <c r="AK2012" s="1" t="s">
        <v>8754</v>
      </c>
      <c r="AL2012" s="1" t="s">
        <v>28</v>
      </c>
      <c r="AM2012" s="1">
        <v>168.0</v>
      </c>
      <c r="AN2012" s="1">
        <v>2019.0</v>
      </c>
      <c r="AO2012" s="1">
        <v>2014.0</v>
      </c>
      <c r="AQ2012" s="3">
        <v>43934.0</v>
      </c>
      <c r="AR2012" s="1" t="s">
        <v>31</v>
      </c>
      <c r="AS2012" s="1" t="s">
        <v>8755</v>
      </c>
      <c r="AT2012" s="1" t="s">
        <v>31</v>
      </c>
      <c r="AX2012" s="1">
        <v>0.0</v>
      </c>
      <c r="AY2012" s="1">
        <v>0.0</v>
      </c>
    </row>
    <row r="2013" spans="20:51" ht="15.75" hidden="1">
      <c r="T2013" s="1">
        <v>4.1649489E7</v>
      </c>
      <c r="U2013" s="1"/>
      <c r="V2013" s="1"/>
      <c r="W2013" s="1"/>
      <c r="X2013" s="1"/>
      <c r="Y2013" s="1" t="s">
        <v>8756</v>
      </c>
      <c r="Z2013" s="1" t="s">
        <v>8757</v>
      </c>
      <c r="AA2013" s="1" t="s">
        <v>8758</v>
      </c>
      <c r="AB2013" s="1"/>
      <c r="AC2013" s="1"/>
      <c r="AD2013" s="1"/>
      <c r="AE2013" s="1"/>
      <c r="AF2013" s="1" t="s">
        <v>8759</v>
      </c>
      <c r="AG2013" s="2" t="str">
        <f t="shared" si="169" ref="AG2013:AH2013">""</f>
        <v/>
      </c>
      <c r="AH2013" s="2" t="str">
        <f t="shared" si="169"/>
        <v/>
      </c>
      <c r="AI2013" s="1">
        <v>0.0</v>
      </c>
      <c r="AJ2013" s="1">
        <v>3.77</v>
      </c>
      <c r="AK2013" s="1" t="s">
        <v>345</v>
      </c>
      <c r="AN2013" s="1">
        <v>2020.0</v>
      </c>
      <c r="AO2013" s="1">
        <v>2020.0</v>
      </c>
      <c r="AQ2013" s="3">
        <v>43934.0</v>
      </c>
      <c r="AR2013" s="1" t="s">
        <v>31</v>
      </c>
      <c r="AS2013" s="1" t="s">
        <v>8760</v>
      </c>
      <c r="AT2013" s="1" t="s">
        <v>31</v>
      </c>
      <c r="AX2013" s="1">
        <v>0.0</v>
      </c>
      <c r="AY2013" s="1">
        <v>0.0</v>
      </c>
    </row>
    <row r="2014" spans="20:51" ht="15.75" hidden="1">
      <c r="T2014" s="1">
        <v>5.0755102E7</v>
      </c>
      <c r="U2014" s="1"/>
      <c r="V2014" s="1"/>
      <c r="W2014" s="1"/>
      <c r="X2014" s="1"/>
      <c r="Y2014" s="1" t="s">
        <v>8761</v>
      </c>
      <c r="Z2014" s="1" t="s">
        <v>8762</v>
      </c>
      <c r="AA2014" s="1" t="s">
        <v>8763</v>
      </c>
      <c r="AB2014" s="1"/>
      <c r="AC2014" s="1"/>
      <c r="AD2014" s="1"/>
      <c r="AE2014" s="1"/>
      <c r="AG2014" s="2" t="str">
        <f>"132400570X"</f>
        <v>132400570X</v>
      </c>
      <c r="AH2014" s="2" t="str">
        <f>"9781324005704"</f>
        <v>9781324005704</v>
      </c>
      <c r="AI2014" s="1">
        <v>0.0</v>
      </c>
      <c r="AJ2014" s="1">
        <v>4.02</v>
      </c>
      <c r="AK2014" s="1" t="s">
        <v>113</v>
      </c>
      <c r="AL2014" s="1" t="s">
        <v>41</v>
      </c>
      <c r="AM2014" s="1">
        <v>272.0</v>
      </c>
      <c r="AN2014" s="1">
        <v>2020.0</v>
      </c>
      <c r="AO2014" s="1">
        <v>2020.0</v>
      </c>
      <c r="AQ2014" s="3">
        <v>43934.0</v>
      </c>
      <c r="AR2014" s="1" t="s">
        <v>31</v>
      </c>
      <c r="AS2014" s="1" t="s">
        <v>8764</v>
      </c>
      <c r="AT2014" s="1" t="s">
        <v>31</v>
      </c>
      <c r="AX2014" s="1">
        <v>0.0</v>
      </c>
      <c r="AY2014" s="1">
        <v>0.0</v>
      </c>
    </row>
    <row r="2015" spans="20:51" ht="15.75" hidden="1">
      <c r="T2015" s="1">
        <v>52224.0</v>
      </c>
      <c r="U2015" s="1"/>
      <c r="V2015" s="1"/>
      <c r="W2015" s="1"/>
      <c r="X2015" s="1"/>
      <c r="Y2015" s="1" t="s">
        <v>8765</v>
      </c>
      <c r="Z2015" s="1" t="s">
        <v>6676</v>
      </c>
      <c r="AA2015" s="1" t="s">
        <v>6677</v>
      </c>
      <c r="AB2015" s="1"/>
      <c r="AC2015" s="1"/>
      <c r="AD2015" s="1"/>
      <c r="AE2015" s="1"/>
      <c r="AF2015" s="1" t="s">
        <v>8766</v>
      </c>
      <c r="AG2015" s="2" t="str">
        <f>"0674022211"</f>
        <v>0674022211</v>
      </c>
      <c r="AH2015" s="2" t="str">
        <f>"9780674022218"</f>
        <v>9780674022218</v>
      </c>
      <c r="AI2015" s="1">
        <v>0.0</v>
      </c>
      <c r="AJ2015" s="1">
        <v>3.62</v>
      </c>
      <c r="AK2015" s="1" t="s">
        <v>875</v>
      </c>
      <c r="AL2015" s="1" t="s">
        <v>28</v>
      </c>
      <c r="AM2015" s="1">
        <v>208.0</v>
      </c>
      <c r="AN2015" s="1">
        <v>2006.0</v>
      </c>
      <c r="AO2015" s="1">
        <v>1972.0</v>
      </c>
      <c r="AQ2015" s="3">
        <v>43934.0</v>
      </c>
      <c r="AR2015" s="1" t="s">
        <v>31</v>
      </c>
      <c r="AS2015" s="1" t="s">
        <v>8767</v>
      </c>
      <c r="AT2015" s="1" t="s">
        <v>31</v>
      </c>
      <c r="AX2015" s="1">
        <v>0.0</v>
      </c>
      <c r="AY2015" s="1">
        <v>0.0</v>
      </c>
    </row>
    <row r="2016" spans="20:51" ht="15.75" hidden="1">
      <c r="T2016" s="1">
        <v>1.8492351E7</v>
      </c>
      <c r="U2016" s="1"/>
      <c r="V2016" s="1"/>
      <c r="W2016" s="1"/>
      <c r="X2016" s="1"/>
      <c r="Y2016" s="1" t="s">
        <v>8768</v>
      </c>
      <c r="Z2016" s="1" t="s">
        <v>8769</v>
      </c>
      <c r="AA2016" s="1" t="s">
        <v>8770</v>
      </c>
      <c r="AB2016" s="1"/>
      <c r="AC2016" s="1"/>
      <c r="AD2016" s="1"/>
      <c r="AE2016" s="1"/>
      <c r="AG2016" s="2" t="str">
        <f>"0615870864"</f>
        <v>0615870864</v>
      </c>
      <c r="AH2016" s="2" t="str">
        <f>"9780615870861"</f>
        <v>9780615870861</v>
      </c>
      <c r="AI2016" s="1">
        <v>0.0</v>
      </c>
      <c r="AJ2016" s="1">
        <v>3.95</v>
      </c>
      <c r="AK2016" s="1" t="s">
        <v>8771</v>
      </c>
      <c r="AL2016" s="1" t="s">
        <v>28</v>
      </c>
      <c r="AM2016" s="1">
        <v>250.0</v>
      </c>
      <c r="AN2016" s="1">
        <v>2013.0</v>
      </c>
      <c r="AO2016" s="1">
        <v>2013.0</v>
      </c>
      <c r="AQ2016" s="3">
        <v>43926.0</v>
      </c>
      <c r="AR2016" s="1" t="s">
        <v>31</v>
      </c>
      <c r="AS2016" s="1" t="s">
        <v>8772</v>
      </c>
      <c r="AT2016" s="1" t="s">
        <v>31</v>
      </c>
      <c r="AX2016" s="1">
        <v>0.0</v>
      </c>
      <c r="AY2016" s="1">
        <v>0.0</v>
      </c>
    </row>
    <row r="2017" spans="20:51" ht="15.75" hidden="1">
      <c r="T2017" s="1">
        <v>6316356.0</v>
      </c>
      <c r="U2017" s="1"/>
      <c r="V2017" s="1"/>
      <c r="W2017" s="1"/>
      <c r="X2017" s="1"/>
      <c r="Y2017" s="1" t="s">
        <v>8773</v>
      </c>
      <c r="Z2017" s="1" t="s">
        <v>7984</v>
      </c>
      <c r="AA2017" s="1" t="s">
        <v>7985</v>
      </c>
      <c r="AB2017" s="1"/>
      <c r="AC2017" s="1"/>
      <c r="AD2017" s="1"/>
      <c r="AE2017" s="1"/>
      <c r="AF2017" s="1" t="s">
        <v>3103</v>
      </c>
      <c r="AG2017" s="2" t="str">
        <f>"158243543X"</f>
        <v>158243543X</v>
      </c>
      <c r="AH2017" s="2" t="str">
        <f>"9781582435435"</f>
        <v>9781582435435</v>
      </c>
      <c r="AI2017" s="1">
        <v>0.0</v>
      </c>
      <c r="AJ2017" s="1">
        <v>4.18</v>
      </c>
      <c r="AK2017" s="1" t="s">
        <v>6479</v>
      </c>
      <c r="AL2017" s="1" t="s">
        <v>28</v>
      </c>
      <c r="AM2017" s="1">
        <v>234.0</v>
      </c>
      <c r="AN2017" s="1">
        <v>2009.0</v>
      </c>
      <c r="AO2017" s="1">
        <v>2009.0</v>
      </c>
      <c r="AQ2017" s="3">
        <v>43926.0</v>
      </c>
      <c r="AR2017" s="1" t="s">
        <v>31</v>
      </c>
      <c r="AS2017" s="1" t="s">
        <v>8774</v>
      </c>
      <c r="AT2017" s="1" t="s">
        <v>31</v>
      </c>
      <c r="AX2017" s="1">
        <v>0.0</v>
      </c>
      <c r="AY2017" s="1">
        <v>0.0</v>
      </c>
    </row>
    <row r="2018" spans="20:51" ht="15.75" hidden="1">
      <c r="T2018" s="1">
        <v>243970.0</v>
      </c>
      <c r="U2018" s="1"/>
      <c r="V2018" s="1"/>
      <c r="W2018" s="1"/>
      <c r="X2018" s="1"/>
      <c r="Y2018" s="1" t="s">
        <v>8775</v>
      </c>
      <c r="Z2018" s="1" t="s">
        <v>8776</v>
      </c>
      <c r="AA2018" s="1" t="s">
        <v>8777</v>
      </c>
      <c r="AB2018" s="1"/>
      <c r="AC2018" s="1"/>
      <c r="AD2018" s="1"/>
      <c r="AE2018" s="1"/>
      <c r="AG2018" s="2" t="str">
        <f>"0877040583"</f>
        <v>0877040583</v>
      </c>
      <c r="AH2018" s="2" t="str">
        <f>"9780877040583"</f>
        <v>9780877040583</v>
      </c>
      <c r="AI2018" s="1">
        <v>0.0</v>
      </c>
      <c r="AJ2018" s="1">
        <v>4.32</v>
      </c>
      <c r="AK2018" s="1" t="s">
        <v>8778</v>
      </c>
      <c r="AL2018" s="1" t="s">
        <v>28</v>
      </c>
      <c r="AM2018" s="1">
        <v>106.0</v>
      </c>
      <c r="AN2018" s="1">
        <v>2001.0</v>
      </c>
      <c r="AO2018" s="1">
        <v>1982.0</v>
      </c>
      <c r="AQ2018" s="3">
        <v>43926.0</v>
      </c>
      <c r="AR2018" s="1" t="s">
        <v>31</v>
      </c>
      <c r="AS2018" s="1" t="s">
        <v>8779</v>
      </c>
      <c r="AT2018" s="1" t="s">
        <v>31</v>
      </c>
      <c r="AX2018" s="1">
        <v>0.0</v>
      </c>
      <c r="AY2018" s="1">
        <v>0.0</v>
      </c>
    </row>
    <row r="2019" spans="20:51" ht="15.75" hidden="1">
      <c r="T2019" s="1">
        <v>3.4525338E7</v>
      </c>
      <c r="U2019" s="1"/>
      <c r="V2019" s="1"/>
      <c r="W2019" s="1"/>
      <c r="X2019" s="1"/>
      <c r="Y2019" s="1" t="s">
        <v>8780</v>
      </c>
      <c r="Z2019" s="1" t="s">
        <v>724</v>
      </c>
      <c r="AA2019" s="1" t="s">
        <v>725</v>
      </c>
      <c r="AB2019" s="1"/>
      <c r="AC2019" s="1"/>
      <c r="AD2019" s="1"/>
      <c r="AE2019" s="1"/>
      <c r="AG2019" s="2" t="str">
        <f>"1936932156"</f>
        <v>1936932156</v>
      </c>
      <c r="AH2019" s="2" t="str">
        <f>"9781936932153"</f>
        <v>9781936932153</v>
      </c>
      <c r="AI2019" s="1">
        <v>0.0</v>
      </c>
      <c r="AJ2019" s="1">
        <v>3.96</v>
      </c>
      <c r="AK2019" s="1" t="s">
        <v>2120</v>
      </c>
      <c r="AL2019" s="1" t="s">
        <v>28</v>
      </c>
      <c r="AM2019" s="1">
        <v>166.0</v>
      </c>
      <c r="AN2019" s="1">
        <v>2017.0</v>
      </c>
      <c r="AO2019" s="1">
        <v>2015.0</v>
      </c>
      <c r="AQ2019" s="3">
        <v>43926.0</v>
      </c>
      <c r="AR2019" s="1" t="s">
        <v>31</v>
      </c>
      <c r="AS2019" s="1" t="s">
        <v>8781</v>
      </c>
      <c r="AT2019" s="1" t="s">
        <v>31</v>
      </c>
      <c r="AX2019" s="1">
        <v>0.0</v>
      </c>
      <c r="AY2019" s="1">
        <v>0.0</v>
      </c>
    </row>
    <row r="2020" spans="20:51" ht="15.75" hidden="1">
      <c r="T2020" s="1">
        <v>1322003.0</v>
      </c>
      <c r="U2020" s="1"/>
      <c r="V2020" s="1"/>
      <c r="W2020" s="1"/>
      <c r="X2020" s="1"/>
      <c r="Y2020" s="1" t="s">
        <v>8782</v>
      </c>
      <c r="Z2020" s="1" t="s">
        <v>8783</v>
      </c>
      <c r="AA2020" s="1" t="s">
        <v>8784</v>
      </c>
      <c r="AB2020" s="1"/>
      <c r="AC2020" s="1"/>
      <c r="AD2020" s="1"/>
      <c r="AE2020" s="1"/>
      <c r="AG2020" s="2" t="str">
        <f>"1568582021"</f>
        <v>1568582021</v>
      </c>
      <c r="AH2020" s="2" t="str">
        <f>"9781568582023"</f>
        <v>9781568582023</v>
      </c>
      <c r="AI2020" s="1">
        <v>0.0</v>
      </c>
      <c r="AJ2020" s="1">
        <v>3.18</v>
      </c>
      <c r="AK2020" s="1" t="s">
        <v>8785</v>
      </c>
      <c r="AL2020" s="1" t="s">
        <v>28</v>
      </c>
      <c r="AM2020" s="1">
        <v>179.0</v>
      </c>
      <c r="AN2020" s="1">
        <v>2001.0</v>
      </c>
      <c r="AO2020" s="1">
        <v>1999.0</v>
      </c>
      <c r="AQ2020" s="3">
        <v>43926.0</v>
      </c>
      <c r="AR2020" s="1" t="s">
        <v>31</v>
      </c>
      <c r="AS2020" s="1" t="s">
        <v>8786</v>
      </c>
      <c r="AT2020" s="1" t="s">
        <v>31</v>
      </c>
      <c r="AX2020" s="1">
        <v>0.0</v>
      </c>
      <c r="AY2020" s="1">
        <v>0.0</v>
      </c>
    </row>
    <row r="2021" spans="20:51" ht="15.75" hidden="1">
      <c r="T2021" s="1">
        <v>418293.0</v>
      </c>
      <c r="U2021" s="1"/>
      <c r="V2021" s="1"/>
      <c r="W2021" s="1"/>
      <c r="X2021" s="1"/>
      <c r="Y2021" s="1" t="s">
        <v>8787</v>
      </c>
      <c r="Z2021" s="1" t="s">
        <v>8783</v>
      </c>
      <c r="AA2021" s="1" t="s">
        <v>8784</v>
      </c>
      <c r="AB2021" s="1"/>
      <c r="AC2021" s="1"/>
      <c r="AD2021" s="1"/>
      <c r="AE2021" s="1"/>
      <c r="AG2021" s="2" t="str">
        <f>"1568582722"</f>
        <v>1568582722</v>
      </c>
      <c r="AH2021" s="2" t="str">
        <f>"9781568582726"</f>
        <v>9781568582726</v>
      </c>
      <c r="AI2021" s="1">
        <v>0.0</v>
      </c>
      <c r="AJ2021" s="1">
        <v>3.85</v>
      </c>
      <c r="AK2021" s="1" t="s">
        <v>8785</v>
      </c>
      <c r="AL2021" s="1" t="s">
        <v>41</v>
      </c>
      <c r="AM2021" s="1">
        <v>208.0</v>
      </c>
      <c r="AN2021" s="1">
        <v>2003.0</v>
      </c>
      <c r="AO2021" s="1">
        <v>2003.0</v>
      </c>
      <c r="AQ2021" s="3">
        <v>43926.0</v>
      </c>
      <c r="AR2021" s="1" t="s">
        <v>31</v>
      </c>
      <c r="AS2021" s="1" t="s">
        <v>8788</v>
      </c>
      <c r="AT2021" s="1" t="s">
        <v>31</v>
      </c>
      <c r="AX2021" s="1">
        <v>0.0</v>
      </c>
      <c r="AY2021" s="1">
        <v>0.0</v>
      </c>
    </row>
    <row r="2022" spans="20:51" ht="15.75" hidden="1">
      <c r="T2022" s="1">
        <v>480707.0</v>
      </c>
      <c r="U2022" s="1"/>
      <c r="V2022" s="1"/>
      <c r="W2022" s="1"/>
      <c r="X2022" s="1"/>
      <c r="Y2022" s="1" t="s">
        <v>8789</v>
      </c>
      <c r="Z2022" s="1" t="s">
        <v>878</v>
      </c>
      <c r="AA2022" s="1" t="s">
        <v>879</v>
      </c>
      <c r="AB2022" s="1"/>
      <c r="AC2022" s="1"/>
      <c r="AD2022" s="1"/>
      <c r="AE2022" s="1"/>
      <c r="AG2022" s="2" t="str">
        <f>"0896082172"</f>
        <v>0896082172</v>
      </c>
      <c r="AH2022" s="2" t="str">
        <f>"9780896082175"</f>
        <v>9780896082175</v>
      </c>
      <c r="AI2022" s="1">
        <v>0.0</v>
      </c>
      <c r="AJ2022" s="1">
        <v>3.86</v>
      </c>
      <c r="AK2022" s="1" t="s">
        <v>8790</v>
      </c>
      <c r="AL2022" s="1" t="s">
        <v>28</v>
      </c>
      <c r="AM2022" s="1">
        <v>249.0</v>
      </c>
      <c r="AN2022" s="1">
        <v>1999.0</v>
      </c>
      <c r="AO2022" s="1">
        <v>1984.0</v>
      </c>
      <c r="AQ2022" s="3">
        <v>43926.0</v>
      </c>
      <c r="AR2022" s="1" t="s">
        <v>31</v>
      </c>
      <c r="AS2022" s="1" t="s">
        <v>8791</v>
      </c>
      <c r="AT2022" s="1" t="s">
        <v>31</v>
      </c>
      <c r="AX2022" s="1">
        <v>0.0</v>
      </c>
      <c r="AY2022" s="1">
        <v>0.0</v>
      </c>
    </row>
    <row r="2023" spans="20:51" ht="15.75" hidden="1">
      <c r="T2023" s="1">
        <v>3.6348525E7</v>
      </c>
      <c r="U2023" s="1"/>
      <c r="V2023" s="1"/>
      <c r="W2023" s="1"/>
      <c r="X2023" s="1"/>
      <c r="Y2023" s="1" t="s">
        <v>8792</v>
      </c>
      <c r="Z2023" s="1" t="s">
        <v>8793</v>
      </c>
      <c r="AA2023" s="1" t="s">
        <v>8794</v>
      </c>
      <c r="AB2023" s="1"/>
      <c r="AC2023" s="1"/>
      <c r="AD2023" s="1"/>
      <c r="AE2023" s="1"/>
      <c r="AG2023" s="2" t="str">
        <f>"0374261598"</f>
        <v>0374261598</v>
      </c>
      <c r="AH2023" s="2" t="str">
        <f>"9780374261597"</f>
        <v>9780374261597</v>
      </c>
      <c r="AI2023" s="1">
        <v>0.0</v>
      </c>
      <c r="AJ2023" s="1">
        <v>3.92</v>
      </c>
      <c r="AK2023" s="1" t="s">
        <v>89</v>
      </c>
      <c r="AL2023" s="1" t="s">
        <v>41</v>
      </c>
      <c r="AM2023" s="1">
        <v>291.0</v>
      </c>
      <c r="AN2023" s="1">
        <v>2018.0</v>
      </c>
      <c r="AO2023" s="1">
        <v>2018.0</v>
      </c>
      <c r="AQ2023" s="3">
        <v>43926.0</v>
      </c>
      <c r="AR2023" s="1" t="s">
        <v>31</v>
      </c>
      <c r="AS2023" s="1" t="s">
        <v>8795</v>
      </c>
      <c r="AT2023" s="1" t="s">
        <v>31</v>
      </c>
      <c r="AX2023" s="1">
        <v>0.0</v>
      </c>
      <c r="AY2023" s="1">
        <v>0.0</v>
      </c>
    </row>
    <row r="2024" spans="20:51" ht="15.75" hidden="1">
      <c r="T2024" s="1">
        <v>5.0088631E7</v>
      </c>
      <c r="U2024" s="1"/>
      <c r="V2024" s="1"/>
      <c r="W2024" s="1"/>
      <c r="X2024" s="1"/>
      <c r="Y2024" s="1" t="s">
        <v>8796</v>
      </c>
      <c r="Z2024" s="1" t="s">
        <v>8797</v>
      </c>
      <c r="AA2024" s="1" t="s">
        <v>8798</v>
      </c>
      <c r="AB2024" s="1"/>
      <c r="AC2024" s="1"/>
      <c r="AD2024" s="1"/>
      <c r="AE2024" s="1"/>
      <c r="AG2024" s="2" t="str">
        <f>"038554376X"</f>
        <v>038554376X</v>
      </c>
      <c r="AH2024" s="2" t="str">
        <f>"9780385543767"</f>
        <v>9780385543767</v>
      </c>
      <c r="AI2024" s="1">
        <v>0.0</v>
      </c>
      <c r="AJ2024" s="1">
        <v>4.16</v>
      </c>
      <c r="AK2024" s="1" t="s">
        <v>686</v>
      </c>
      <c r="AL2024" s="1" t="s">
        <v>41</v>
      </c>
      <c r="AM2024" s="1">
        <v>377.0</v>
      </c>
      <c r="AN2024" s="1">
        <v>2020.0</v>
      </c>
      <c r="AO2024" s="1">
        <v>2020.0</v>
      </c>
      <c r="AQ2024" s="3">
        <v>43926.0</v>
      </c>
      <c r="AR2024" s="1" t="s">
        <v>31</v>
      </c>
      <c r="AS2024" s="1" t="s">
        <v>8799</v>
      </c>
      <c r="AT2024" s="1" t="s">
        <v>31</v>
      </c>
      <c r="AX2024" s="1">
        <v>0.0</v>
      </c>
      <c r="AY2024" s="1">
        <v>0.0</v>
      </c>
    </row>
    <row r="2025" spans="20:51" ht="15.75" hidden="1">
      <c r="T2025" s="1">
        <v>199594.0</v>
      </c>
      <c r="U2025" s="1"/>
      <c r="V2025" s="1"/>
      <c r="W2025" s="1"/>
      <c r="X2025" s="1"/>
      <c r="Y2025" s="1" t="s">
        <v>8800</v>
      </c>
      <c r="Z2025" s="1" t="s">
        <v>8801</v>
      </c>
      <c r="AA2025" s="1" t="s">
        <v>8802</v>
      </c>
      <c r="AB2025" s="1"/>
      <c r="AC2025" s="1"/>
      <c r="AD2025" s="1"/>
      <c r="AE2025" s="1"/>
      <c r="AG2025" s="2" t="str">
        <f>"0521400740"</f>
        <v>0521400740</v>
      </c>
      <c r="AH2025" s="2" t="str">
        <f>"9780521400749"</f>
        <v>9780521400749</v>
      </c>
      <c r="AI2025" s="1">
        <v>0.0</v>
      </c>
      <c r="AJ2025" s="1">
        <v>4.15</v>
      </c>
      <c r="AK2025" s="1" t="s">
        <v>605</v>
      </c>
      <c r="AL2025" s="1" t="s">
        <v>41</v>
      </c>
      <c r="AM2025" s="1">
        <v>483.0</v>
      </c>
      <c r="AN2025" s="1">
        <v>1992.0</v>
      </c>
      <c r="AO2025" s="1">
        <v>1975.0</v>
      </c>
      <c r="AQ2025" s="3">
        <v>43926.0</v>
      </c>
      <c r="AR2025" s="1" t="s">
        <v>31</v>
      </c>
      <c r="AS2025" s="1" t="s">
        <v>8803</v>
      </c>
      <c r="AT2025" s="1" t="s">
        <v>31</v>
      </c>
      <c r="AX2025" s="1">
        <v>0.0</v>
      </c>
      <c r="AY2025" s="1">
        <v>0.0</v>
      </c>
    </row>
    <row r="2026" spans="20:51" ht="15.75" hidden="1">
      <c r="T2026" s="1">
        <v>336843.0</v>
      </c>
      <c r="U2026" s="1"/>
      <c r="V2026" s="1"/>
      <c r="W2026" s="1"/>
      <c r="X2026" s="1"/>
      <c r="Y2026" s="1" t="s">
        <v>8804</v>
      </c>
      <c r="Z2026" s="1" t="s">
        <v>8805</v>
      </c>
      <c r="AA2026" s="1" t="s">
        <v>8806</v>
      </c>
      <c r="AB2026" s="1"/>
      <c r="AC2026" s="1"/>
      <c r="AD2026" s="1"/>
      <c r="AE2026" s="1"/>
      <c r="AF2026" s="1" t="s">
        <v>8807</v>
      </c>
      <c r="AG2026" s="2" t="str">
        <f>"0930762002"</f>
        <v>0930762002</v>
      </c>
      <c r="AH2026" s="2" t="str">
        <f>"9780930762001"</f>
        <v>9780930762001</v>
      </c>
      <c r="AI2026" s="1">
        <v>0.0</v>
      </c>
      <c r="AJ2026" s="1">
        <v>4.5</v>
      </c>
      <c r="AK2026" s="1" t="s">
        <v>8808</v>
      </c>
      <c r="AL2026" s="1" t="s">
        <v>41</v>
      </c>
      <c r="AM2026" s="1">
        <v>113.0</v>
      </c>
      <c r="AN2026" s="1">
        <v>1977.0</v>
      </c>
      <c r="AO2026" s="1">
        <v>1977.0</v>
      </c>
      <c r="AQ2026" s="3">
        <v>43925.0</v>
      </c>
      <c r="AR2026" s="1" t="s">
        <v>31</v>
      </c>
      <c r="AS2026" s="1" t="s">
        <v>8809</v>
      </c>
      <c r="AT2026" s="1" t="s">
        <v>31</v>
      </c>
      <c r="AX2026" s="1">
        <v>0.0</v>
      </c>
      <c r="AY2026" s="1">
        <v>0.0</v>
      </c>
    </row>
    <row r="2027" spans="20:51" ht="15.75" hidden="1">
      <c r="T2027" s="1">
        <v>2.0821371E7</v>
      </c>
      <c r="U2027" s="1"/>
      <c r="V2027" s="1"/>
      <c r="W2027" s="1"/>
      <c r="X2027" s="1"/>
      <c r="Y2027" s="1" t="s">
        <v>8810</v>
      </c>
      <c r="Z2027" s="1" t="s">
        <v>8811</v>
      </c>
      <c r="AA2027" s="1" t="s">
        <v>8812</v>
      </c>
      <c r="AB2027" s="1"/>
      <c r="AC2027" s="1"/>
      <c r="AD2027" s="1"/>
      <c r="AE2027" s="1"/>
      <c r="AG2027" s="2" t="str">
        <f>"0670025852"</f>
        <v>0670025852</v>
      </c>
      <c r="AH2027" s="2" t="str">
        <f>"9780670025855"</f>
        <v>9780670025855</v>
      </c>
      <c r="AI2027" s="1">
        <v>0.0</v>
      </c>
      <c r="AJ2027" s="1">
        <v>4.04</v>
      </c>
      <c r="AK2027" s="1" t="s">
        <v>2179</v>
      </c>
      <c r="AL2027" s="1" t="s">
        <v>41</v>
      </c>
      <c r="AM2027" s="1">
        <v>368.0</v>
      </c>
      <c r="AN2027" s="1">
        <v>2014.0</v>
      </c>
      <c r="AO2027" s="1">
        <v>2014.0</v>
      </c>
      <c r="AQ2027" s="3">
        <v>43925.0</v>
      </c>
      <c r="AR2027" s="1" t="s">
        <v>31</v>
      </c>
      <c r="AS2027" s="1" t="s">
        <v>8813</v>
      </c>
      <c r="AT2027" s="1" t="s">
        <v>31</v>
      </c>
      <c r="AX2027" s="1">
        <v>0.0</v>
      </c>
      <c r="AY2027" s="1">
        <v>0.0</v>
      </c>
    </row>
    <row r="2028" spans="20:51" ht="15.75" hidden="1">
      <c r="T2028" s="1">
        <v>5.1375442E7</v>
      </c>
      <c r="U2028" s="1"/>
      <c r="V2028" s="1"/>
      <c r="W2028" s="1"/>
      <c r="X2028" s="1"/>
      <c r="Y2028" s="1" t="s">
        <v>8814</v>
      </c>
      <c r="Z2028" s="1" t="s">
        <v>8815</v>
      </c>
      <c r="AA2028" s="1" t="s">
        <v>8816</v>
      </c>
      <c r="AB2028" s="1"/>
      <c r="AC2028" s="1"/>
      <c r="AD2028" s="1"/>
      <c r="AE2028" s="1"/>
      <c r="AF2028" s="1" t="s">
        <v>8817</v>
      </c>
      <c r="AG2028" s="2" t="str">
        <f>"1982123079"</f>
        <v>1982123079</v>
      </c>
      <c r="AH2028" s="2" t="str">
        <f>"9781982123079"</f>
        <v>9781982123079</v>
      </c>
      <c r="AI2028" s="1">
        <v>0.0</v>
      </c>
      <c r="AJ2028" s="1">
        <v>4.28</v>
      </c>
      <c r="AK2028" s="1" t="s">
        <v>8818</v>
      </c>
      <c r="AL2028" s="1" t="s">
        <v>41</v>
      </c>
      <c r="AM2028" s="1">
        <v>496.0</v>
      </c>
      <c r="AN2028" s="1">
        <v>2020.0</v>
      </c>
      <c r="AO2028" s="1">
        <v>2020.0</v>
      </c>
      <c r="AQ2028" s="3">
        <v>43925.0</v>
      </c>
      <c r="AR2028" s="1" t="s">
        <v>31</v>
      </c>
      <c r="AS2028" s="1" t="s">
        <v>8819</v>
      </c>
      <c r="AT2028" s="1" t="s">
        <v>31</v>
      </c>
      <c r="AX2028" s="1">
        <v>0.0</v>
      </c>
      <c r="AY2028" s="1">
        <v>0.0</v>
      </c>
    </row>
    <row r="2029" spans="20:51" ht="15.75" hidden="1">
      <c r="T2029" s="1">
        <v>2.0613724E7</v>
      </c>
      <c r="U2029" s="1"/>
      <c r="V2029" s="1"/>
      <c r="W2029" s="1"/>
      <c r="X2029" s="1"/>
      <c r="Y2029" s="1" t="s">
        <v>8820</v>
      </c>
      <c r="Z2029" s="1" t="s">
        <v>8821</v>
      </c>
      <c r="AA2029" s="1" t="s">
        <v>8822</v>
      </c>
      <c r="AB2029" s="1"/>
      <c r="AC2029" s="1"/>
      <c r="AD2029" s="1"/>
      <c r="AE2029" s="1"/>
      <c r="AG2029" s="2" t="str">
        <f>"0374280444"</f>
        <v>0374280444</v>
      </c>
      <c r="AH2029" s="2" t="str">
        <f>"9780374280444"</f>
        <v>9780374280444</v>
      </c>
      <c r="AI2029" s="1">
        <v>0.0</v>
      </c>
      <c r="AJ2029" s="1">
        <v>3.74</v>
      </c>
      <c r="AK2029" s="1" t="s">
        <v>89</v>
      </c>
      <c r="AL2029" s="1" t="s">
        <v>41</v>
      </c>
      <c r="AM2029" s="1">
        <v>256.0</v>
      </c>
      <c r="AN2029" s="1">
        <v>2014.0</v>
      </c>
      <c r="AO2029" s="1">
        <v>2014.0</v>
      </c>
      <c r="AQ2029" s="3">
        <v>43922.0</v>
      </c>
      <c r="AR2029" s="1" t="s">
        <v>31</v>
      </c>
      <c r="AS2029" s="1" t="s">
        <v>8823</v>
      </c>
      <c r="AT2029" s="1" t="s">
        <v>31</v>
      </c>
      <c r="AX2029" s="1">
        <v>0.0</v>
      </c>
      <c r="AY2029" s="1">
        <v>0.0</v>
      </c>
    </row>
    <row r="2030" spans="20:51" ht="15.75" hidden="1">
      <c r="T2030" s="1">
        <v>1.218354E7</v>
      </c>
      <c r="U2030" s="1"/>
      <c r="V2030" s="1"/>
      <c r="W2030" s="1"/>
      <c r="X2030" s="1"/>
      <c r="Y2030" s="1" t="s">
        <v>8824</v>
      </c>
      <c r="Z2030" s="1" t="s">
        <v>8825</v>
      </c>
      <c r="AA2030" s="1" t="s">
        <v>8826</v>
      </c>
      <c r="AB2030" s="1"/>
      <c r="AC2030" s="1"/>
      <c r="AD2030" s="1"/>
      <c r="AE2030" s="1"/>
      <c r="AG2030" s="2" t="str">
        <f>"1597111724"</f>
        <v>1597111724</v>
      </c>
      <c r="AH2030" s="2" t="str">
        <f>"9781597111720"</f>
        <v>9781597111720</v>
      </c>
      <c r="AI2030" s="1">
        <v>0.0</v>
      </c>
      <c r="AJ2030" s="1">
        <v>4.15</v>
      </c>
      <c r="AK2030" s="1" t="s">
        <v>6851</v>
      </c>
      <c r="AL2030" s="1" t="s">
        <v>28</v>
      </c>
      <c r="AM2030" s="1">
        <v>191.0</v>
      </c>
      <c r="AN2030" s="1">
        <v>2011.0</v>
      </c>
      <c r="AO2030" s="1">
        <v>2011.0</v>
      </c>
      <c r="AQ2030" s="3">
        <v>43922.0</v>
      </c>
      <c r="AR2030" s="1" t="s">
        <v>31</v>
      </c>
      <c r="AS2030" s="1" t="s">
        <v>8827</v>
      </c>
      <c r="AT2030" s="1" t="s">
        <v>31</v>
      </c>
      <c r="AX2030" s="1">
        <v>0.0</v>
      </c>
      <c r="AY2030" s="1">
        <v>0.0</v>
      </c>
    </row>
    <row r="2031" spans="20:51" ht="15.75" hidden="1">
      <c r="T2031" s="1">
        <v>4.3260498E7</v>
      </c>
      <c r="U2031" s="1"/>
      <c r="V2031" s="1"/>
      <c r="W2031" s="1"/>
      <c r="X2031" s="1"/>
      <c r="Y2031" s="1" t="s">
        <v>8828</v>
      </c>
      <c r="Z2031" s="1" t="s">
        <v>8829</v>
      </c>
      <c r="AA2031" s="1" t="s">
        <v>8830</v>
      </c>
      <c r="AB2031" s="1"/>
      <c r="AC2031" s="1"/>
      <c r="AD2031" s="1"/>
      <c r="AE2031" s="1"/>
      <c r="AF2031" s="1" t="s">
        <v>8831</v>
      </c>
      <c r="AG2031" s="2" t="str">
        <f t="shared" si="170" ref="AG2031:AH2031">""</f>
        <v/>
      </c>
      <c r="AH2031" s="2" t="str">
        <f t="shared" si="170"/>
        <v/>
      </c>
      <c r="AI2031" s="1">
        <v>0.0</v>
      </c>
      <c r="AJ2031" s="1">
        <v>4.22</v>
      </c>
      <c r="AK2031" s="1" t="s">
        <v>403</v>
      </c>
      <c r="AL2031" s="1" t="s">
        <v>59</v>
      </c>
      <c r="AM2031" s="1">
        <v>290.0</v>
      </c>
      <c r="AN2031" s="1">
        <v>2019.0</v>
      </c>
      <c r="AO2031" s="1">
        <v>2019.0</v>
      </c>
      <c r="AQ2031" s="3">
        <v>43922.0</v>
      </c>
      <c r="AR2031" s="1" t="s">
        <v>31</v>
      </c>
      <c r="AS2031" s="1" t="s">
        <v>8832</v>
      </c>
      <c r="AT2031" s="1" t="s">
        <v>31</v>
      </c>
      <c r="AX2031" s="1">
        <v>0.0</v>
      </c>
      <c r="AY2031" s="1">
        <v>0.0</v>
      </c>
    </row>
    <row r="2032" spans="20:51" ht="15.75" hidden="1">
      <c r="T2032" s="1">
        <v>2.5387807E7</v>
      </c>
      <c r="U2032" s="1"/>
      <c r="V2032" s="1"/>
      <c r="W2032" s="1"/>
      <c r="X2032" s="1"/>
      <c r="Y2032" s="1" t="s">
        <v>8833</v>
      </c>
      <c r="Z2032" s="1" t="s">
        <v>8834</v>
      </c>
      <c r="AA2032" s="1" t="s">
        <v>8835</v>
      </c>
      <c r="AB2032" s="1"/>
      <c r="AC2032" s="1"/>
      <c r="AD2032" s="1"/>
      <c r="AE2032" s="1"/>
      <c r="AF2032" s="1" t="s">
        <v>8836</v>
      </c>
      <c r="AG2032" s="2" t="str">
        <f>"1784780960"</f>
        <v>1784780960</v>
      </c>
      <c r="AH2032" s="2" t="str">
        <f>"9781784780968"</f>
        <v>9781784780968</v>
      </c>
      <c r="AI2032" s="1">
        <v>0.0</v>
      </c>
      <c r="AJ2032" s="1">
        <v>3.99</v>
      </c>
      <c r="AK2032" s="1" t="s">
        <v>1973</v>
      </c>
      <c r="AL2032" s="1" t="s">
        <v>28</v>
      </c>
      <c r="AM2032" s="1">
        <v>245.0</v>
      </c>
      <c r="AN2032" s="1">
        <v>2015.0</v>
      </c>
      <c r="AO2032" s="1">
        <v>2015.0</v>
      </c>
      <c r="AQ2032" s="3">
        <v>43922.0</v>
      </c>
      <c r="AR2032" s="1" t="s">
        <v>31</v>
      </c>
      <c r="AS2032" s="1" t="s">
        <v>8837</v>
      </c>
      <c r="AT2032" s="1" t="s">
        <v>31</v>
      </c>
      <c r="AX2032" s="1">
        <v>0.0</v>
      </c>
      <c r="AY2032" s="1">
        <v>0.0</v>
      </c>
    </row>
    <row r="2033" spans="20:51" ht="15.75" hidden="1">
      <c r="T2033" s="1">
        <v>304049.0</v>
      </c>
      <c r="U2033" s="1"/>
      <c r="V2033" s="1"/>
      <c r="W2033" s="1"/>
      <c r="X2033" s="1"/>
      <c r="Y2033" s="1" t="s">
        <v>8838</v>
      </c>
      <c r="Z2033" s="1" t="s">
        <v>2955</v>
      </c>
      <c r="AA2033" s="1" t="s">
        <v>2956</v>
      </c>
      <c r="AB2033" s="1"/>
      <c r="AC2033" s="1"/>
      <c r="AD2033" s="1"/>
      <c r="AE2033" s="1"/>
      <c r="AF2033" s="1" t="s">
        <v>8839</v>
      </c>
      <c r="AG2033" s="2" t="str">
        <f>"0803268572"</f>
        <v>0803268572</v>
      </c>
      <c r="AH2033" s="2" t="str">
        <f>"9780803268579"</f>
        <v>9780803268579</v>
      </c>
      <c r="AI2033" s="1">
        <v>0.0</v>
      </c>
      <c r="AJ2033" s="1">
        <v>3.8</v>
      </c>
      <c r="AK2033" s="1" t="s">
        <v>4868</v>
      </c>
      <c r="AL2033" s="1" t="s">
        <v>28</v>
      </c>
      <c r="AM2033" s="1">
        <v>288.0</v>
      </c>
      <c r="AN2033" s="1">
        <v>1982.0</v>
      </c>
      <c r="AO2033" s="1">
        <v>1973.0</v>
      </c>
      <c r="AQ2033" s="3">
        <v>43922.0</v>
      </c>
      <c r="AR2033" s="1" t="s">
        <v>31</v>
      </c>
      <c r="AS2033" s="1" t="s">
        <v>8840</v>
      </c>
      <c r="AT2033" s="1" t="s">
        <v>31</v>
      </c>
      <c r="AX2033" s="1">
        <v>0.0</v>
      </c>
      <c r="AY2033" s="1">
        <v>0.0</v>
      </c>
    </row>
    <row r="2034" spans="20:51" ht="15.75" hidden="1">
      <c r="T2034" s="1">
        <v>1570434.0</v>
      </c>
      <c r="U2034" s="1"/>
      <c r="V2034" s="1"/>
      <c r="W2034" s="1"/>
      <c r="X2034" s="1"/>
      <c r="Y2034" s="1" t="s">
        <v>8841</v>
      </c>
      <c r="Z2034" s="1" t="s">
        <v>8842</v>
      </c>
      <c r="AA2034" s="1" t="s">
        <v>8843</v>
      </c>
      <c r="AB2034" s="1"/>
      <c r="AC2034" s="1"/>
      <c r="AD2034" s="1"/>
      <c r="AE2034" s="1"/>
      <c r="AG2034" s="2" t="str">
        <f>"0816631298"</f>
        <v>0816631298</v>
      </c>
      <c r="AH2034" s="2" t="str">
        <f>"9780816631292"</f>
        <v>9780816631292</v>
      </c>
      <c r="AI2034" s="1">
        <v>0.0</v>
      </c>
      <c r="AJ2034" s="1">
        <v>4.24</v>
      </c>
      <c r="AK2034" s="1" t="s">
        <v>698</v>
      </c>
      <c r="AL2034" s="1" t="s">
        <v>28</v>
      </c>
      <c r="AM2034" s="1">
        <v>320.0</v>
      </c>
      <c r="AN2034" s="1">
        <v>1999.0</v>
      </c>
      <c r="AO2034" s="1">
        <v>1969.0</v>
      </c>
      <c r="AQ2034" s="3">
        <v>43922.0</v>
      </c>
      <c r="AR2034" s="1" t="s">
        <v>31</v>
      </c>
      <c r="AS2034" s="1" t="s">
        <v>8844</v>
      </c>
      <c r="AT2034" s="1" t="s">
        <v>31</v>
      </c>
      <c r="AX2034" s="1">
        <v>0.0</v>
      </c>
      <c r="AY2034" s="1">
        <v>0.0</v>
      </c>
    </row>
    <row r="2035" spans="20:51" ht="15.75" hidden="1">
      <c r="T2035" s="1">
        <v>608283.0</v>
      </c>
      <c r="U2035" s="1"/>
      <c r="V2035" s="1"/>
      <c r="W2035" s="1"/>
      <c r="X2035" s="1"/>
      <c r="Y2035" s="1" t="s">
        <v>8845</v>
      </c>
      <c r="Z2035" s="1" t="s">
        <v>5084</v>
      </c>
      <c r="AA2035" s="1" t="s">
        <v>8846</v>
      </c>
      <c r="AB2035" s="1"/>
      <c r="AC2035" s="1"/>
      <c r="AD2035" s="1"/>
      <c r="AE2035" s="1"/>
      <c r="AG2035" s="2" t="str">
        <f>"0971904723"</f>
        <v>0971904723</v>
      </c>
      <c r="AH2035" s="2" t="str">
        <f>"9780971904729"</f>
        <v>9780971904729</v>
      </c>
      <c r="AI2035" s="1">
        <v>0.0</v>
      </c>
      <c r="AJ2035" s="1">
        <v>3.43</v>
      </c>
      <c r="AK2035" s="1" t="s">
        <v>3599</v>
      </c>
      <c r="AL2035" s="1" t="s">
        <v>28</v>
      </c>
      <c r="AM2035" s="1">
        <v>144.0</v>
      </c>
      <c r="AN2035" s="1">
        <v>2002.0</v>
      </c>
      <c r="AO2035" s="1">
        <v>2001.0</v>
      </c>
      <c r="AQ2035" s="3">
        <v>43922.0</v>
      </c>
      <c r="AR2035" s="1" t="s">
        <v>31</v>
      </c>
      <c r="AS2035" s="1" t="s">
        <v>8847</v>
      </c>
      <c r="AT2035" s="1" t="s">
        <v>31</v>
      </c>
      <c r="AX2035" s="1">
        <v>0.0</v>
      </c>
      <c r="AY2035" s="1">
        <v>0.0</v>
      </c>
    </row>
    <row r="2036" spans="20:51" ht="15.75" hidden="1">
      <c r="T2036" s="1">
        <v>5.2534874E7</v>
      </c>
      <c r="U2036" s="1"/>
      <c r="V2036" s="1"/>
      <c r="W2036" s="1"/>
      <c r="X2036" s="1"/>
      <c r="Y2036" s="1" t="s">
        <v>8848</v>
      </c>
      <c r="Z2036" s="1" t="s">
        <v>8849</v>
      </c>
      <c r="AA2036" s="1" t="s">
        <v>8850</v>
      </c>
      <c r="AB2036" s="1"/>
      <c r="AC2036" s="1"/>
      <c r="AD2036" s="1"/>
      <c r="AE2036" s="1"/>
      <c r="AG2036" s="2" t="str">
        <f>"1944700994"</f>
        <v>1944700994</v>
      </c>
      <c r="AH2036" s="2" t="str">
        <f>"9781944700997"</f>
        <v>9781944700997</v>
      </c>
      <c r="AI2036" s="1">
        <v>0.0</v>
      </c>
      <c r="AJ2036" s="1">
        <v>3.98</v>
      </c>
      <c r="AK2036" s="1" t="s">
        <v>8851</v>
      </c>
      <c r="AL2036" s="1" t="s">
        <v>8852</v>
      </c>
      <c r="AM2036" s="1">
        <v>295.0</v>
      </c>
      <c r="AN2036" s="1">
        <v>2020.0</v>
      </c>
      <c r="AQ2036" s="3">
        <v>43921.0</v>
      </c>
      <c r="AR2036" s="1" t="s">
        <v>31</v>
      </c>
      <c r="AS2036" s="1" t="s">
        <v>8853</v>
      </c>
      <c r="AT2036" s="1" t="s">
        <v>31</v>
      </c>
      <c r="AX2036" s="1">
        <v>0.0</v>
      </c>
      <c r="AY2036" s="1">
        <v>0.0</v>
      </c>
    </row>
    <row r="2037" spans="20:51" ht="15.75" hidden="1">
      <c r="T2037" s="1">
        <v>2208221.0</v>
      </c>
      <c r="U2037" s="1"/>
      <c r="V2037" s="1"/>
      <c r="W2037" s="1"/>
      <c r="X2037" s="1"/>
      <c r="Y2037" s="1" t="s">
        <v>8854</v>
      </c>
      <c r="Z2037" s="1" t="s">
        <v>8855</v>
      </c>
      <c r="AA2037" s="1" t="s">
        <v>8856</v>
      </c>
      <c r="AB2037" s="1"/>
      <c r="AC2037" s="1"/>
      <c r="AD2037" s="1"/>
      <c r="AE2037" s="1"/>
      <c r="AF2037" s="1" t="s">
        <v>8857</v>
      </c>
      <c r="AG2037" s="2" t="str">
        <f>"0941419401"</f>
        <v>0941419401</v>
      </c>
      <c r="AH2037" s="2" t="str">
        <f>"9780941419406"</f>
        <v>9780941419406</v>
      </c>
      <c r="AI2037" s="1">
        <v>0.0</v>
      </c>
      <c r="AJ2037" s="1">
        <v>3.84</v>
      </c>
      <c r="AK2037" s="1" t="s">
        <v>8858</v>
      </c>
      <c r="AL2037" s="1" t="s">
        <v>41</v>
      </c>
      <c r="AM2037" s="1">
        <v>256.0</v>
      </c>
      <c r="AN2037" s="1">
        <v>1989.0</v>
      </c>
      <c r="AO2037" s="1">
        <v>1985.0</v>
      </c>
      <c r="AQ2037" s="3">
        <v>43921.0</v>
      </c>
      <c r="AR2037" s="1" t="s">
        <v>31</v>
      </c>
      <c r="AS2037" s="1" t="s">
        <v>8859</v>
      </c>
      <c r="AT2037" s="1" t="s">
        <v>31</v>
      </c>
      <c r="AX2037" s="1">
        <v>0.0</v>
      </c>
      <c r="AY2037" s="1">
        <v>0.0</v>
      </c>
    </row>
    <row r="2038" spans="20:51" ht="15.75" hidden="1">
      <c r="T2038" s="1">
        <v>12530.0</v>
      </c>
      <c r="U2038" s="1"/>
      <c r="V2038" s="1"/>
      <c r="W2038" s="1"/>
      <c r="X2038" s="1"/>
      <c r="Y2038" s="1" t="s">
        <v>8860</v>
      </c>
      <c r="Z2038" s="1" t="s">
        <v>7456</v>
      </c>
      <c r="AA2038" s="1" t="s">
        <v>7457</v>
      </c>
      <c r="AB2038" s="1"/>
      <c r="AC2038" s="1"/>
      <c r="AD2038" s="1"/>
      <c r="AE2038" s="1"/>
      <c r="AG2038" s="2" t="str">
        <f>"0060919884"</f>
        <v>0060919884</v>
      </c>
      <c r="AH2038" s="2" t="str">
        <f>"9780060919887"</f>
        <v>9780060919887</v>
      </c>
      <c r="AI2038" s="1">
        <v>0.0</v>
      </c>
      <c r="AJ2038" s="1">
        <v>3.98</v>
      </c>
      <c r="AK2038" s="1" t="s">
        <v>8861</v>
      </c>
      <c r="AL2038" s="1" t="s">
        <v>28</v>
      </c>
      <c r="AM2038" s="1">
        <v>111.0</v>
      </c>
      <c r="AN2038" s="1">
        <v>2013.0</v>
      </c>
      <c r="AO2038" s="1">
        <v>1989.0</v>
      </c>
      <c r="AQ2038" s="3">
        <v>43921.0</v>
      </c>
      <c r="AR2038" s="1" t="s">
        <v>31</v>
      </c>
      <c r="AS2038" s="1" t="s">
        <v>8862</v>
      </c>
      <c r="AT2038" s="1" t="s">
        <v>31</v>
      </c>
      <c r="AX2038" s="1">
        <v>0.0</v>
      </c>
      <c r="AY2038" s="1">
        <v>0.0</v>
      </c>
    </row>
    <row r="2039" spans="20:51" ht="15.75" hidden="1">
      <c r="T2039" s="1">
        <v>585474.0</v>
      </c>
      <c r="U2039" s="1"/>
      <c r="V2039" s="1"/>
      <c r="W2039" s="1"/>
      <c r="X2039" s="1"/>
      <c r="Y2039" s="1" t="s">
        <v>8863</v>
      </c>
      <c r="Z2039" s="1" t="s">
        <v>8864</v>
      </c>
      <c r="AA2039" s="1" t="s">
        <v>8865</v>
      </c>
      <c r="AB2039" s="1"/>
      <c r="AC2039" s="1"/>
      <c r="AD2039" s="1"/>
      <c r="AE2039" s="1"/>
      <c r="AG2039" s="2" t="str">
        <f>"0062720406"</f>
        <v>0062720406</v>
      </c>
      <c r="AH2039" s="2" t="str">
        <f>"9780062720405"</f>
        <v>9780062720405</v>
      </c>
      <c r="AI2039" s="1">
        <v>0.0</v>
      </c>
      <c r="AJ2039" s="1">
        <v>3.89</v>
      </c>
      <c r="AK2039" s="1" t="s">
        <v>474</v>
      </c>
      <c r="AL2039" s="1" t="s">
        <v>28</v>
      </c>
      <c r="AM2039" s="1">
        <v>272.0</v>
      </c>
      <c r="AN2039" s="1">
        <v>1993.0</v>
      </c>
      <c r="AO2039" s="1">
        <v>1988.0</v>
      </c>
      <c r="AQ2039" s="3">
        <v>43921.0</v>
      </c>
      <c r="AR2039" s="1" t="s">
        <v>31</v>
      </c>
      <c r="AS2039" s="1" t="s">
        <v>8866</v>
      </c>
      <c r="AT2039" s="1" t="s">
        <v>31</v>
      </c>
      <c r="AX2039" s="1">
        <v>0.0</v>
      </c>
      <c r="AY2039" s="1">
        <v>0.0</v>
      </c>
    </row>
    <row r="2040" spans="20:51" ht="15.75" hidden="1">
      <c r="T2040" s="1">
        <v>53343.0</v>
      </c>
      <c r="U2040" s="1"/>
      <c r="V2040" s="1"/>
      <c r="W2040" s="1"/>
      <c r="X2040" s="1"/>
      <c r="Y2040" s="1" t="s">
        <v>8867</v>
      </c>
      <c r="Z2040" s="1" t="s">
        <v>8864</v>
      </c>
      <c r="AA2040" s="1" t="s">
        <v>8865</v>
      </c>
      <c r="AB2040" s="1"/>
      <c r="AC2040" s="1"/>
      <c r="AD2040" s="1"/>
      <c r="AE2040" s="1"/>
      <c r="AG2040" s="2" t="str">
        <f>"0060891548"</f>
        <v>0060891548</v>
      </c>
      <c r="AH2040" s="2" t="str">
        <f>"9780060891541"</f>
        <v>9780060891541</v>
      </c>
      <c r="AI2040" s="1">
        <v>0.0</v>
      </c>
      <c r="AJ2040" s="1">
        <v>4.24</v>
      </c>
      <c r="AK2040" s="1" t="s">
        <v>474</v>
      </c>
      <c r="AL2040" s="1" t="s">
        <v>28</v>
      </c>
      <c r="AM2040" s="1">
        <v>321.0</v>
      </c>
      <c r="AN2040" s="1">
        <v>2006.0</v>
      </c>
      <c r="AO2040" s="1">
        <v>1976.0</v>
      </c>
      <c r="AQ2040" s="3">
        <v>43921.0</v>
      </c>
      <c r="AR2040" s="1" t="s">
        <v>31</v>
      </c>
      <c r="AS2040" s="1" t="s">
        <v>8868</v>
      </c>
      <c r="AT2040" s="1" t="s">
        <v>31</v>
      </c>
      <c r="AX2040" s="1">
        <v>0.0</v>
      </c>
      <c r="AY2040" s="1">
        <v>0.0</v>
      </c>
    </row>
    <row r="2041" spans="20:51" ht="15.75" hidden="1">
      <c r="T2041" s="1">
        <v>6629709.0</v>
      </c>
      <c r="U2041" s="1"/>
      <c r="V2041" s="1"/>
      <c r="W2041" s="1"/>
      <c r="X2041" s="1"/>
      <c r="Y2041" s="1" t="s">
        <v>8869</v>
      </c>
      <c r="Z2041" s="1" t="s">
        <v>8870</v>
      </c>
      <c r="AA2041" s="1" t="s">
        <v>8871</v>
      </c>
      <c r="AB2041" s="1"/>
      <c r="AC2041" s="1"/>
      <c r="AD2041" s="1"/>
      <c r="AE2041" s="1"/>
      <c r="AG2041" s="2" t="str">
        <f>"0061766100"</f>
        <v>0061766100</v>
      </c>
      <c r="AH2041" s="2" t="str">
        <f>"9780061766107"</f>
        <v>9780061766107</v>
      </c>
      <c r="AI2041" s="1">
        <v>0.0</v>
      </c>
      <c r="AJ2041" s="1">
        <v>3.52</v>
      </c>
      <c r="AK2041" s="1" t="s">
        <v>474</v>
      </c>
      <c r="AL2041" s="1" t="s">
        <v>28</v>
      </c>
      <c r="AM2041" s="1">
        <v>218.0</v>
      </c>
      <c r="AN2041" s="1">
        <v>2010.0</v>
      </c>
      <c r="AO2041" s="1">
        <v>2010.0</v>
      </c>
      <c r="AQ2041" s="3">
        <v>43921.0</v>
      </c>
      <c r="AR2041" s="1" t="s">
        <v>31</v>
      </c>
      <c r="AS2041" s="1" t="s">
        <v>8872</v>
      </c>
      <c r="AT2041" s="1" t="s">
        <v>31</v>
      </c>
      <c r="AX2041" s="1">
        <v>0.0</v>
      </c>
      <c r="AY2041" s="1">
        <v>0.0</v>
      </c>
    </row>
    <row r="2042" spans="20:51" ht="15.75" hidden="1">
      <c r="T2042" s="1">
        <v>1.3236124E7</v>
      </c>
      <c r="U2042" s="1"/>
      <c r="V2042" s="1"/>
      <c r="W2042" s="1"/>
      <c r="X2042" s="1"/>
      <c r="Y2042" s="1" t="s">
        <v>8873</v>
      </c>
      <c r="Z2042" s="1" t="s">
        <v>8874</v>
      </c>
      <c r="AA2042" s="1" t="s">
        <v>8875</v>
      </c>
      <c r="AB2042" s="1"/>
      <c r="AC2042" s="1"/>
      <c r="AD2042" s="1"/>
      <c r="AE2042" s="1"/>
      <c r="AG2042" s="2" t="str">
        <f t="shared" si="171" ref="AG2042:AH2042">""</f>
        <v/>
      </c>
      <c r="AH2042" s="2" t="str">
        <f t="shared" si="171"/>
        <v/>
      </c>
      <c r="AI2042" s="1">
        <v>0.0</v>
      </c>
      <c r="AJ2042" s="1">
        <v>4.48</v>
      </c>
      <c r="AK2042" s="1" t="s">
        <v>2872</v>
      </c>
      <c r="AL2042" s="1" t="s">
        <v>28</v>
      </c>
      <c r="AM2042" s="1">
        <v>320.0</v>
      </c>
      <c r="AN2042" s="1">
        <v>2019.0</v>
      </c>
      <c r="AO2042" s="1">
        <v>2019.0</v>
      </c>
      <c r="AQ2042" s="3">
        <v>43919.0</v>
      </c>
      <c r="AR2042" s="1" t="s">
        <v>31</v>
      </c>
      <c r="AS2042" s="1" t="s">
        <v>8876</v>
      </c>
      <c r="AT2042" s="1" t="s">
        <v>31</v>
      </c>
      <c r="AX2042" s="1">
        <v>0.0</v>
      </c>
      <c r="AY2042" s="1">
        <v>0.0</v>
      </c>
    </row>
    <row r="2043" spans="20:51" ht="15.75" hidden="1">
      <c r="T2043" s="1">
        <v>2.3461426E7</v>
      </c>
      <c r="U2043" s="1"/>
      <c r="V2043" s="1"/>
      <c r="W2043" s="1"/>
      <c r="X2043" s="1"/>
      <c r="Y2043" s="1" t="s">
        <v>8877</v>
      </c>
      <c r="Z2043" s="1" t="s">
        <v>3049</v>
      </c>
      <c r="AA2043" s="1" t="s">
        <v>3050</v>
      </c>
      <c r="AB2043" s="1"/>
      <c r="AC2043" s="1"/>
      <c r="AD2043" s="1"/>
      <c r="AE2043" s="1"/>
      <c r="AF2043" s="1" t="s">
        <v>8878</v>
      </c>
      <c r="AG2043" s="2" t="str">
        <f t="shared" si="172" ref="AG2043:AH2043">""</f>
        <v/>
      </c>
      <c r="AH2043" s="2" t="str">
        <f t="shared" si="172"/>
        <v/>
      </c>
      <c r="AI2043" s="1">
        <v>0.0</v>
      </c>
      <c r="AJ2043" s="1">
        <v>3.93</v>
      </c>
      <c r="AK2043" s="1" t="s">
        <v>4431</v>
      </c>
      <c r="AL2043" s="1" t="s">
        <v>28</v>
      </c>
      <c r="AM2043" s="1">
        <v>229.0</v>
      </c>
      <c r="AN2043" s="1">
        <v>2015.0</v>
      </c>
      <c r="AO2043" s="1">
        <v>1977.0</v>
      </c>
      <c r="AQ2043" s="3">
        <v>43919.0</v>
      </c>
      <c r="AR2043" s="1" t="s">
        <v>31</v>
      </c>
      <c r="AS2043" s="1" t="s">
        <v>8879</v>
      </c>
      <c r="AT2043" s="1" t="s">
        <v>31</v>
      </c>
      <c r="AX2043" s="1">
        <v>0.0</v>
      </c>
      <c r="AY2043" s="1">
        <v>0.0</v>
      </c>
    </row>
    <row r="2044" spans="20:51" ht="15.75" hidden="1">
      <c r="T2044" s="1">
        <v>4.0139532E7</v>
      </c>
      <c r="U2044" s="1"/>
      <c r="V2044" s="1"/>
      <c r="W2044" s="1"/>
      <c r="X2044" s="1"/>
      <c r="Y2044" s="1" t="s">
        <v>8880</v>
      </c>
      <c r="Z2044" s="1" t="s">
        <v>8881</v>
      </c>
      <c r="AA2044" s="1" t="s">
        <v>8882</v>
      </c>
      <c r="AB2044" s="1"/>
      <c r="AC2044" s="1"/>
      <c r="AD2044" s="1"/>
      <c r="AE2044" s="1"/>
      <c r="AF2044" s="1" t="s">
        <v>8883</v>
      </c>
      <c r="AG2044" s="2" t="str">
        <f>"031652428X"</f>
        <v>031652428X</v>
      </c>
      <c r="AH2044" s="2" t="str">
        <f>"9780316524285"</f>
        <v>9780316524285</v>
      </c>
      <c r="AI2044" s="1">
        <v>0.0</v>
      </c>
      <c r="AJ2044" s="1">
        <v>4.26</v>
      </c>
      <c r="AK2044" s="1" t="s">
        <v>380</v>
      </c>
      <c r="AL2044" s="1" t="s">
        <v>41</v>
      </c>
      <c r="AM2044" s="1">
        <v>336.0</v>
      </c>
      <c r="AN2044" s="1">
        <v>2019.0</v>
      </c>
      <c r="AO2044" s="1">
        <v>2019.0</v>
      </c>
      <c r="AQ2044" s="3">
        <v>43919.0</v>
      </c>
      <c r="AR2044" s="1" t="s">
        <v>31</v>
      </c>
      <c r="AS2044" s="1" t="s">
        <v>8884</v>
      </c>
      <c r="AT2044" s="1" t="s">
        <v>31</v>
      </c>
      <c r="AX2044" s="1">
        <v>0.0</v>
      </c>
      <c r="AY2044" s="1">
        <v>0.0</v>
      </c>
    </row>
    <row r="2045" spans="20:51" ht="15.75" hidden="1">
      <c r="T2045" s="1">
        <v>9644.0</v>
      </c>
      <c r="U2045" s="1"/>
      <c r="V2045" s="1"/>
      <c r="W2045" s="1"/>
      <c r="X2045" s="1"/>
      <c r="Y2045" s="1" t="s">
        <v>8885</v>
      </c>
      <c r="Z2045" s="1" t="s">
        <v>2089</v>
      </c>
      <c r="AA2045" s="1" t="s">
        <v>2090</v>
      </c>
      <c r="AB2045" s="1"/>
      <c r="AC2045" s="1"/>
      <c r="AD2045" s="1"/>
      <c r="AE2045" s="1"/>
      <c r="AG2045" s="2" t="str">
        <f>"0143036351"</f>
        <v>0143036351</v>
      </c>
      <c r="AH2045" s="2" t="str">
        <f>"9780143036357"</f>
        <v>9780143036357</v>
      </c>
      <c r="AI2045" s="1">
        <v>0.0</v>
      </c>
      <c r="AJ2045" s="1">
        <v>4.02</v>
      </c>
      <c r="AK2045" s="1" t="s">
        <v>460</v>
      </c>
      <c r="AL2045" s="1" t="s">
        <v>28</v>
      </c>
      <c r="AM2045" s="1">
        <v>120.0</v>
      </c>
      <c r="AN2045" s="1">
        <v>2005.0</v>
      </c>
      <c r="AO2045" s="1">
        <v>1946.0</v>
      </c>
      <c r="AQ2045" s="3">
        <v>43919.0</v>
      </c>
      <c r="AR2045" s="1" t="s">
        <v>31</v>
      </c>
      <c r="AS2045" s="1" t="s">
        <v>8886</v>
      </c>
      <c r="AT2045" s="1" t="s">
        <v>31</v>
      </c>
      <c r="AX2045" s="1">
        <v>0.0</v>
      </c>
      <c r="AY2045" s="1">
        <v>0.0</v>
      </c>
    </row>
    <row r="2046" spans="20:51" ht="15.75" hidden="1">
      <c r="T2046" s="1">
        <v>2.5743316E7</v>
      </c>
      <c r="U2046" s="1"/>
      <c r="V2046" s="1"/>
      <c r="W2046" s="1"/>
      <c r="X2046" s="1"/>
      <c r="Y2046" s="1" t="s">
        <v>8887</v>
      </c>
      <c r="Z2046" s="1" t="s">
        <v>8888</v>
      </c>
      <c r="AA2046" s="1" t="s">
        <v>8889</v>
      </c>
      <c r="AB2046" s="1"/>
      <c r="AC2046" s="1"/>
      <c r="AD2046" s="1"/>
      <c r="AE2046" s="1"/>
      <c r="AG2046" s="2" t="str">
        <f t="shared" si="173" ref="AG2046:AH2046">""</f>
        <v/>
      </c>
      <c r="AH2046" s="2" t="str">
        <f t="shared" si="173"/>
        <v/>
      </c>
      <c r="AI2046" s="1">
        <v>0.0</v>
      </c>
      <c r="AJ2046" s="1">
        <v>4.06</v>
      </c>
      <c r="AK2046" s="1" t="s">
        <v>988</v>
      </c>
      <c r="AM2046" s="1">
        <v>416.0</v>
      </c>
      <c r="AN2046" s="1">
        <v>2016.0</v>
      </c>
      <c r="AO2046" s="1">
        <v>2016.0</v>
      </c>
      <c r="AQ2046" s="3">
        <v>43919.0</v>
      </c>
      <c r="AR2046" s="1" t="s">
        <v>31</v>
      </c>
      <c r="AS2046" s="1" t="s">
        <v>8890</v>
      </c>
      <c r="AT2046" s="1" t="s">
        <v>31</v>
      </c>
      <c r="AX2046" s="1">
        <v>0.0</v>
      </c>
      <c r="AY2046" s="1">
        <v>0.0</v>
      </c>
    </row>
    <row r="2047" spans="20:51" ht="15.75" hidden="1">
      <c r="T2047" s="1">
        <v>2.5938081E7</v>
      </c>
      <c r="U2047" s="1"/>
      <c r="V2047" s="1"/>
      <c r="W2047" s="1"/>
      <c r="X2047" s="1"/>
      <c r="Y2047" s="1" t="s">
        <v>8891</v>
      </c>
      <c r="Z2047" s="1" t="s">
        <v>8892</v>
      </c>
      <c r="AA2047" s="1" t="s">
        <v>8893</v>
      </c>
      <c r="AB2047" s="1"/>
      <c r="AC2047" s="1"/>
      <c r="AD2047" s="1"/>
      <c r="AE2047" s="1"/>
      <c r="AG2047" s="2" t="str">
        <f>"1782116281"</f>
        <v>1782116281</v>
      </c>
      <c r="AH2047" s="2" t="str">
        <f>"9781782116288"</f>
        <v>9781782116288</v>
      </c>
      <c r="AI2047" s="1">
        <v>0.0</v>
      </c>
      <c r="AJ2047" s="1">
        <v>3.88</v>
      </c>
      <c r="AK2047" s="1" t="s">
        <v>8894</v>
      </c>
      <c r="AL2047" s="1" t="s">
        <v>28</v>
      </c>
      <c r="AM2047" s="1">
        <v>98.0</v>
      </c>
      <c r="AN2047" s="1">
        <v>2015.0</v>
      </c>
      <c r="AO2047" s="1">
        <v>2002.0</v>
      </c>
      <c r="AQ2047" s="3">
        <v>43919.0</v>
      </c>
      <c r="AR2047" s="1" t="s">
        <v>31</v>
      </c>
      <c r="AS2047" s="1" t="s">
        <v>8895</v>
      </c>
      <c r="AT2047" s="1" t="s">
        <v>31</v>
      </c>
      <c r="AX2047" s="1">
        <v>0.0</v>
      </c>
      <c r="AY2047" s="1">
        <v>0.0</v>
      </c>
    </row>
    <row r="2048" spans="20:51" ht="15.75" hidden="1">
      <c r="T2048" s="1">
        <v>46890.0</v>
      </c>
      <c r="U2048" s="1"/>
      <c r="V2048" s="1"/>
      <c r="W2048" s="1"/>
      <c r="X2048" s="1"/>
      <c r="Y2048" s="1" t="s">
        <v>8896</v>
      </c>
      <c r="Z2048" s="1" t="s">
        <v>1964</v>
      </c>
      <c r="AA2048" s="1" t="s">
        <v>1965</v>
      </c>
      <c r="AB2048" s="1"/>
      <c r="AC2048" s="1"/>
      <c r="AD2048" s="1"/>
      <c r="AE2048" s="1"/>
      <c r="AG2048" s="2" t="str">
        <f>"0374527229"</f>
        <v>0374527229</v>
      </c>
      <c r="AH2048" s="2" t="str">
        <f>"9780374527228"</f>
        <v>9780374527228</v>
      </c>
      <c r="AI2048" s="1">
        <v>0.0</v>
      </c>
      <c r="AJ2048" s="1">
        <v>4.11</v>
      </c>
      <c r="AK2048" s="1" t="s">
        <v>1231</v>
      </c>
      <c r="AL2048" s="1" t="s">
        <v>28</v>
      </c>
      <c r="AM2048" s="1">
        <v>162.0</v>
      </c>
      <c r="AN2048" s="1">
        <v>2000.0</v>
      </c>
      <c r="AO2048" s="1">
        <v>1998.0</v>
      </c>
      <c r="AQ2048" s="3">
        <v>43919.0</v>
      </c>
      <c r="AR2048" s="1" t="s">
        <v>31</v>
      </c>
      <c r="AS2048" s="1" t="s">
        <v>8897</v>
      </c>
      <c r="AT2048" s="1" t="s">
        <v>31</v>
      </c>
      <c r="AX2048" s="1">
        <v>0.0</v>
      </c>
      <c r="AY2048" s="1">
        <v>0.0</v>
      </c>
    </row>
    <row r="2049" spans="20:51" ht="15.75" hidden="1">
      <c r="T2049" s="1">
        <v>16713.0</v>
      </c>
      <c r="U2049" s="1"/>
      <c r="V2049" s="1"/>
      <c r="W2049" s="1"/>
      <c r="X2049" s="1"/>
      <c r="Y2049" s="1" t="s">
        <v>8898</v>
      </c>
      <c r="Z2049" s="1" t="s">
        <v>2373</v>
      </c>
      <c r="AA2049" s="1" t="s">
        <v>2374</v>
      </c>
      <c r="AB2049" s="1"/>
      <c r="AC2049" s="1"/>
      <c r="AD2049" s="1"/>
      <c r="AE2049" s="1"/>
      <c r="AG2049" s="2" t="str">
        <f>"1400076811"</f>
        <v>1400076811</v>
      </c>
      <c r="AH2049" s="2" t="str">
        <f>"9781400076819"</f>
        <v>9781400076819</v>
      </c>
      <c r="AI2049" s="1">
        <v>0.0</v>
      </c>
      <c r="AJ2049" s="1">
        <v>3.63</v>
      </c>
      <c r="AK2049" s="1" t="s">
        <v>83</v>
      </c>
      <c r="AL2049" s="1" t="s">
        <v>28</v>
      </c>
      <c r="AM2049" s="1">
        <v>149.0</v>
      </c>
      <c r="AN2049" s="1">
        <v>2006.0</v>
      </c>
      <c r="AO2049" s="1">
        <v>2005.0</v>
      </c>
      <c r="AQ2049" s="3">
        <v>43919.0</v>
      </c>
      <c r="AR2049" s="1" t="s">
        <v>31</v>
      </c>
      <c r="AS2049" s="1" t="s">
        <v>8899</v>
      </c>
      <c r="AT2049" s="1" t="s">
        <v>31</v>
      </c>
      <c r="AX2049" s="1">
        <v>0.0</v>
      </c>
      <c r="AY2049" s="1">
        <v>0.0</v>
      </c>
    </row>
    <row r="2050" spans="20:51" ht="15.75" hidden="1">
      <c r="T2050" s="1">
        <v>1.6059462E7</v>
      </c>
      <c r="U2050" s="1"/>
      <c r="V2050" s="1"/>
      <c r="W2050" s="1"/>
      <c r="X2050" s="1"/>
      <c r="Y2050" s="1" t="s">
        <v>8900</v>
      </c>
      <c r="Z2050" s="1" t="s">
        <v>1001</v>
      </c>
      <c r="AA2050" s="1" t="s">
        <v>1002</v>
      </c>
      <c r="AB2050" s="1"/>
      <c r="AC2050" s="1"/>
      <c r="AD2050" s="1"/>
      <c r="AE2050" s="1"/>
      <c r="AF2050" s="1" t="s">
        <v>8901</v>
      </c>
      <c r="AG2050" s="2" t="str">
        <f>"0374157693"</f>
        <v>0374157693</v>
      </c>
      <c r="AH2050" s="2" t="str">
        <f>"9780374157692"</f>
        <v>9780374157692</v>
      </c>
      <c r="AI2050" s="1">
        <v>0.0</v>
      </c>
      <c r="AJ2050" s="1">
        <v>3.94</v>
      </c>
      <c r="AK2050" s="1" t="s">
        <v>89</v>
      </c>
      <c r="AL2050" s="1" t="s">
        <v>41</v>
      </c>
      <c r="AM2050" s="1">
        <v>320.0</v>
      </c>
      <c r="AN2050" s="1">
        <v>2013.0</v>
      </c>
      <c r="AO2050" s="1">
        <v>2013.0</v>
      </c>
      <c r="AQ2050" s="3">
        <v>43919.0</v>
      </c>
      <c r="AR2050" s="1" t="s">
        <v>31</v>
      </c>
      <c r="AS2050" s="1" t="s">
        <v>8902</v>
      </c>
      <c r="AT2050" s="1" t="s">
        <v>31</v>
      </c>
      <c r="AX2050" s="1">
        <v>0.0</v>
      </c>
      <c r="AY2050" s="1">
        <v>0.0</v>
      </c>
    </row>
    <row r="2051" spans="20:51" ht="15.75" hidden="1">
      <c r="T2051" s="1">
        <v>1.8373298E7</v>
      </c>
      <c r="U2051" s="1"/>
      <c r="V2051" s="1"/>
      <c r="W2051" s="1"/>
      <c r="X2051" s="1"/>
      <c r="Y2051" s="1" t="s">
        <v>8903</v>
      </c>
      <c r="Z2051" s="1" t="s">
        <v>1102</v>
      </c>
      <c r="AA2051" s="1" t="s">
        <v>1103</v>
      </c>
      <c r="AB2051" s="1"/>
      <c r="AC2051" s="1"/>
      <c r="AD2051" s="1"/>
      <c r="AE2051" s="1"/>
      <c r="AG2051" s="2" t="str">
        <f>"0812996275"</f>
        <v>0812996275</v>
      </c>
      <c r="AH2051" s="2" t="str">
        <f>"9780812996272"</f>
        <v>9780812996272</v>
      </c>
      <c r="AI2051" s="1">
        <v>0.0</v>
      </c>
      <c r="AJ2051" s="1">
        <v>4.16</v>
      </c>
      <c r="AK2051" s="1" t="s">
        <v>988</v>
      </c>
      <c r="AL2051" s="1" t="s">
        <v>41</v>
      </c>
      <c r="AM2051" s="1">
        <v>64.0</v>
      </c>
      <c r="AN2051" s="1">
        <v>2014.0</v>
      </c>
      <c r="AO2051" s="1">
        <v>2013.0</v>
      </c>
      <c r="AQ2051" s="3">
        <v>43919.0</v>
      </c>
      <c r="AR2051" s="1" t="s">
        <v>31</v>
      </c>
      <c r="AS2051" s="1" t="s">
        <v>8904</v>
      </c>
      <c r="AT2051" s="1" t="s">
        <v>31</v>
      </c>
      <c r="AX2051" s="1">
        <v>0.0</v>
      </c>
      <c r="AY2051" s="1">
        <v>0.0</v>
      </c>
    </row>
    <row r="2052" spans="20:51" ht="15.75" hidden="1">
      <c r="T2052" s="1">
        <v>4064936.0</v>
      </c>
      <c r="U2052" s="1"/>
      <c r="V2052" s="1"/>
      <c r="W2052" s="1"/>
      <c r="X2052" s="1"/>
      <c r="Y2052" s="1" t="s">
        <v>8905</v>
      </c>
      <c r="Z2052" s="1" t="s">
        <v>2089</v>
      </c>
      <c r="AA2052" s="1" t="s">
        <v>2090</v>
      </c>
      <c r="AB2052" s="1"/>
      <c r="AC2052" s="1"/>
      <c r="AD2052" s="1"/>
      <c r="AE2052" s="1"/>
      <c r="AG2052" s="2" t="str">
        <f>"0141036613"</f>
        <v>0141036613</v>
      </c>
      <c r="AH2052" s="2" t="str">
        <f>"9780141036618"</f>
        <v>9780141036618</v>
      </c>
      <c r="AI2052" s="1">
        <v>0.0</v>
      </c>
      <c r="AJ2052" s="1">
        <v>3.86</v>
      </c>
      <c r="AK2052" s="1" t="s">
        <v>151</v>
      </c>
      <c r="AL2052" s="1" t="s">
        <v>315</v>
      </c>
      <c r="AM2052" s="1">
        <v>126.0</v>
      </c>
      <c r="AN2052" s="1">
        <v>2008.0</v>
      </c>
      <c r="AO2052" s="1">
        <v>1946.0</v>
      </c>
      <c r="AQ2052" s="3">
        <v>43919.0</v>
      </c>
      <c r="AR2052" s="1" t="s">
        <v>31</v>
      </c>
      <c r="AS2052" s="1" t="s">
        <v>8906</v>
      </c>
      <c r="AT2052" s="1" t="s">
        <v>31</v>
      </c>
      <c r="AX2052" s="1">
        <v>0.0</v>
      </c>
      <c r="AY2052" s="1">
        <v>0.0</v>
      </c>
    </row>
    <row r="2053" spans="20:51" ht="15.75" hidden="1">
      <c r="T2053" s="1">
        <v>2.3848586E7</v>
      </c>
      <c r="U2053" s="1"/>
      <c r="V2053" s="1"/>
      <c r="W2053" s="1"/>
      <c r="X2053" s="1"/>
      <c r="Y2053" s="1" t="s">
        <v>8907</v>
      </c>
      <c r="Z2053" s="1" t="s">
        <v>943</v>
      </c>
      <c r="AA2053" s="1" t="s">
        <v>944</v>
      </c>
      <c r="AB2053" s="1"/>
      <c r="AC2053" s="1"/>
      <c r="AD2053" s="1"/>
      <c r="AE2053" s="1"/>
      <c r="AG2053" s="2" t="str">
        <f>"0374298475"</f>
        <v>0374298475</v>
      </c>
      <c r="AH2053" s="2" t="str">
        <f>"9780374298470"</f>
        <v>9780374298470</v>
      </c>
      <c r="AI2053" s="1">
        <v>0.0</v>
      </c>
      <c r="AJ2053" s="1">
        <v>3.97</v>
      </c>
      <c r="AK2053" s="1" t="s">
        <v>89</v>
      </c>
      <c r="AL2053" s="1" t="s">
        <v>41</v>
      </c>
      <c r="AM2053" s="1">
        <v>286.0</v>
      </c>
      <c r="AN2053" s="1">
        <v>2015.0</v>
      </c>
      <c r="AO2053" s="1">
        <v>2015.0</v>
      </c>
      <c r="AQ2053" s="3">
        <v>43919.0</v>
      </c>
      <c r="AR2053" s="1" t="s">
        <v>31</v>
      </c>
      <c r="AS2053" s="1" t="s">
        <v>8908</v>
      </c>
      <c r="AT2053" s="1" t="s">
        <v>31</v>
      </c>
      <c r="AX2053" s="1">
        <v>0.0</v>
      </c>
      <c r="AY2053" s="1">
        <v>0.0</v>
      </c>
    </row>
    <row r="2054" spans="20:51" ht="15.75" hidden="1">
      <c r="T2054" s="1">
        <v>4.0275091E7</v>
      </c>
      <c r="U2054" s="1"/>
      <c r="V2054" s="1"/>
      <c r="W2054" s="1"/>
      <c r="X2054" s="1"/>
      <c r="Y2054" s="1" t="s">
        <v>8909</v>
      </c>
      <c r="Z2054" s="1" t="s">
        <v>8910</v>
      </c>
      <c r="AA2054" s="1" t="s">
        <v>8911</v>
      </c>
      <c r="AB2054" s="1"/>
      <c r="AC2054" s="1"/>
      <c r="AD2054" s="1"/>
      <c r="AE2054" s="1"/>
      <c r="AG2054" s="2" t="str">
        <f>"1101980419"</f>
        <v>1101980419</v>
      </c>
      <c r="AH2054" s="2" t="str">
        <f>"9781101980415"</f>
        <v>9781101980415</v>
      </c>
      <c r="AI2054" s="1">
        <v>0.0</v>
      </c>
      <c r="AJ2054" s="1">
        <v>3.31</v>
      </c>
      <c r="AK2054" s="1" t="s">
        <v>1236</v>
      </c>
      <c r="AL2054" s="1" t="s">
        <v>41</v>
      </c>
      <c r="AM2054" s="1">
        <v>224.0</v>
      </c>
      <c r="AN2054" s="1">
        <v>2019.0</v>
      </c>
      <c r="AO2054" s="1">
        <v>2019.0</v>
      </c>
      <c r="AQ2054" s="3">
        <v>43911.0</v>
      </c>
      <c r="AR2054" s="1" t="s">
        <v>31</v>
      </c>
      <c r="AS2054" s="1" t="s">
        <v>8912</v>
      </c>
      <c r="AT2054" s="1" t="s">
        <v>31</v>
      </c>
      <c r="AX2054" s="1">
        <v>0.0</v>
      </c>
      <c r="AY2054" s="1">
        <v>0.0</v>
      </c>
    </row>
    <row r="2055" spans="20:51" ht="15.75" hidden="1">
      <c r="T2055" s="1">
        <v>1015870.0</v>
      </c>
      <c r="U2055" s="1"/>
      <c r="V2055" s="1"/>
      <c r="W2055" s="1"/>
      <c r="X2055" s="1"/>
      <c r="Y2055" s="1" t="s">
        <v>8913</v>
      </c>
      <c r="Z2055" s="1" t="s">
        <v>8914</v>
      </c>
      <c r="AA2055" s="1" t="s">
        <v>8915</v>
      </c>
      <c r="AB2055" s="1"/>
      <c r="AC2055" s="1"/>
      <c r="AD2055" s="1"/>
      <c r="AE2055" s="1"/>
      <c r="AG2055" s="2" t="str">
        <f>"0471288217"</f>
        <v>0471288217</v>
      </c>
      <c r="AH2055" s="2" t="str">
        <f>"9780471288213"</f>
        <v>9780471288213</v>
      </c>
      <c r="AI2055" s="1">
        <v>0.0</v>
      </c>
      <c r="AJ2055" s="1">
        <v>4.29</v>
      </c>
      <c r="AK2055" s="1" t="s">
        <v>2617</v>
      </c>
      <c r="AL2055" s="1" t="s">
        <v>28</v>
      </c>
      <c r="AM2055" s="1">
        <v>320.0</v>
      </c>
      <c r="AN2055" s="1">
        <v>1996.0</v>
      </c>
      <c r="AO2055" s="1">
        <v>1995.0</v>
      </c>
      <c r="AQ2055" s="3">
        <v>43906.0</v>
      </c>
      <c r="AR2055" s="1" t="s">
        <v>31</v>
      </c>
      <c r="AS2055" s="1" t="s">
        <v>8916</v>
      </c>
      <c r="AT2055" s="1" t="s">
        <v>31</v>
      </c>
      <c r="AX2055" s="1">
        <v>0.0</v>
      </c>
      <c r="AY2055" s="1">
        <v>0.0</v>
      </c>
    </row>
    <row r="2056" spans="20:51" ht="15.75" hidden="1">
      <c r="T2056" s="1">
        <v>6664343.0</v>
      </c>
      <c r="U2056" s="1"/>
      <c r="V2056" s="1"/>
      <c r="W2056" s="1"/>
      <c r="X2056" s="1"/>
      <c r="Y2056" s="1" t="s">
        <v>8917</v>
      </c>
      <c r="Z2056" s="1" t="s">
        <v>8918</v>
      </c>
      <c r="AA2056" s="1" t="s">
        <v>8919</v>
      </c>
      <c r="AB2056" s="1"/>
      <c r="AC2056" s="1"/>
      <c r="AD2056" s="1"/>
      <c r="AE2056" s="1"/>
      <c r="AG2056" s="2" t="str">
        <f>"0814757286"</f>
        <v>0814757286</v>
      </c>
      <c r="AH2056" s="2" t="str">
        <f>"9780814757284"</f>
        <v>9780814757284</v>
      </c>
      <c r="AI2056" s="1">
        <v>0.0</v>
      </c>
      <c r="AJ2056" s="1">
        <v>4.27</v>
      </c>
      <c r="AK2056" s="1" t="s">
        <v>777</v>
      </c>
      <c r="AL2056" s="1" t="s">
        <v>28</v>
      </c>
      <c r="AM2056" s="1">
        <v>244.0</v>
      </c>
      <c r="AN2056" s="1">
        <v>2009.0</v>
      </c>
      <c r="AO2056" s="1">
        <v>2009.0</v>
      </c>
      <c r="AQ2056" s="3">
        <v>43877.0</v>
      </c>
      <c r="AR2056" s="1" t="s">
        <v>31</v>
      </c>
      <c r="AS2056" s="1" t="s">
        <v>8920</v>
      </c>
      <c r="AT2056" s="1" t="s">
        <v>31</v>
      </c>
      <c r="AX2056" s="1">
        <v>0.0</v>
      </c>
      <c r="AY2056" s="1">
        <v>0.0</v>
      </c>
    </row>
    <row r="2057" spans="20:51" ht="15.75" hidden="1">
      <c r="T2057" s="1">
        <v>3.6915227E7</v>
      </c>
      <c r="U2057" s="1"/>
      <c r="V2057" s="1"/>
      <c r="W2057" s="1"/>
      <c r="X2057" s="1"/>
      <c r="Y2057" s="1" t="s">
        <v>8921</v>
      </c>
      <c r="Z2057" s="1" t="s">
        <v>8922</v>
      </c>
      <c r="AA2057" s="1" t="s">
        <v>8923</v>
      </c>
      <c r="AB2057" s="1"/>
      <c r="AC2057" s="1"/>
      <c r="AD2057" s="1"/>
      <c r="AE2057" s="1"/>
      <c r="AG2057" s="2" t="str">
        <f>"1941332390"</f>
        <v>1941332390</v>
      </c>
      <c r="AH2057" s="2" t="str">
        <f>"9781941332399"</f>
        <v>9781941332399</v>
      </c>
      <c r="AI2057" s="1">
        <v>0.0</v>
      </c>
      <c r="AJ2057" s="1">
        <v>3.89</v>
      </c>
      <c r="AK2057" s="1" t="s">
        <v>8924</v>
      </c>
      <c r="AL2057" s="1" t="s">
        <v>28</v>
      </c>
      <c r="AM2057" s="1">
        <v>144.0</v>
      </c>
      <c r="AN2057" s="1">
        <v>2018.0</v>
      </c>
      <c r="AQ2057" s="3">
        <v>43877.0</v>
      </c>
      <c r="AR2057" s="1" t="s">
        <v>31</v>
      </c>
      <c r="AS2057" s="1" t="s">
        <v>8925</v>
      </c>
      <c r="AT2057" s="1" t="s">
        <v>31</v>
      </c>
      <c r="AX2057" s="1">
        <v>0.0</v>
      </c>
      <c r="AY2057" s="1">
        <v>0.0</v>
      </c>
    </row>
    <row r="2058" spans="20:51" ht="15.75" hidden="1">
      <c r="T2058" s="1">
        <v>1907054.0</v>
      </c>
      <c r="U2058" s="1"/>
      <c r="V2058" s="1"/>
      <c r="W2058" s="1"/>
      <c r="X2058" s="1"/>
      <c r="Y2058" s="1" t="s">
        <v>8926</v>
      </c>
      <c r="Z2058" s="1" t="s">
        <v>8927</v>
      </c>
      <c r="AA2058" s="1" t="s">
        <v>8928</v>
      </c>
      <c r="AB2058" s="1"/>
      <c r="AC2058" s="1"/>
      <c r="AD2058" s="1"/>
      <c r="AE2058" s="1"/>
      <c r="AG2058" s="2" t="str">
        <f>"0345466632"</f>
        <v>0345466632</v>
      </c>
      <c r="AH2058" s="2" t="str">
        <f>"9780345466631"</f>
        <v>9780345466631</v>
      </c>
      <c r="AI2058" s="1">
        <v>0.0</v>
      </c>
      <c r="AJ2058" s="1">
        <v>4.15</v>
      </c>
      <c r="AK2058" s="1" t="s">
        <v>8929</v>
      </c>
      <c r="AL2058" s="1" t="s">
        <v>315</v>
      </c>
      <c r="AM2058" s="1">
        <v>292.0</v>
      </c>
      <c r="AN2058" s="1">
        <v>2003.0</v>
      </c>
      <c r="AO2058" s="1">
        <v>2002.0</v>
      </c>
      <c r="AQ2058" s="3">
        <v>43595.0</v>
      </c>
      <c r="AR2058" s="1" t="s">
        <v>31</v>
      </c>
      <c r="AS2058" s="1" t="s">
        <v>8930</v>
      </c>
      <c r="AT2058" s="1" t="s">
        <v>31</v>
      </c>
      <c r="AX2058" s="1">
        <v>0.0</v>
      </c>
      <c r="AY2058" s="1">
        <v>0.0</v>
      </c>
    </row>
    <row r="2059" spans="20:51" ht="15.75" hidden="1">
      <c r="T2059" s="1">
        <v>206547.0</v>
      </c>
      <c r="U2059" s="1"/>
      <c r="V2059" s="1"/>
      <c r="W2059" s="1"/>
      <c r="X2059" s="1"/>
      <c r="Y2059" s="1" t="s">
        <v>8931</v>
      </c>
      <c r="Z2059" s="1" t="s">
        <v>8932</v>
      </c>
      <c r="AA2059" s="1" t="s">
        <v>8933</v>
      </c>
      <c r="AB2059" s="1"/>
      <c r="AC2059" s="1"/>
      <c r="AD2059" s="1"/>
      <c r="AE2059" s="1"/>
      <c r="AG2059" s="2" t="str">
        <f>"0141002301"</f>
        <v>0141002301</v>
      </c>
      <c r="AH2059" s="2" t="str">
        <f>"9780141002309"</f>
        <v>9780141002309</v>
      </c>
      <c r="AI2059" s="1">
        <v>0.0</v>
      </c>
      <c r="AJ2059" s="1">
        <v>3.93</v>
      </c>
      <c r="AK2059" s="1" t="s">
        <v>460</v>
      </c>
      <c r="AL2059" s="1" t="s">
        <v>28</v>
      </c>
      <c r="AM2059" s="1">
        <v>78.0</v>
      </c>
      <c r="AN2059" s="1">
        <v>2001.0</v>
      </c>
      <c r="AO2059" s="1">
        <v>2001.0</v>
      </c>
      <c r="AQ2059" s="3">
        <v>43589.0</v>
      </c>
      <c r="AT2059" s="1" t="s">
        <v>127</v>
      </c>
      <c r="AX2059" s="1">
        <v>1.0</v>
      </c>
      <c r="AY2059" s="1">
        <v>0.0</v>
      </c>
    </row>
    <row r="2060" spans="20:51" ht="15.75" hidden="1">
      <c r="T2060" s="1">
        <v>94654.0</v>
      </c>
      <c r="U2060" s="1"/>
      <c r="V2060" s="1"/>
      <c r="W2060" s="1"/>
      <c r="X2060" s="1"/>
      <c r="Y2060" s="1" t="s">
        <v>8934</v>
      </c>
      <c r="Z2060" s="1" t="s">
        <v>8935</v>
      </c>
      <c r="AA2060" s="1" t="s">
        <v>8936</v>
      </c>
      <c r="AB2060" s="1"/>
      <c r="AC2060" s="1"/>
      <c r="AD2060" s="1"/>
      <c r="AE2060" s="1"/>
      <c r="AF2060" s="1" t="s">
        <v>8937</v>
      </c>
      <c r="AG2060" s="2" t="str">
        <f>"0942299558"</f>
        <v>0942299558</v>
      </c>
      <c r="AH2060" s="2" t="str">
        <f>"9780942299557"</f>
        <v>9780942299557</v>
      </c>
      <c r="AI2060" s="1">
        <v>0.0</v>
      </c>
      <c r="AJ2060" s="1">
        <v>4.05</v>
      </c>
      <c r="AK2060" s="1" t="s">
        <v>2840</v>
      </c>
      <c r="AL2060" s="1" t="s">
        <v>28</v>
      </c>
      <c r="AM2060" s="1">
        <v>296.0</v>
      </c>
      <c r="AN2060" s="1">
        <v>1991.0</v>
      </c>
      <c r="AO2060" s="1">
        <v>1967.0</v>
      </c>
      <c r="AQ2060" s="3">
        <v>43589.0</v>
      </c>
      <c r="AR2060" s="1" t="s">
        <v>31</v>
      </c>
      <c r="AS2060" s="1" t="s">
        <v>8938</v>
      </c>
      <c r="AT2060" s="1" t="s">
        <v>31</v>
      </c>
      <c r="AX2060" s="1">
        <v>0.0</v>
      </c>
      <c r="AY2060" s="1">
        <v>0.0</v>
      </c>
    </row>
    <row r="2061" spans="20:51" ht="15.75" hidden="1">
      <c r="T2061" s="1">
        <v>753801.0</v>
      </c>
      <c r="U2061" s="1"/>
      <c r="V2061" s="1"/>
      <c r="W2061" s="1"/>
      <c r="X2061" s="1"/>
      <c r="Y2061" s="1" t="s">
        <v>8939</v>
      </c>
      <c r="Z2061" s="1" t="s">
        <v>6866</v>
      </c>
      <c r="AA2061" s="1" t="s">
        <v>6867</v>
      </c>
      <c r="AB2061" s="1"/>
      <c r="AC2061" s="1"/>
      <c r="AD2061" s="1"/>
      <c r="AE2061" s="1"/>
      <c r="AG2061" s="2" t="str">
        <f>"0811216942"</f>
        <v>0811216942</v>
      </c>
      <c r="AH2061" s="2" t="str">
        <f>"9780811216944"</f>
        <v>9780811216944</v>
      </c>
      <c r="AI2061" s="1">
        <v>0.0</v>
      </c>
      <c r="AJ2061" s="1">
        <v>4.28</v>
      </c>
      <c r="AK2061" s="1" t="s">
        <v>95</v>
      </c>
      <c r="AL2061" s="1" t="s">
        <v>28</v>
      </c>
      <c r="AM2061" s="1">
        <v>194.0</v>
      </c>
      <c r="AN2061" s="1">
        <v>2007.0</v>
      </c>
      <c r="AO2061" s="1">
        <v>2007.0</v>
      </c>
      <c r="AQ2061" s="3">
        <v>43437.0</v>
      </c>
      <c r="AR2061" s="1" t="s">
        <v>31</v>
      </c>
      <c r="AS2061" s="1" t="s">
        <v>8940</v>
      </c>
      <c r="AT2061" s="1" t="s">
        <v>31</v>
      </c>
      <c r="AX2061" s="1">
        <v>0.0</v>
      </c>
      <c r="AY2061" s="1">
        <v>0.0</v>
      </c>
    </row>
    <row r="2062" spans="20:51" ht="15.75" hidden="1">
      <c r="T2062" s="1">
        <v>960493.0</v>
      </c>
      <c r="U2062" s="1"/>
      <c r="V2062" s="1"/>
      <c r="W2062" s="1"/>
      <c r="X2062" s="1"/>
      <c r="Y2062" s="1" t="s">
        <v>8941</v>
      </c>
      <c r="Z2062" s="1" t="s">
        <v>2502</v>
      </c>
      <c r="AA2062" s="1" t="s">
        <v>2503</v>
      </c>
      <c r="AB2062" s="1"/>
      <c r="AC2062" s="1"/>
      <c r="AD2062" s="1"/>
      <c r="AE2062" s="1"/>
      <c r="AG2062" s="2" t="str">
        <f>"0802812201"</f>
        <v>0802812201</v>
      </c>
      <c r="AH2062" s="2" t="str">
        <f>"9780802812209"</f>
        <v>9780802812209</v>
      </c>
      <c r="AI2062" s="1">
        <v>0.0</v>
      </c>
      <c r="AJ2062" s="1">
        <v>3.94</v>
      </c>
      <c r="AK2062" s="1" t="s">
        <v>8942</v>
      </c>
      <c r="AL2062" s="1" t="s">
        <v>28</v>
      </c>
      <c r="AM2062" s="1">
        <v>220.0</v>
      </c>
      <c r="AN2062" s="1">
        <v>1980.0</v>
      </c>
      <c r="AO2062" s="1">
        <v>1937.0</v>
      </c>
      <c r="AQ2062" s="4">
        <v>43423.0</v>
      </c>
      <c r="AR2062" s="1" t="s">
        <v>31</v>
      </c>
      <c r="AS2062" s="1" t="s">
        <v>8943</v>
      </c>
      <c r="AT2062" s="1" t="s">
        <v>31</v>
      </c>
      <c r="AX2062" s="1">
        <v>0.0</v>
      </c>
      <c r="AY2062" s="1">
        <v>0.0</v>
      </c>
    </row>
    <row r="2063" spans="20:51" ht="15.75" hidden="1">
      <c r="T2063" s="1">
        <v>210188.0</v>
      </c>
      <c r="U2063" s="1"/>
      <c r="V2063" s="1"/>
      <c r="W2063" s="1"/>
      <c r="X2063" s="1"/>
      <c r="Y2063" s="1" t="s">
        <v>8944</v>
      </c>
      <c r="Z2063" s="1" t="s">
        <v>2221</v>
      </c>
      <c r="AA2063" s="1" t="s">
        <v>2222</v>
      </c>
      <c r="AB2063" s="1"/>
      <c r="AC2063" s="1"/>
      <c r="AD2063" s="1"/>
      <c r="AE2063" s="1"/>
      <c r="AF2063" s="1" t="s">
        <v>8945</v>
      </c>
      <c r="AG2063" s="2" t="str">
        <f>"0374527253"</f>
        <v>0374527253</v>
      </c>
      <c r="AH2063" s="2" t="str">
        <f>"9780374527259"</f>
        <v>9780374527259</v>
      </c>
      <c r="AI2063" s="1">
        <v>0.0</v>
      </c>
      <c r="AJ2063" s="1">
        <v>4.15</v>
      </c>
      <c r="AK2063" s="1" t="s">
        <v>89</v>
      </c>
      <c r="AL2063" s="1" t="s">
        <v>28</v>
      </c>
      <c r="AM2063" s="1">
        <v>400.0</v>
      </c>
      <c r="AN2063" s="1">
        <v>2000.0</v>
      </c>
      <c r="AO2063" s="1">
        <v>1999.0</v>
      </c>
      <c r="AQ2063" s="4">
        <v>43423.0</v>
      </c>
      <c r="AR2063" s="1" t="s">
        <v>31</v>
      </c>
      <c r="AS2063" s="1" t="s">
        <v>8946</v>
      </c>
      <c r="AT2063" s="1" t="s">
        <v>31</v>
      </c>
      <c r="AX2063" s="1">
        <v>0.0</v>
      </c>
      <c r="AY2063" s="1">
        <v>0.0</v>
      </c>
    </row>
    <row r="2064" spans="20:51" ht="15.75" hidden="1">
      <c r="T2064" s="1">
        <v>111378.0</v>
      </c>
      <c r="U2064" s="1"/>
      <c r="V2064" s="1"/>
      <c r="W2064" s="1"/>
      <c r="X2064" s="1"/>
      <c r="Y2064" s="1" t="s">
        <v>8947</v>
      </c>
      <c r="Z2064" s="1" t="s">
        <v>845</v>
      </c>
      <c r="AA2064" s="1" t="s">
        <v>846</v>
      </c>
      <c r="AB2064" s="1"/>
      <c r="AC2064" s="1"/>
      <c r="AD2064" s="1"/>
      <c r="AE2064" s="1"/>
      <c r="AG2064" s="2" t="str">
        <f>"0822326124"</f>
        <v>0822326124</v>
      </c>
      <c r="AH2064" s="2" t="str">
        <f>"9780822326120"</f>
        <v>9780822326120</v>
      </c>
      <c r="AI2064" s="1">
        <v>0.0</v>
      </c>
      <c r="AJ2064" s="1">
        <v>3.98</v>
      </c>
      <c r="AK2064" s="1" t="s">
        <v>896</v>
      </c>
      <c r="AL2064" s="1" t="s">
        <v>28</v>
      </c>
      <c r="AM2064" s="1">
        <v>360.0</v>
      </c>
      <c r="AN2064" s="1">
        <v>2000.0</v>
      </c>
      <c r="AO2064" s="1">
        <v>2000.0</v>
      </c>
      <c r="AQ2064" s="4">
        <v>43423.0</v>
      </c>
      <c r="AR2064" s="1" t="s">
        <v>31</v>
      </c>
      <c r="AS2064" s="1" t="s">
        <v>8948</v>
      </c>
      <c r="AT2064" s="1" t="s">
        <v>31</v>
      </c>
      <c r="AX2064" s="1">
        <v>0.0</v>
      </c>
      <c r="AY2064" s="1">
        <v>0.0</v>
      </c>
    </row>
    <row r="2065" spans="20:51" ht="15.75" hidden="1">
      <c r="T2065" s="1">
        <v>3775266.0</v>
      </c>
      <c r="U2065" s="1"/>
      <c r="V2065" s="1"/>
      <c r="W2065" s="1"/>
      <c r="X2065" s="1"/>
      <c r="Y2065" s="1" t="s">
        <v>8949</v>
      </c>
      <c r="Z2065" s="1" t="s">
        <v>8950</v>
      </c>
      <c r="AA2065" s="1" t="s">
        <v>8951</v>
      </c>
      <c r="AB2065" s="1"/>
      <c r="AC2065" s="1"/>
      <c r="AD2065" s="1"/>
      <c r="AE2065" s="1"/>
      <c r="AF2065" s="1" t="s">
        <v>948</v>
      </c>
      <c r="AG2065" s="2" t="str">
        <f>"0375400966"</f>
        <v>0375400966</v>
      </c>
      <c r="AH2065" s="2" t="str">
        <f>"9780375400964"</f>
        <v>9780375400964</v>
      </c>
      <c r="AI2065" s="1">
        <v>3.0</v>
      </c>
      <c r="AJ2065" s="1">
        <v>4.38</v>
      </c>
      <c r="AK2065" s="1" t="s">
        <v>1736</v>
      </c>
      <c r="AL2065" s="1" t="s">
        <v>41</v>
      </c>
      <c r="AM2065" s="1">
        <v>624.0</v>
      </c>
      <c r="AN2065" s="1">
        <v>2009.0</v>
      </c>
      <c r="AO2065" s="1">
        <v>1972.0</v>
      </c>
      <c r="AQ2065" s="4">
        <v>43416.0</v>
      </c>
      <c r="AT2065" s="1" t="s">
        <v>127</v>
      </c>
      <c r="AX2065" s="1">
        <v>1.0</v>
      </c>
      <c r="AY2065" s="1">
        <v>0.0</v>
      </c>
    </row>
    <row r="2066" spans="20:51" ht="15.75" hidden="1">
      <c r="T2066" s="1">
        <v>344652.0</v>
      </c>
      <c r="U2066" s="1"/>
      <c r="V2066" s="1"/>
      <c r="W2066" s="1"/>
      <c r="X2066" s="1"/>
      <c r="Y2066" s="1" t="s">
        <v>8952</v>
      </c>
      <c r="Z2066" s="1" t="s">
        <v>8874</v>
      </c>
      <c r="AA2066" s="1" t="s">
        <v>8875</v>
      </c>
      <c r="AB2066" s="1"/>
      <c r="AC2066" s="1"/>
      <c r="AD2066" s="1"/>
      <c r="AE2066" s="1"/>
      <c r="AF2066" s="1" t="s">
        <v>8953</v>
      </c>
      <c r="AG2066" s="2" t="str">
        <f>"1565842715"</f>
        <v>1565842715</v>
      </c>
      <c r="AH2066" s="2" t="str">
        <f>"9781565842717"</f>
        <v>9781565842717</v>
      </c>
      <c r="AI2066" s="1">
        <v>0.0</v>
      </c>
      <c r="AJ2066" s="1">
        <v>4.41</v>
      </c>
      <c r="AK2066" s="1" t="s">
        <v>2872</v>
      </c>
      <c r="AL2066" s="1" t="s">
        <v>28</v>
      </c>
      <c r="AM2066" s="1">
        <v>528.0</v>
      </c>
      <c r="AN2066" s="1">
        <v>1996.0</v>
      </c>
      <c r="AO2066" s="1">
        <v>1996.0</v>
      </c>
      <c r="AQ2066" s="3">
        <v>43405.0</v>
      </c>
      <c r="AR2066" s="1" t="s">
        <v>31</v>
      </c>
      <c r="AS2066" s="1" t="s">
        <v>8954</v>
      </c>
      <c r="AT2066" s="1" t="s">
        <v>31</v>
      </c>
      <c r="AX2066" s="1">
        <v>0.0</v>
      </c>
      <c r="AY2066" s="1">
        <v>0.0</v>
      </c>
    </row>
    <row r="2067" spans="20:51" ht="15.75" hidden="1">
      <c r="T2067" s="1">
        <v>806076.0</v>
      </c>
      <c r="U2067" s="1"/>
      <c r="V2067" s="1"/>
      <c r="W2067" s="1"/>
      <c r="X2067" s="1"/>
      <c r="Y2067" s="1" t="s">
        <v>8955</v>
      </c>
      <c r="Z2067" s="1" t="s">
        <v>6726</v>
      </c>
      <c r="AA2067" s="1" t="s">
        <v>6727</v>
      </c>
      <c r="AB2067" s="1"/>
      <c r="AC2067" s="1"/>
      <c r="AD2067" s="1"/>
      <c r="AE2067" s="1"/>
      <c r="AG2067" s="2" t="str">
        <f>"0374529620"</f>
        <v>0374529620</v>
      </c>
      <c r="AH2067" s="2" t="str">
        <f>"9780374529628"</f>
        <v>9780374529628</v>
      </c>
      <c r="AI2067" s="1">
        <v>0.0</v>
      </c>
      <c r="AJ2067" s="1">
        <v>3.95</v>
      </c>
      <c r="AK2067" s="1" t="s">
        <v>89</v>
      </c>
      <c r="AL2067" s="1" t="s">
        <v>28</v>
      </c>
      <c r="AM2067" s="1">
        <v>80.0</v>
      </c>
      <c r="AN2067" s="1">
        <v>2005.0</v>
      </c>
      <c r="AO2067" s="1">
        <v>2004.0</v>
      </c>
      <c r="AQ2067" s="4">
        <v>43403.0</v>
      </c>
      <c r="AR2067" s="1" t="s">
        <v>31</v>
      </c>
      <c r="AS2067" s="1" t="s">
        <v>8956</v>
      </c>
      <c r="AT2067" s="1" t="s">
        <v>31</v>
      </c>
      <c r="AX2067" s="1">
        <v>0.0</v>
      </c>
      <c r="AY2067" s="1">
        <v>0.0</v>
      </c>
    </row>
    <row r="2068" spans="20:51" ht="15.75" hidden="1">
      <c r="T2068" s="1">
        <v>9554807.0</v>
      </c>
      <c r="U2068" s="1"/>
      <c r="V2068" s="1"/>
      <c r="W2068" s="1"/>
      <c r="X2068" s="1"/>
      <c r="Y2068" s="1" t="s">
        <v>8957</v>
      </c>
      <c r="Z2068" s="1" t="s">
        <v>8958</v>
      </c>
      <c r="AA2068" s="1" t="s">
        <v>8959</v>
      </c>
      <c r="AB2068" s="1"/>
      <c r="AC2068" s="1"/>
      <c r="AD2068" s="1"/>
      <c r="AE2068" s="1"/>
      <c r="AG2068" s="2" t="str">
        <f>"1934103160"</f>
        <v>1934103160</v>
      </c>
      <c r="AH2068" s="2" t="str">
        <f>"9781934103166"</f>
        <v>9781934103166</v>
      </c>
      <c r="AI2068" s="1">
        <v>0.0</v>
      </c>
      <c r="AJ2068" s="1">
        <v>4.57</v>
      </c>
      <c r="AK2068" s="1" t="s">
        <v>3322</v>
      </c>
      <c r="AL2068" s="1" t="s">
        <v>28</v>
      </c>
      <c r="AM2068" s="1">
        <v>73.0</v>
      </c>
      <c r="AN2068" s="1">
        <v>2010.0</v>
      </c>
      <c r="AO2068" s="1">
        <v>2010.0</v>
      </c>
      <c r="AQ2068" s="4">
        <v>43402.0</v>
      </c>
      <c r="AR2068" s="1" t="s">
        <v>31</v>
      </c>
      <c r="AS2068" s="1" t="s">
        <v>8960</v>
      </c>
      <c r="AT2068" s="1" t="s">
        <v>31</v>
      </c>
      <c r="AX2068" s="1">
        <v>0.0</v>
      </c>
      <c r="AY2068" s="1">
        <v>0.0</v>
      </c>
    </row>
    <row r="2069" spans="20:51" ht="15.75" hidden="1">
      <c r="T2069" s="1">
        <v>330542.0</v>
      </c>
      <c r="U2069" s="1"/>
      <c r="V2069" s="1"/>
      <c r="W2069" s="1"/>
      <c r="X2069" s="1"/>
      <c r="Y2069" s="1" t="s">
        <v>8961</v>
      </c>
      <c r="Z2069" s="1" t="s">
        <v>8962</v>
      </c>
      <c r="AA2069" s="1" t="s">
        <v>8963</v>
      </c>
      <c r="AB2069" s="1"/>
      <c r="AC2069" s="1"/>
      <c r="AD2069" s="1"/>
      <c r="AE2069" s="1"/>
      <c r="AF2069" s="1" t="s">
        <v>8964</v>
      </c>
      <c r="AG2069" s="2" t="str">
        <f>"082647327X"</f>
        <v>082647327X</v>
      </c>
      <c r="AH2069" s="2" t="str">
        <f>"9780826473271"</f>
        <v>9780826473271</v>
      </c>
      <c r="AI2069" s="1">
        <v>0.0</v>
      </c>
      <c r="AJ2069" s="1">
        <v>4.1</v>
      </c>
      <c r="AK2069" s="1" t="s">
        <v>8965</v>
      </c>
      <c r="AL2069" s="1" t="s">
        <v>28</v>
      </c>
      <c r="AM2069" s="1">
        <v>198.0</v>
      </c>
      <c r="AN2069" s="1">
        <v>2002.0</v>
      </c>
      <c r="AO2069" s="1">
        <v>2003.0</v>
      </c>
      <c r="AQ2069" s="4">
        <v>43402.0</v>
      </c>
      <c r="AR2069" s="1" t="s">
        <v>31</v>
      </c>
      <c r="AS2069" s="1" t="s">
        <v>8966</v>
      </c>
      <c r="AT2069" s="1" t="s">
        <v>31</v>
      </c>
      <c r="AX2069" s="1">
        <v>0.0</v>
      </c>
      <c r="AY2069" s="1">
        <v>0.0</v>
      </c>
    </row>
    <row r="2070" spans="20:51" ht="15.75" hidden="1">
      <c r="T2070" s="1">
        <v>3.1682981E7</v>
      </c>
      <c r="U2070" s="1"/>
      <c r="V2070" s="1"/>
      <c r="W2070" s="1"/>
      <c r="X2070" s="1"/>
      <c r="Y2070" s="1" t="s">
        <v>8967</v>
      </c>
      <c r="Z2070" s="1" t="s">
        <v>8968</v>
      </c>
      <c r="AA2070" s="1" t="s">
        <v>8969</v>
      </c>
      <c r="AB2070" s="1"/>
      <c r="AC2070" s="1"/>
      <c r="AD2070" s="1"/>
      <c r="AE2070" s="1"/>
      <c r="AG2070" s="2" t="str">
        <f>"208139409X"</f>
        <v>208139409X</v>
      </c>
      <c r="AH2070" s="2" t="str">
        <f>"9782081375994"</f>
        <v>9782081375994</v>
      </c>
      <c r="AI2070" s="1">
        <v>0.0</v>
      </c>
      <c r="AJ2070" s="1">
        <v>3.39</v>
      </c>
      <c r="AK2070" s="1" t="s">
        <v>8970</v>
      </c>
      <c r="AL2070" s="1" t="s">
        <v>28</v>
      </c>
      <c r="AM2070" s="1">
        <v>219.0</v>
      </c>
      <c r="AN2070" s="1">
        <v>2016.0</v>
      </c>
      <c r="AO2070" s="1">
        <v>2016.0</v>
      </c>
      <c r="AQ2070" s="3">
        <v>43332.0</v>
      </c>
      <c r="AR2070" s="1" t="s">
        <v>31</v>
      </c>
      <c r="AS2070" s="1" t="s">
        <v>8971</v>
      </c>
      <c r="AT2070" s="1" t="s">
        <v>31</v>
      </c>
      <c r="AX2070" s="1">
        <v>0.0</v>
      </c>
      <c r="AY2070" s="1">
        <v>0.0</v>
      </c>
    </row>
    <row r="2071" spans="20:51" ht="15.75" hidden="1">
      <c r="T2071" s="1">
        <v>3.6098957E7</v>
      </c>
      <c r="U2071" s="1"/>
      <c r="V2071" s="1"/>
      <c r="W2071" s="1"/>
      <c r="X2071" s="1"/>
      <c r="Y2071" s="1" t="s">
        <v>8972</v>
      </c>
      <c r="Z2071" s="1" t="s">
        <v>8973</v>
      </c>
      <c r="AA2071" s="1" t="s">
        <v>8974</v>
      </c>
      <c r="AB2071" s="1"/>
      <c r="AC2071" s="1"/>
      <c r="AD2071" s="1"/>
      <c r="AE2071" s="1"/>
      <c r="AF2071" s="1" t="s">
        <v>8975</v>
      </c>
      <c r="AG2071" s="2" t="str">
        <f>"1999722787"</f>
        <v>1999722787</v>
      </c>
      <c r="AH2071" s="2" t="str">
        <f>"9781999722784"</f>
        <v>9781999722784</v>
      </c>
      <c r="AI2071" s="1">
        <v>0.0</v>
      </c>
      <c r="AJ2071" s="1">
        <v>3.51</v>
      </c>
      <c r="AK2071" s="1" t="s">
        <v>8976</v>
      </c>
      <c r="AL2071" s="1" t="s">
        <v>28</v>
      </c>
      <c r="AM2071" s="1">
        <v>123.0</v>
      </c>
      <c r="AN2071" s="1">
        <v>2017.0</v>
      </c>
      <c r="AO2071" s="1">
        <v>2012.0</v>
      </c>
      <c r="AQ2071" s="3">
        <v>43287.0</v>
      </c>
      <c r="AR2071" s="1" t="s">
        <v>31</v>
      </c>
      <c r="AS2071" s="1" t="s">
        <v>8977</v>
      </c>
      <c r="AT2071" s="1" t="s">
        <v>31</v>
      </c>
      <c r="AX2071" s="1">
        <v>0.0</v>
      </c>
      <c r="AY2071" s="1">
        <v>0.0</v>
      </c>
    </row>
    <row r="2072" spans="20:51" ht="15.75" hidden="1">
      <c r="T2072" s="1">
        <v>118451.0</v>
      </c>
      <c r="U2072" s="1"/>
      <c r="V2072" s="1"/>
      <c r="W2072" s="1"/>
      <c r="X2072" s="1"/>
      <c r="Y2072" s="1" t="s">
        <v>8978</v>
      </c>
      <c r="Z2072" s="1" t="s">
        <v>5076</v>
      </c>
      <c r="AA2072" s="1" t="s">
        <v>5077</v>
      </c>
      <c r="AB2072" s="1"/>
      <c r="AC2072" s="1"/>
      <c r="AD2072" s="1"/>
      <c r="AE2072" s="1"/>
      <c r="AF2072" s="1" t="s">
        <v>8979</v>
      </c>
      <c r="AG2072" s="2" t="str">
        <f>"1840022701"</f>
        <v>1840022701</v>
      </c>
      <c r="AH2072" s="2" t="str">
        <f>"9781840022704"</f>
        <v>9781840022704</v>
      </c>
      <c r="AI2072" s="1">
        <v>0.0</v>
      </c>
      <c r="AJ2072" s="1">
        <v>3.82</v>
      </c>
      <c r="AK2072" s="1" t="s">
        <v>3207</v>
      </c>
      <c r="AL2072" s="1" t="s">
        <v>28</v>
      </c>
      <c r="AM2072" s="1">
        <v>292.0</v>
      </c>
      <c r="AN2072" s="1">
        <v>2004.0</v>
      </c>
      <c r="AO2072" s="1">
        <v>2004.0</v>
      </c>
      <c r="AQ2072" s="3">
        <v>43287.0</v>
      </c>
      <c r="AR2072" s="1" t="s">
        <v>31</v>
      </c>
      <c r="AS2072" s="1" t="s">
        <v>8980</v>
      </c>
      <c r="AT2072" s="1" t="s">
        <v>31</v>
      </c>
      <c r="AX2072" s="1">
        <v>0.0</v>
      </c>
      <c r="AY2072" s="1">
        <v>0.0</v>
      </c>
    </row>
    <row r="2073" spans="20:51" ht="15.75" hidden="1">
      <c r="T2073" s="1">
        <v>108658.0</v>
      </c>
      <c r="U2073" s="1"/>
      <c r="V2073" s="1"/>
      <c r="W2073" s="1"/>
      <c r="X2073" s="1"/>
      <c r="Y2073" s="1" t="s">
        <v>8981</v>
      </c>
      <c r="Z2073" s="1" t="s">
        <v>8982</v>
      </c>
      <c r="AA2073" s="1" t="s">
        <v>8983</v>
      </c>
      <c r="AB2073" s="1"/>
      <c r="AC2073" s="1"/>
      <c r="AD2073" s="1"/>
      <c r="AE2073" s="1"/>
      <c r="AF2073" s="1" t="s">
        <v>8984</v>
      </c>
      <c r="AG2073" s="2" t="str">
        <f>"0872861872"</f>
        <v>0872861872</v>
      </c>
      <c r="AH2073" s="2" t="str">
        <f>"9780872861879"</f>
        <v>9780872861879</v>
      </c>
      <c r="AI2073" s="1">
        <v>0.0</v>
      </c>
      <c r="AJ2073" s="1">
        <v>4.26</v>
      </c>
      <c r="AK2073" s="1" t="s">
        <v>3990</v>
      </c>
      <c r="AL2073" s="1" t="s">
        <v>28</v>
      </c>
      <c r="AM2073" s="1">
        <v>96.0</v>
      </c>
      <c r="AN2073" s="1">
        <v>2001.0</v>
      </c>
      <c r="AO2073" s="1">
        <v>1986.0</v>
      </c>
      <c r="AQ2073" s="3">
        <v>43287.0</v>
      </c>
      <c r="AR2073" s="1" t="s">
        <v>31</v>
      </c>
      <c r="AS2073" s="1" t="s">
        <v>8985</v>
      </c>
      <c r="AT2073" s="1" t="s">
        <v>31</v>
      </c>
      <c r="AX2073" s="1">
        <v>0.0</v>
      </c>
      <c r="AY2073" s="1">
        <v>0.0</v>
      </c>
    </row>
    <row r="2074" spans="20:51" ht="15.75" hidden="1">
      <c r="T2074" s="1">
        <v>7640261.0</v>
      </c>
      <c r="U2074" s="1"/>
      <c r="V2074" s="1"/>
      <c r="W2074" s="1"/>
      <c r="X2074" s="1"/>
      <c r="Y2074" s="1" t="s">
        <v>8986</v>
      </c>
      <c r="Z2074" s="1" t="s">
        <v>8987</v>
      </c>
      <c r="AA2074" s="1" t="s">
        <v>8988</v>
      </c>
      <c r="AB2074" s="1"/>
      <c r="AC2074" s="1"/>
      <c r="AD2074" s="1"/>
      <c r="AE2074" s="1"/>
      <c r="AF2074" s="1" t="s">
        <v>8989</v>
      </c>
      <c r="AG2074" s="2" t="str">
        <f>""</f>
        <v/>
      </c>
      <c r="AH2074" s="2" t="str">
        <f>"9780061707803"</f>
        <v>9780061707803</v>
      </c>
      <c r="AI2074" s="1">
        <v>0.0</v>
      </c>
      <c r="AJ2074" s="1">
        <v>3.98</v>
      </c>
      <c r="AK2074" s="1" t="s">
        <v>4065</v>
      </c>
      <c r="AL2074" s="1" t="s">
        <v>41</v>
      </c>
      <c r="AM2074" s="1">
        <v>416.0</v>
      </c>
      <c r="AN2074" s="1">
        <v>2010.0</v>
      </c>
      <c r="AO2074" s="1">
        <v>2010.0</v>
      </c>
      <c r="AQ2074" s="3">
        <v>43255.0</v>
      </c>
      <c r="AR2074" s="1" t="s">
        <v>31</v>
      </c>
      <c r="AS2074" s="1" t="s">
        <v>8990</v>
      </c>
      <c r="AT2074" s="1" t="s">
        <v>31</v>
      </c>
      <c r="AX2074" s="1">
        <v>0.0</v>
      </c>
      <c r="AY2074" s="1">
        <v>0.0</v>
      </c>
    </row>
    <row r="2075" spans="20:51" ht="15.75" hidden="1">
      <c r="T2075" s="1">
        <v>1.1250317E7</v>
      </c>
      <c r="U2075" s="1"/>
      <c r="V2075" s="1"/>
      <c r="W2075" s="1"/>
      <c r="X2075" s="1"/>
      <c r="Y2075" s="1" t="s">
        <v>8991</v>
      </c>
      <c r="Z2075" s="1" t="s">
        <v>6541</v>
      </c>
      <c r="AA2075" s="1" t="s">
        <v>6542</v>
      </c>
      <c r="AB2075" s="1"/>
      <c r="AC2075" s="1"/>
      <c r="AD2075" s="1"/>
      <c r="AE2075" s="1"/>
      <c r="AG2075" s="2" t="str">
        <f>"1408816032"</f>
        <v>1408816032</v>
      </c>
      <c r="AH2075" s="2" t="str">
        <f>"9781408816035"</f>
        <v>9781408816035</v>
      </c>
      <c r="AI2075" s="1">
        <v>0.0</v>
      </c>
      <c r="AJ2075" s="1">
        <v>4.34</v>
      </c>
      <c r="AK2075" s="1" t="s">
        <v>1742</v>
      </c>
      <c r="AL2075" s="1" t="s">
        <v>41</v>
      </c>
      <c r="AM2075" s="1">
        <v>352.0</v>
      </c>
      <c r="AN2075" s="1">
        <v>2011.0</v>
      </c>
      <c r="AO2075" s="1">
        <v>2011.0</v>
      </c>
      <c r="AQ2075" s="3">
        <v>43198.0</v>
      </c>
      <c r="AR2075" s="1" t="s">
        <v>31</v>
      </c>
      <c r="AS2075" s="1" t="s">
        <v>8992</v>
      </c>
      <c r="AT2075" s="1" t="s">
        <v>31</v>
      </c>
      <c r="AX2075" s="1">
        <v>0.0</v>
      </c>
      <c r="AY2075" s="1">
        <v>0.0</v>
      </c>
    </row>
    <row r="2076" spans="20:51" ht="15.75" hidden="1">
      <c r="T2076" s="1">
        <v>752801.0</v>
      </c>
      <c r="U2076" s="1"/>
      <c r="V2076" s="1"/>
      <c r="W2076" s="1"/>
      <c r="X2076" s="1"/>
      <c r="Y2076" s="1" t="s">
        <v>8993</v>
      </c>
      <c r="Z2076" s="1" t="s">
        <v>328</v>
      </c>
      <c r="AA2076" s="1" t="s">
        <v>329</v>
      </c>
      <c r="AB2076" s="1"/>
      <c r="AC2076" s="1"/>
      <c r="AD2076" s="1"/>
      <c r="AE2076" s="1"/>
      <c r="AF2076" s="1" t="s">
        <v>8994</v>
      </c>
      <c r="AG2076" s="2" t="str">
        <f>"0374230900"</f>
        <v>0374230900</v>
      </c>
      <c r="AH2076" s="2" t="str">
        <f>"9780374230906"</f>
        <v>9780374230906</v>
      </c>
      <c r="AI2076" s="1">
        <v>0.0</v>
      </c>
      <c r="AJ2076" s="1">
        <v>3.91</v>
      </c>
      <c r="AK2076" s="1" t="s">
        <v>8995</v>
      </c>
      <c r="AL2076" s="1" t="s">
        <v>41</v>
      </c>
      <c r="AM2076" s="1">
        <v>105.0</v>
      </c>
      <c r="AN2076" s="1">
        <v>1976.0</v>
      </c>
      <c r="AO2076" s="1">
        <v>1945.0</v>
      </c>
      <c r="AQ2076" s="3">
        <v>43194.0</v>
      </c>
      <c r="AR2076" s="1" t="s">
        <v>31</v>
      </c>
      <c r="AS2076" s="1" t="s">
        <v>8996</v>
      </c>
      <c r="AT2076" s="1" t="s">
        <v>31</v>
      </c>
      <c r="AX2076" s="1">
        <v>0.0</v>
      </c>
      <c r="AY2076" s="1">
        <v>0.0</v>
      </c>
    </row>
    <row r="2077" spans="20:51" ht="15.75" hidden="1">
      <c r="T2077" s="1">
        <v>2.2749909E7</v>
      </c>
      <c r="U2077" s="1"/>
      <c r="V2077" s="1"/>
      <c r="W2077" s="1"/>
      <c r="X2077" s="1"/>
      <c r="Y2077" s="1" t="s">
        <v>8997</v>
      </c>
      <c r="Z2077" s="1" t="s">
        <v>8998</v>
      </c>
      <c r="AA2077" s="1" t="s">
        <v>8999</v>
      </c>
      <c r="AB2077" s="1"/>
      <c r="AC2077" s="1"/>
      <c r="AD2077" s="1"/>
      <c r="AE2077" s="1"/>
      <c r="AG2077" s="2" t="str">
        <f>"054445619X"</f>
        <v>054445619X</v>
      </c>
      <c r="AH2077" s="2" t="str">
        <f>"9780544456198"</f>
        <v>9780544456198</v>
      </c>
      <c r="AI2077" s="1">
        <v>0.0</v>
      </c>
      <c r="AJ2077" s="1">
        <v>4.01</v>
      </c>
      <c r="AK2077" s="1" t="s">
        <v>9000</v>
      </c>
      <c r="AL2077" s="1" t="s">
        <v>41</v>
      </c>
      <c r="AM2077" s="1">
        <v>112.0</v>
      </c>
      <c r="AN2077" s="1">
        <v>2015.0</v>
      </c>
      <c r="AO2077" s="1">
        <v>2015.0</v>
      </c>
      <c r="AQ2077" s="3">
        <v>43155.0</v>
      </c>
      <c r="AR2077" s="1" t="s">
        <v>31</v>
      </c>
      <c r="AS2077" s="1" t="s">
        <v>9001</v>
      </c>
      <c r="AT2077" s="1" t="s">
        <v>31</v>
      </c>
      <c r="AX2077" s="1">
        <v>0.0</v>
      </c>
      <c r="AY2077" s="1">
        <v>0.0</v>
      </c>
    </row>
    <row r="2078" spans="20:51" ht="15.75" hidden="1">
      <c r="T2078" s="1">
        <v>4147337.0</v>
      </c>
      <c r="U2078" s="1"/>
      <c r="V2078" s="1"/>
      <c r="W2078" s="1"/>
      <c r="X2078" s="1"/>
      <c r="Y2078" s="1" t="s">
        <v>9002</v>
      </c>
      <c r="Z2078" s="1" t="s">
        <v>9003</v>
      </c>
      <c r="AA2078" s="1" t="s">
        <v>9004</v>
      </c>
      <c r="AB2078" s="1"/>
      <c r="AC2078" s="1"/>
      <c r="AD2078" s="1"/>
      <c r="AE2078" s="1"/>
      <c r="AG2078" s="2" t="str">
        <f>"9994335731"</f>
        <v>9994335731</v>
      </c>
      <c r="AH2078" s="2" t="str">
        <f>"9789994335732"</f>
        <v>9789994335732</v>
      </c>
      <c r="AI2078" s="1">
        <v>3.0</v>
      </c>
      <c r="AJ2078" s="1">
        <v>3.44</v>
      </c>
      <c r="AK2078" s="1" t="s">
        <v>9005</v>
      </c>
      <c r="AL2078" s="1" t="s">
        <v>28</v>
      </c>
      <c r="AN2078" s="1">
        <v>1984.0</v>
      </c>
      <c r="AO2078" s="1">
        <v>1984.0</v>
      </c>
      <c r="AQ2078" s="3">
        <v>43155.0</v>
      </c>
      <c r="AT2078" s="1" t="s">
        <v>127</v>
      </c>
      <c r="AX2078" s="1">
        <v>1.0</v>
      </c>
      <c r="AY2078" s="1">
        <v>0.0</v>
      </c>
    </row>
    <row r="2079" spans="20:51" ht="15.75" hidden="1">
      <c r="T2079" s="1">
        <v>63031.0</v>
      </c>
      <c r="U2079" s="1"/>
      <c r="V2079" s="1"/>
      <c r="W2079" s="1"/>
      <c r="X2079" s="1"/>
      <c r="Y2079" s="1" t="s">
        <v>9006</v>
      </c>
      <c r="Z2079" s="1" t="s">
        <v>1780</v>
      </c>
      <c r="AA2079" s="1" t="s">
        <v>1781</v>
      </c>
      <c r="AB2079" s="1"/>
      <c r="AC2079" s="1"/>
      <c r="AD2079" s="1"/>
      <c r="AE2079" s="1"/>
      <c r="AF2079" s="1" t="s">
        <v>1856</v>
      </c>
      <c r="AG2079" s="2" t="str">
        <f>"0811215474"</f>
        <v>0811215474</v>
      </c>
      <c r="AH2079" s="2" t="str">
        <f>"9780811215473"</f>
        <v>9780811215473</v>
      </c>
      <c r="AI2079" s="1">
        <v>0.0</v>
      </c>
      <c r="AJ2079" s="1">
        <v>3.89</v>
      </c>
      <c r="AK2079" s="1" t="s">
        <v>95</v>
      </c>
      <c r="AL2079" s="1" t="s">
        <v>28</v>
      </c>
      <c r="AM2079" s="1">
        <v>118.0</v>
      </c>
      <c r="AN2079" s="1">
        <v>2005.0</v>
      </c>
      <c r="AO2079" s="1">
        <v>2000.0</v>
      </c>
      <c r="AQ2079" s="3">
        <v>43145.0</v>
      </c>
      <c r="AR2079" s="1" t="s">
        <v>31</v>
      </c>
      <c r="AS2079" s="1" t="s">
        <v>9007</v>
      </c>
      <c r="AT2079" s="1" t="s">
        <v>31</v>
      </c>
      <c r="AX2079" s="1">
        <v>0.0</v>
      </c>
      <c r="AY2079" s="1">
        <v>0.0</v>
      </c>
    </row>
    <row r="2080" spans="20:51" ht="15.75" hidden="1">
      <c r="T2080" s="1">
        <v>3.0841115E7</v>
      </c>
      <c r="U2080" s="1"/>
      <c r="V2080" s="1"/>
      <c r="W2080" s="1"/>
      <c r="X2080" s="1"/>
      <c r="Y2080" s="1" t="s">
        <v>9008</v>
      </c>
      <c r="Z2080" s="1" t="s">
        <v>9009</v>
      </c>
      <c r="AA2080" s="1" t="s">
        <v>9010</v>
      </c>
      <c r="AB2080" s="1"/>
      <c r="AC2080" s="1"/>
      <c r="AD2080" s="1"/>
      <c r="AE2080" s="1"/>
      <c r="AG2080" s="2" t="str">
        <f>"1632868776"</f>
        <v>1632868776</v>
      </c>
      <c r="AH2080" s="2" t="str">
        <f>"9781632868770"</f>
        <v>9781632868770</v>
      </c>
      <c r="AI2080" s="1">
        <v>0.0</v>
      </c>
      <c r="AJ2080" s="1">
        <v>4.33</v>
      </c>
      <c r="AK2080" s="1" t="s">
        <v>851</v>
      </c>
      <c r="AL2080" s="1" t="s">
        <v>28</v>
      </c>
      <c r="AM2080" s="1">
        <v>80.0</v>
      </c>
      <c r="AN2080" s="1">
        <v>2017.0</v>
      </c>
      <c r="AO2080" s="1">
        <v>2016.0</v>
      </c>
      <c r="AQ2080" s="3">
        <v>43142.0</v>
      </c>
      <c r="AR2080" s="1" t="s">
        <v>31</v>
      </c>
      <c r="AS2080" s="1" t="s">
        <v>9011</v>
      </c>
      <c r="AT2080" s="1" t="s">
        <v>31</v>
      </c>
      <c r="AX2080" s="1">
        <v>0.0</v>
      </c>
      <c r="AY2080" s="1">
        <v>0.0</v>
      </c>
    </row>
    <row r="2081" spans="20:51" ht="15.75" hidden="1">
      <c r="T2081" s="1">
        <v>2.7131082E7</v>
      </c>
      <c r="U2081" s="1"/>
      <c r="V2081" s="1"/>
      <c r="W2081" s="1"/>
      <c r="X2081" s="1"/>
      <c r="Y2081" s="1" t="s">
        <v>9012</v>
      </c>
      <c r="Z2081" s="1" t="s">
        <v>7902</v>
      </c>
      <c r="AA2081" s="1" t="s">
        <v>7903</v>
      </c>
      <c r="AB2081" s="1"/>
      <c r="AC2081" s="1"/>
      <c r="AD2081" s="1"/>
      <c r="AE2081" s="1"/>
      <c r="AG2081" s="2" t="str">
        <f>"160846623X"</f>
        <v>160846623X</v>
      </c>
      <c r="AH2081" s="2" t="str">
        <f>"9781608466238"</f>
        <v>9781608466238</v>
      </c>
      <c r="AI2081" s="1">
        <v>0.0</v>
      </c>
      <c r="AJ2081" s="1">
        <v>4.07</v>
      </c>
      <c r="AK2081" s="1" t="s">
        <v>2218</v>
      </c>
      <c r="AL2081" s="1" t="s">
        <v>28</v>
      </c>
      <c r="AM2081" s="1">
        <v>404.0</v>
      </c>
      <c r="AN2081" s="1">
        <v>2016.0</v>
      </c>
      <c r="AO2081" s="1">
        <v>1996.0</v>
      </c>
      <c r="AQ2081" s="3">
        <v>43142.0</v>
      </c>
      <c r="AR2081" s="1" t="s">
        <v>31</v>
      </c>
      <c r="AS2081" s="1" t="s">
        <v>9013</v>
      </c>
      <c r="AT2081" s="1" t="s">
        <v>31</v>
      </c>
      <c r="AX2081" s="1">
        <v>0.0</v>
      </c>
      <c r="AY2081" s="1">
        <v>0.0</v>
      </c>
    </row>
    <row r="2082" spans="20:51" ht="15.75" hidden="1">
      <c r="T2082" s="1">
        <v>492903.0</v>
      </c>
      <c r="U2082" s="1"/>
      <c r="V2082" s="1"/>
      <c r="W2082" s="1"/>
      <c r="X2082" s="1"/>
      <c r="Y2082" s="1" t="s">
        <v>9014</v>
      </c>
      <c r="Z2082" s="1" t="s">
        <v>9015</v>
      </c>
      <c r="AA2082" s="1" t="s">
        <v>9016</v>
      </c>
      <c r="AB2082" s="1"/>
      <c r="AC2082" s="1"/>
      <c r="AD2082" s="1"/>
      <c r="AE2082" s="1"/>
      <c r="AG2082" s="2" t="str">
        <f>"0802131336"</f>
        <v>0802131336</v>
      </c>
      <c r="AH2082" s="2" t="str">
        <f>"9780802131331"</f>
        <v>9780802131331</v>
      </c>
      <c r="AI2082" s="1">
        <v>0.0</v>
      </c>
      <c r="AJ2082" s="1">
        <v>3.89</v>
      </c>
      <c r="AK2082" s="1" t="s">
        <v>35</v>
      </c>
      <c r="AL2082" s="1" t="s">
        <v>28</v>
      </c>
      <c r="AM2082" s="1">
        <v>184.0</v>
      </c>
      <c r="AN2082" s="1">
        <v>1994.0</v>
      </c>
      <c r="AO2082" s="1">
        <v>1969.0</v>
      </c>
      <c r="AQ2082" s="3">
        <v>43139.0</v>
      </c>
      <c r="AR2082" s="1" t="s">
        <v>31</v>
      </c>
      <c r="AS2082" s="1" t="s">
        <v>9017</v>
      </c>
      <c r="AT2082" s="1" t="s">
        <v>31</v>
      </c>
      <c r="AX2082" s="1">
        <v>0.0</v>
      </c>
      <c r="AY2082" s="1">
        <v>0.0</v>
      </c>
    </row>
    <row r="2083" spans="20:51" ht="15.75" hidden="1">
      <c r="T2083" s="1">
        <v>6668872.0</v>
      </c>
      <c r="U2083" s="1"/>
      <c r="V2083" s="1"/>
      <c r="W2083" s="1"/>
      <c r="X2083" s="1"/>
      <c r="Y2083" s="1" t="s">
        <v>9018</v>
      </c>
      <c r="Z2083" s="1" t="s">
        <v>9019</v>
      </c>
      <c r="AA2083" s="1" t="s">
        <v>9020</v>
      </c>
      <c r="AB2083" s="1"/>
      <c r="AC2083" s="1"/>
      <c r="AD2083" s="1"/>
      <c r="AE2083" s="1"/>
      <c r="AG2083" s="2" t="str">
        <f>"0691135983"</f>
        <v>0691135983</v>
      </c>
      <c r="AH2083" s="2" t="str">
        <f>"9780691135984"</f>
        <v>9780691135984</v>
      </c>
      <c r="AI2083" s="1">
        <v>0.0</v>
      </c>
      <c r="AJ2083" s="1">
        <v>4.11</v>
      </c>
      <c r="AK2083" s="1" t="s">
        <v>141</v>
      </c>
      <c r="AL2083" s="1" t="s">
        <v>41</v>
      </c>
      <c r="AM2083" s="1">
        <v>296.0</v>
      </c>
      <c r="AN2083" s="1">
        <v>2009.0</v>
      </c>
      <c r="AO2083" s="1">
        <v>2009.0</v>
      </c>
      <c r="AQ2083" s="3">
        <v>43117.0</v>
      </c>
      <c r="AR2083" s="1" t="s">
        <v>31</v>
      </c>
      <c r="AS2083" s="1" t="s">
        <v>9021</v>
      </c>
      <c r="AT2083" s="1" t="s">
        <v>31</v>
      </c>
      <c r="AX2083" s="1">
        <v>0.0</v>
      </c>
      <c r="AY2083" s="1">
        <v>0.0</v>
      </c>
    </row>
    <row r="2084" spans="20:51" ht="15.75" hidden="1">
      <c r="T2084" s="1">
        <v>2.6153427E7</v>
      </c>
      <c r="U2084" s="1"/>
      <c r="V2084" s="1"/>
      <c r="W2084" s="1"/>
      <c r="X2084" s="1"/>
      <c r="Y2084" s="1" t="s">
        <v>9022</v>
      </c>
      <c r="Z2084" s="1" t="s">
        <v>9023</v>
      </c>
      <c r="AA2084" s="1" t="s">
        <v>9024</v>
      </c>
      <c r="AB2084" s="1"/>
      <c r="AC2084" s="1"/>
      <c r="AD2084" s="1"/>
      <c r="AE2084" s="1"/>
      <c r="AF2084" s="1" t="s">
        <v>9025</v>
      </c>
      <c r="AG2084" s="2" t="str">
        <f>"1783605375"</f>
        <v>1783605375</v>
      </c>
      <c r="AH2084" s="2" t="str">
        <f>"9781783605378"</f>
        <v>9781783605378</v>
      </c>
      <c r="AI2084" s="1">
        <v>0.0</v>
      </c>
      <c r="AJ2084" s="1">
        <v>3.4</v>
      </c>
      <c r="AK2084" s="1" t="s">
        <v>9026</v>
      </c>
      <c r="AL2084" s="1" t="s">
        <v>28</v>
      </c>
      <c r="AM2084" s="1">
        <v>288.0</v>
      </c>
      <c r="AN2084" s="1">
        <v>2016.0</v>
      </c>
      <c r="AO2084" s="1">
        <v>2014.0</v>
      </c>
      <c r="AQ2084" s="3">
        <v>43107.0</v>
      </c>
      <c r="AR2084" s="1" t="s">
        <v>31</v>
      </c>
      <c r="AS2084" s="1" t="s">
        <v>9027</v>
      </c>
      <c r="AT2084" s="1" t="s">
        <v>31</v>
      </c>
      <c r="AX2084" s="1">
        <v>0.0</v>
      </c>
      <c r="AY2084" s="1">
        <v>0.0</v>
      </c>
    </row>
    <row r="2085" spans="20:51" ht="15.75" hidden="1">
      <c r="T2085" s="1">
        <v>379260.0</v>
      </c>
      <c r="U2085" s="1"/>
      <c r="V2085" s="1"/>
      <c r="W2085" s="1"/>
      <c r="X2085" s="1"/>
      <c r="Y2085" s="1" t="s">
        <v>9028</v>
      </c>
      <c r="Z2085" s="1" t="s">
        <v>9029</v>
      </c>
      <c r="AA2085" s="1" t="s">
        <v>9030</v>
      </c>
      <c r="AB2085" s="1"/>
      <c r="AC2085" s="1"/>
      <c r="AD2085" s="1"/>
      <c r="AE2085" s="1"/>
      <c r="AG2085" s="2" t="str">
        <f>"1564780856"</f>
        <v>1564780856</v>
      </c>
      <c r="AH2085" s="2" t="str">
        <f>"9781564780850"</f>
        <v>9781564780850</v>
      </c>
      <c r="AI2085" s="1">
        <v>0.0</v>
      </c>
      <c r="AJ2085" s="1">
        <v>3.88</v>
      </c>
      <c r="AK2085" s="1" t="s">
        <v>27</v>
      </c>
      <c r="AL2085" s="1" t="s">
        <v>28</v>
      </c>
      <c r="AM2085" s="1">
        <v>223.0</v>
      </c>
      <c r="AN2085" s="1">
        <v>1995.0</v>
      </c>
      <c r="AO2085" s="1">
        <v>1984.0</v>
      </c>
      <c r="AQ2085" s="3">
        <v>43101.0</v>
      </c>
      <c r="AR2085" s="1" t="s">
        <v>31</v>
      </c>
      <c r="AS2085" s="1" t="s">
        <v>9031</v>
      </c>
      <c r="AT2085" s="1" t="s">
        <v>31</v>
      </c>
      <c r="AX2085" s="1">
        <v>0.0</v>
      </c>
      <c r="AY2085" s="1">
        <v>0.0</v>
      </c>
    </row>
    <row r="2086" spans="20:51" ht="15.75" hidden="1">
      <c r="T2086" s="1">
        <v>1362746.0</v>
      </c>
      <c r="U2086" s="1"/>
      <c r="V2086" s="1"/>
      <c r="W2086" s="1"/>
      <c r="X2086" s="1"/>
      <c r="Y2086" s="1" t="s">
        <v>9032</v>
      </c>
      <c r="Z2086" s="1" t="s">
        <v>771</v>
      </c>
      <c r="AA2086" s="1" t="s">
        <v>772</v>
      </c>
      <c r="AB2086" s="1"/>
      <c r="AC2086" s="1"/>
      <c r="AD2086" s="1"/>
      <c r="AE2086" s="1"/>
      <c r="AG2086" s="2" t="str">
        <f>"0195111273"</f>
        <v>0195111273</v>
      </c>
      <c r="AH2086" s="2" t="str">
        <f>"9780195111279"</f>
        <v>9780195111279</v>
      </c>
      <c r="AI2086" s="1">
        <v>0.0</v>
      </c>
      <c r="AJ2086" s="1">
        <v>3.99</v>
      </c>
      <c r="AK2086" s="1" t="s">
        <v>214</v>
      </c>
      <c r="AL2086" s="1" t="s">
        <v>28</v>
      </c>
      <c r="AM2086" s="1">
        <v>256.0</v>
      </c>
      <c r="AN2086" s="1">
        <v>1997.0</v>
      </c>
      <c r="AO2086" s="1">
        <v>1995.0</v>
      </c>
      <c r="AQ2086" s="3">
        <v>43101.0</v>
      </c>
      <c r="AR2086" s="1" t="s">
        <v>31</v>
      </c>
      <c r="AS2086" s="1" t="s">
        <v>9033</v>
      </c>
      <c r="AT2086" s="1" t="s">
        <v>31</v>
      </c>
      <c r="AX2086" s="1">
        <v>0.0</v>
      </c>
      <c r="AY2086" s="1">
        <v>0.0</v>
      </c>
    </row>
    <row r="2087" spans="20:51" ht="15.75" hidden="1">
      <c r="T2087" s="1">
        <v>194805.0</v>
      </c>
      <c r="U2087" s="1"/>
      <c r="V2087" s="1"/>
      <c r="W2087" s="1"/>
      <c r="X2087" s="1"/>
      <c r="Y2087" s="1" t="s">
        <v>9034</v>
      </c>
      <c r="Z2087" s="1" t="s">
        <v>7892</v>
      </c>
      <c r="AA2087" s="1" t="s">
        <v>7893</v>
      </c>
      <c r="AB2087" s="1"/>
      <c r="AC2087" s="1"/>
      <c r="AD2087" s="1"/>
      <c r="AE2087" s="1"/>
      <c r="AF2087" s="1" t="s">
        <v>9035</v>
      </c>
      <c r="AG2087" s="2" t="str">
        <f>"1565847032"</f>
        <v>1565847032</v>
      </c>
      <c r="AH2087" s="2" t="str">
        <f>"9781565847033"</f>
        <v>9781565847033</v>
      </c>
      <c r="AI2087" s="1">
        <v>0.0</v>
      </c>
      <c r="AJ2087" s="1">
        <v>4.42</v>
      </c>
      <c r="AK2087" s="1" t="s">
        <v>2872</v>
      </c>
      <c r="AL2087" s="1" t="s">
        <v>28</v>
      </c>
      <c r="AM2087" s="1">
        <v>416.0</v>
      </c>
      <c r="AN2087" s="1">
        <v>2002.0</v>
      </c>
      <c r="AO2087" s="1">
        <v>2002.0</v>
      </c>
      <c r="AQ2087" s="3">
        <v>43101.0</v>
      </c>
      <c r="AR2087" s="1" t="s">
        <v>31</v>
      </c>
      <c r="AS2087" s="1" t="s">
        <v>9036</v>
      </c>
      <c r="AT2087" s="1" t="s">
        <v>31</v>
      </c>
      <c r="AX2087" s="1">
        <v>0.0</v>
      </c>
      <c r="AY2087" s="1">
        <v>0.0</v>
      </c>
    </row>
    <row r="2088" spans="20:51" ht="15.75" hidden="1">
      <c r="T2088" s="1">
        <v>2.6095252E7</v>
      </c>
      <c r="U2088" s="1"/>
      <c r="V2088" s="1"/>
      <c r="W2088" s="1"/>
      <c r="X2088" s="1"/>
      <c r="Y2088" s="1" t="s">
        <v>9037</v>
      </c>
      <c r="Z2088" s="1" t="s">
        <v>9038</v>
      </c>
      <c r="AA2088" s="1" t="s">
        <v>9039</v>
      </c>
      <c r="AB2088" s="1"/>
      <c r="AC2088" s="1"/>
      <c r="AD2088" s="1"/>
      <c r="AE2088" s="1"/>
      <c r="AG2088" s="2" t="str">
        <f>"1782791329"</f>
        <v>1782791329</v>
      </c>
      <c r="AH2088" s="2" t="str">
        <f>"9781782791324"</f>
        <v>9781782791324</v>
      </c>
      <c r="AI2088" s="1">
        <v>0.0</v>
      </c>
      <c r="AJ2088" s="1">
        <v>3.5</v>
      </c>
      <c r="AK2088" s="1" t="s">
        <v>2213</v>
      </c>
      <c r="AL2088" s="1" t="s">
        <v>65</v>
      </c>
      <c r="AM2088" s="1">
        <v>165.0</v>
      </c>
      <c r="AN2088" s="1">
        <v>2015.0</v>
      </c>
      <c r="AO2088" s="1">
        <v>2015.0</v>
      </c>
      <c r="AQ2088" s="3">
        <v>43101.0</v>
      </c>
      <c r="AR2088" s="1" t="s">
        <v>31</v>
      </c>
      <c r="AS2088" s="1" t="s">
        <v>9040</v>
      </c>
      <c r="AT2088" s="1" t="s">
        <v>31</v>
      </c>
      <c r="AX2088" s="1">
        <v>0.0</v>
      </c>
      <c r="AY2088" s="1">
        <v>0.0</v>
      </c>
    </row>
    <row r="2089" spans="20:51" ht="15.75" hidden="1">
      <c r="T2089" s="1">
        <v>3.1017613E7</v>
      </c>
      <c r="U2089" s="1"/>
      <c r="V2089" s="1"/>
      <c r="W2089" s="1"/>
      <c r="X2089" s="1"/>
      <c r="Y2089" s="1" t="s">
        <v>9041</v>
      </c>
      <c r="Z2089" s="1" t="s">
        <v>9042</v>
      </c>
      <c r="AA2089" s="1" t="s">
        <v>9043</v>
      </c>
      <c r="AB2089" s="1"/>
      <c r="AC2089" s="1"/>
      <c r="AD2089" s="1"/>
      <c r="AE2089" s="1"/>
      <c r="AG2089" s="2" t="str">
        <f>"1782797483"</f>
        <v>1782797483</v>
      </c>
      <c r="AH2089" s="2" t="str">
        <f>"9781782797487"</f>
        <v>9781782797487</v>
      </c>
      <c r="AI2089" s="1">
        <v>0.0</v>
      </c>
      <c r="AJ2089" s="1">
        <v>3.43</v>
      </c>
      <c r="AK2089" s="1" t="s">
        <v>2213</v>
      </c>
      <c r="AL2089" s="1" t="s">
        <v>28</v>
      </c>
      <c r="AM2089" s="1">
        <v>120.0</v>
      </c>
      <c r="AN2089" s="1">
        <v>2016.0</v>
      </c>
      <c r="AO2089" s="1">
        <v>2016.0</v>
      </c>
      <c r="AQ2089" s="3">
        <v>43101.0</v>
      </c>
      <c r="AR2089" s="1" t="s">
        <v>31</v>
      </c>
      <c r="AS2089" s="1" t="s">
        <v>9044</v>
      </c>
      <c r="AT2089" s="1" t="s">
        <v>31</v>
      </c>
      <c r="AX2089" s="1">
        <v>0.0</v>
      </c>
      <c r="AY2089" s="1">
        <v>0.0</v>
      </c>
    </row>
    <row r="2090" spans="20:51" ht="15.75" hidden="1">
      <c r="T2090" s="1">
        <v>1.8357637E7</v>
      </c>
      <c r="U2090" s="1"/>
      <c r="V2090" s="1"/>
      <c r="W2090" s="1"/>
      <c r="X2090" s="1"/>
      <c r="Y2090" s="1" t="s">
        <v>9045</v>
      </c>
      <c r="Z2090" s="1" t="s">
        <v>9046</v>
      </c>
      <c r="AA2090" s="1" t="s">
        <v>9047</v>
      </c>
      <c r="AB2090" s="1"/>
      <c r="AC2090" s="1"/>
      <c r="AD2090" s="1"/>
      <c r="AE2090" s="1"/>
      <c r="AG2090" s="2" t="str">
        <f>"1780996667"</f>
        <v>1780996667</v>
      </c>
      <c r="AH2090" s="2" t="str">
        <f>"9781780996660"</f>
        <v>9781780996660</v>
      </c>
      <c r="AI2090" s="1">
        <v>0.0</v>
      </c>
      <c r="AJ2090" s="1">
        <v>2.86</v>
      </c>
      <c r="AK2090" s="1" t="s">
        <v>2213</v>
      </c>
      <c r="AL2090" s="1" t="s">
        <v>28</v>
      </c>
      <c r="AM2090" s="1">
        <v>193.0</v>
      </c>
      <c r="AN2090" s="1">
        <v>2013.0</v>
      </c>
      <c r="AO2090" s="1">
        <v>2012.0</v>
      </c>
      <c r="AQ2090" s="3">
        <v>43101.0</v>
      </c>
      <c r="AR2090" s="1" t="s">
        <v>31</v>
      </c>
      <c r="AS2090" s="1" t="s">
        <v>9048</v>
      </c>
      <c r="AT2090" s="1" t="s">
        <v>31</v>
      </c>
      <c r="AX2090" s="1">
        <v>0.0</v>
      </c>
      <c r="AY2090" s="1">
        <v>0.0</v>
      </c>
    </row>
    <row r="2091" spans="20:51" ht="15.75" hidden="1">
      <c r="T2091" s="1">
        <v>3052077.0</v>
      </c>
      <c r="U2091" s="1"/>
      <c r="V2091" s="1"/>
      <c r="W2091" s="1"/>
      <c r="X2091" s="1"/>
      <c r="Y2091" s="1" t="s">
        <v>9049</v>
      </c>
      <c r="Z2091" s="1" t="s">
        <v>9050</v>
      </c>
      <c r="AA2091" s="1" t="s">
        <v>9051</v>
      </c>
      <c r="AB2091" s="1"/>
      <c r="AC2091" s="1"/>
      <c r="AD2091" s="1"/>
      <c r="AE2091" s="1"/>
      <c r="AG2091" s="2" t="str">
        <f>"0521682991"</f>
        <v>0521682991</v>
      </c>
      <c r="AH2091" s="2" t="str">
        <f>"9780521682992"</f>
        <v>9780521682992</v>
      </c>
      <c r="AI2091" s="1">
        <v>0.0</v>
      </c>
      <c r="AJ2091" s="1">
        <v>3.73</v>
      </c>
      <c r="AK2091" s="1" t="s">
        <v>605</v>
      </c>
      <c r="AL2091" s="1" t="s">
        <v>28</v>
      </c>
      <c r="AM2091" s="1">
        <v>152.0</v>
      </c>
      <c r="AN2091" s="1">
        <v>2008.0</v>
      </c>
      <c r="AO2091" s="1">
        <v>2008.0</v>
      </c>
      <c r="AQ2091" s="4">
        <v>43094.0</v>
      </c>
      <c r="AR2091" s="1" t="s">
        <v>31</v>
      </c>
      <c r="AS2091" s="1" t="s">
        <v>9052</v>
      </c>
      <c r="AT2091" s="1" t="s">
        <v>31</v>
      </c>
      <c r="AX2091" s="1">
        <v>0.0</v>
      </c>
      <c r="AY2091" s="1">
        <v>0.0</v>
      </c>
    </row>
    <row r="2092" spans="20:51" ht="15.75" hidden="1">
      <c r="T2092" s="1">
        <v>144950.0</v>
      </c>
      <c r="U2092" s="1"/>
      <c r="V2092" s="1"/>
      <c r="W2092" s="1"/>
      <c r="X2092" s="1"/>
      <c r="Y2092" s="1" t="s">
        <v>9053</v>
      </c>
      <c r="Z2092" s="1" t="s">
        <v>9054</v>
      </c>
      <c r="AA2092" s="1" t="s">
        <v>9055</v>
      </c>
      <c r="AB2092" s="1"/>
      <c r="AC2092" s="1"/>
      <c r="AD2092" s="1"/>
      <c r="AE2092" s="1"/>
      <c r="AG2092" s="2" t="str">
        <f>"0631140433"</f>
        <v>0631140433</v>
      </c>
      <c r="AH2092" s="2" t="str">
        <f>"9780631140436"</f>
        <v>9780631140436</v>
      </c>
      <c r="AI2092" s="1">
        <v>0.0</v>
      </c>
      <c r="AJ2092" s="1">
        <v>3.75</v>
      </c>
      <c r="AK2092" s="1" t="s">
        <v>1315</v>
      </c>
      <c r="AL2092" s="1" t="s">
        <v>3470</v>
      </c>
      <c r="AM2092" s="1">
        <v>246.0</v>
      </c>
      <c r="AN2092" s="1">
        <v>1986.0</v>
      </c>
      <c r="AO2092" s="1">
        <v>1986.0</v>
      </c>
      <c r="AQ2092" s="4">
        <v>43094.0</v>
      </c>
      <c r="AR2092" s="1" t="s">
        <v>31</v>
      </c>
      <c r="AS2092" s="1" t="s">
        <v>9056</v>
      </c>
      <c r="AT2092" s="1" t="s">
        <v>31</v>
      </c>
      <c r="AX2092" s="1">
        <v>0.0</v>
      </c>
      <c r="AY2092" s="1">
        <v>0.0</v>
      </c>
    </row>
    <row r="2093" spans="20:51" ht="15.75" hidden="1">
      <c r="T2093" s="1">
        <v>80382.0</v>
      </c>
      <c r="U2093" s="1"/>
      <c r="V2093" s="1"/>
      <c r="W2093" s="1"/>
      <c r="X2093" s="1"/>
      <c r="Y2093" s="1" t="s">
        <v>9057</v>
      </c>
      <c r="Z2093" s="1" t="s">
        <v>4095</v>
      </c>
      <c r="AA2093" s="1" t="s">
        <v>4096</v>
      </c>
      <c r="AB2093" s="1"/>
      <c r="AC2093" s="1"/>
      <c r="AD2093" s="1"/>
      <c r="AE2093" s="1"/>
      <c r="AG2093" s="2" t="str">
        <f>"0521600537"</f>
        <v>0521600537</v>
      </c>
      <c r="AH2093" s="2" t="str">
        <f>"9780521600538"</f>
        <v>9780521600538</v>
      </c>
      <c r="AI2093" s="1">
        <v>0.0</v>
      </c>
      <c r="AJ2093" s="1">
        <v>3.63</v>
      </c>
      <c r="AK2093" s="1" t="s">
        <v>605</v>
      </c>
      <c r="AL2093" s="1" t="s">
        <v>28</v>
      </c>
      <c r="AM2093" s="1">
        <v>486.0</v>
      </c>
      <c r="AN2093" s="1">
        <v>2005.0</v>
      </c>
      <c r="AO2093" s="1">
        <v>1994.0</v>
      </c>
      <c r="AQ2093" s="4">
        <v>43094.0</v>
      </c>
      <c r="AR2093" s="1" t="s">
        <v>31</v>
      </c>
      <c r="AS2093" s="1" t="s">
        <v>9058</v>
      </c>
      <c r="AT2093" s="1" t="s">
        <v>31</v>
      </c>
      <c r="AX2093" s="1">
        <v>0.0</v>
      </c>
      <c r="AY2093" s="1">
        <v>0.0</v>
      </c>
    </row>
    <row r="2094" spans="20:51" ht="15.75" hidden="1">
      <c r="T2094" s="1">
        <v>284483.0</v>
      </c>
      <c r="U2094" s="1"/>
      <c r="V2094" s="1"/>
      <c r="W2094" s="1"/>
      <c r="X2094" s="1"/>
      <c r="Y2094" s="1" t="s">
        <v>9059</v>
      </c>
      <c r="Z2094" s="1" t="s">
        <v>9060</v>
      </c>
      <c r="AA2094" s="1" t="s">
        <v>9061</v>
      </c>
      <c r="AB2094" s="1"/>
      <c r="AC2094" s="1"/>
      <c r="AD2094" s="1"/>
      <c r="AE2094" s="1"/>
      <c r="AG2094" s="2" t="str">
        <f>"0195134168"</f>
        <v>0195134168</v>
      </c>
      <c r="AH2094" s="2" t="str">
        <f>"9780195134162"</f>
        <v>9780195134162</v>
      </c>
      <c r="AI2094" s="1">
        <v>0.0</v>
      </c>
      <c r="AJ2094" s="1">
        <v>4.23</v>
      </c>
      <c r="AK2094" s="1" t="s">
        <v>214</v>
      </c>
      <c r="AL2094" s="1" t="s">
        <v>28</v>
      </c>
      <c r="AM2094" s="1">
        <v>320.0</v>
      </c>
      <c r="AN2094" s="1">
        <v>1999.0</v>
      </c>
      <c r="AO2094" s="1">
        <v>1998.0</v>
      </c>
      <c r="AQ2094" s="4">
        <v>43087.0</v>
      </c>
      <c r="AR2094" s="1" t="s">
        <v>31</v>
      </c>
      <c r="AS2094" s="1" t="s">
        <v>9062</v>
      </c>
      <c r="AT2094" s="1" t="s">
        <v>31</v>
      </c>
      <c r="AX2094" s="1">
        <v>0.0</v>
      </c>
      <c r="AY2094" s="1">
        <v>0.0</v>
      </c>
    </row>
    <row r="2095" spans="20:51" ht="15.75" hidden="1">
      <c r="T2095" s="1">
        <v>3.4640834E7</v>
      </c>
      <c r="U2095" s="1"/>
      <c r="V2095" s="1"/>
      <c r="W2095" s="1"/>
      <c r="X2095" s="1"/>
      <c r="Y2095" s="1" t="s">
        <v>9063</v>
      </c>
      <c r="Z2095" s="1" t="s">
        <v>9064</v>
      </c>
      <c r="AA2095" s="1" t="s">
        <v>9065</v>
      </c>
      <c r="AB2095" s="1"/>
      <c r="AC2095" s="1"/>
      <c r="AD2095" s="1"/>
      <c r="AE2095" s="1"/>
      <c r="AG2095" s="2" t="str">
        <f>"0190604980"</f>
        <v>0190604980</v>
      </c>
      <c r="AH2095" s="2" t="str">
        <f>"9780190604981"</f>
        <v>9780190604981</v>
      </c>
      <c r="AI2095" s="1">
        <v>0.0</v>
      </c>
      <c r="AJ2095" s="1">
        <v>4.23</v>
      </c>
      <c r="AK2095" s="1" t="s">
        <v>214</v>
      </c>
      <c r="AL2095" s="1" t="s">
        <v>41</v>
      </c>
      <c r="AM2095" s="1">
        <v>338.0</v>
      </c>
      <c r="AN2095" s="1">
        <v>2017.0</v>
      </c>
      <c r="AO2095" s="1">
        <v>2017.0</v>
      </c>
      <c r="AQ2095" s="4">
        <v>43079.0</v>
      </c>
      <c r="AR2095" s="1" t="s">
        <v>31</v>
      </c>
      <c r="AS2095" s="1" t="s">
        <v>9066</v>
      </c>
      <c r="AT2095" s="1" t="s">
        <v>31</v>
      </c>
      <c r="AX2095" s="1">
        <v>0.0</v>
      </c>
      <c r="AY2095" s="1">
        <v>0.0</v>
      </c>
    </row>
    <row r="2096" spans="20:51" ht="15.75" hidden="1">
      <c r="T2096" s="1">
        <v>3.157825E7</v>
      </c>
      <c r="U2096" s="1"/>
      <c r="V2096" s="1"/>
      <c r="W2096" s="1"/>
      <c r="X2096" s="1"/>
      <c r="Y2096" s="1" t="s">
        <v>9067</v>
      </c>
      <c r="Z2096" s="1" t="s">
        <v>9068</v>
      </c>
      <c r="AA2096" s="1" t="s">
        <v>9069</v>
      </c>
      <c r="AB2096" s="1"/>
      <c r="AC2096" s="1"/>
      <c r="AD2096" s="1"/>
      <c r="AE2096" s="1"/>
      <c r="AG2096" s="2" t="str">
        <f>"1784782777"</f>
        <v>1784782777</v>
      </c>
      <c r="AH2096" s="2" t="str">
        <f>"9781784782771"</f>
        <v>9781784782771</v>
      </c>
      <c r="AI2096" s="1">
        <v>0.0</v>
      </c>
      <c r="AJ2096" s="1">
        <v>3.91</v>
      </c>
      <c r="AK2096" s="1" t="s">
        <v>1973</v>
      </c>
      <c r="AL2096" s="1" t="s">
        <v>41</v>
      </c>
      <c r="AM2096" s="1">
        <v>369.0</v>
      </c>
      <c r="AN2096" s="1">
        <v>2017.0</v>
      </c>
      <c r="AO2096" s="1">
        <v>2017.0</v>
      </c>
      <c r="AQ2096" s="3">
        <v>43070.0</v>
      </c>
      <c r="AR2096" s="1" t="s">
        <v>31</v>
      </c>
      <c r="AS2096" s="1" t="s">
        <v>9070</v>
      </c>
      <c r="AT2096" s="1" t="s">
        <v>31</v>
      </c>
      <c r="AX2096" s="1">
        <v>0.0</v>
      </c>
      <c r="AY2096" s="1">
        <v>0.0</v>
      </c>
    </row>
    <row r="2097" spans="20:51" ht="15.75" hidden="1">
      <c r="T2097" s="1">
        <v>1.8339763E7</v>
      </c>
      <c r="U2097" s="1"/>
      <c r="V2097" s="1"/>
      <c r="W2097" s="1"/>
      <c r="X2097" s="1"/>
      <c r="Y2097" s="1" t="s">
        <v>9071</v>
      </c>
      <c r="Z2097" s="1" t="s">
        <v>9072</v>
      </c>
      <c r="AA2097" s="1" t="s">
        <v>9073</v>
      </c>
      <c r="AB2097" s="1"/>
      <c r="AC2097" s="1"/>
      <c r="AD2097" s="1"/>
      <c r="AE2097" s="1"/>
      <c r="AG2097" s="2" t="str">
        <f>"0807001678"</f>
        <v>0807001678</v>
      </c>
      <c r="AH2097" s="2" t="str">
        <f>"9780807001677"</f>
        <v>9780807001677</v>
      </c>
      <c r="AI2097" s="1">
        <v>0.0</v>
      </c>
      <c r="AJ2097" s="1">
        <v>4.22</v>
      </c>
      <c r="AK2097" s="1" t="s">
        <v>831</v>
      </c>
      <c r="AL2097" s="1" t="s">
        <v>28</v>
      </c>
      <c r="AM2097" s="1">
        <v>256.0</v>
      </c>
      <c r="AN2097" s="1">
        <v>2014.0</v>
      </c>
      <c r="AO2097" s="1">
        <v>2014.0</v>
      </c>
      <c r="AQ2097" s="3">
        <v>43070.0</v>
      </c>
      <c r="AR2097" s="1" t="s">
        <v>31</v>
      </c>
      <c r="AS2097" s="1" t="s">
        <v>9074</v>
      </c>
      <c r="AT2097" s="1" t="s">
        <v>31</v>
      </c>
      <c r="AX2097" s="1">
        <v>0.0</v>
      </c>
      <c r="AY2097" s="1">
        <v>0.0</v>
      </c>
    </row>
    <row r="2098" spans="20:51" ht="15.75" hidden="1">
      <c r="T2098" s="1">
        <v>2.5330108E7</v>
      </c>
      <c r="U2098" s="1"/>
      <c r="V2098" s="1"/>
      <c r="W2098" s="1"/>
      <c r="X2098" s="1"/>
      <c r="Y2098" s="1" t="s">
        <v>9075</v>
      </c>
      <c r="Z2098" s="1" t="s">
        <v>2336</v>
      </c>
      <c r="AA2098" s="1" t="s">
        <v>2337</v>
      </c>
      <c r="AB2098" s="1"/>
      <c r="AC2098" s="1"/>
      <c r="AD2098" s="1"/>
      <c r="AE2098" s="1"/>
      <c r="AF2098" s="1" t="s">
        <v>9076</v>
      </c>
      <c r="AG2098" s="2" t="str">
        <f>"1608465640"</f>
        <v>1608465640</v>
      </c>
      <c r="AH2098" s="2" t="str">
        <f>"9781608465644"</f>
        <v>9781608465644</v>
      </c>
      <c r="AI2098" s="1">
        <v>0.0</v>
      </c>
      <c r="AJ2098" s="1">
        <v>4.4</v>
      </c>
      <c r="AK2098" s="1" t="s">
        <v>2218</v>
      </c>
      <c r="AL2098" s="1" t="s">
        <v>28</v>
      </c>
      <c r="AM2098" s="1">
        <v>145.0</v>
      </c>
      <c r="AN2098" s="1">
        <v>2016.0</v>
      </c>
      <c r="AO2098" s="1">
        <v>2015.0</v>
      </c>
      <c r="AQ2098" s="3">
        <v>43070.0</v>
      </c>
      <c r="AR2098" s="1" t="s">
        <v>31</v>
      </c>
      <c r="AS2098" s="1" t="s">
        <v>9077</v>
      </c>
      <c r="AT2098" s="1" t="s">
        <v>31</v>
      </c>
      <c r="AX2098" s="1">
        <v>0.0</v>
      </c>
      <c r="AY2098" s="1">
        <v>0.0</v>
      </c>
    </row>
    <row r="2099" spans="20:51" ht="15.75" hidden="1">
      <c r="T2099" s="1">
        <v>2.0646768E7</v>
      </c>
      <c r="U2099" s="1"/>
      <c r="V2099" s="1"/>
      <c r="W2099" s="1"/>
      <c r="X2099" s="1"/>
      <c r="Y2099" s="1" t="s">
        <v>9078</v>
      </c>
      <c r="Z2099" s="1" t="s">
        <v>9079</v>
      </c>
      <c r="AA2099" s="1" t="s">
        <v>9080</v>
      </c>
      <c r="AB2099" s="1"/>
      <c r="AC2099" s="1"/>
      <c r="AD2099" s="1"/>
      <c r="AE2099" s="1"/>
      <c r="AF2099" s="1" t="s">
        <v>9081</v>
      </c>
      <c r="AG2099" s="2" t="str">
        <f>"178168488X"</f>
        <v>178168488X</v>
      </c>
      <c r="AH2099" s="2" t="str">
        <f>"9781781684887"</f>
        <v>9781781684887</v>
      </c>
      <c r="AI2099" s="1">
        <v>0.0</v>
      </c>
      <c r="AJ2099" s="1">
        <v>4.16</v>
      </c>
      <c r="AK2099" s="1" t="s">
        <v>1973</v>
      </c>
      <c r="AL2099" s="1" t="s">
        <v>59</v>
      </c>
      <c r="AM2099" s="1">
        <v>273.0</v>
      </c>
      <c r="AN2099" s="1">
        <v>2013.0</v>
      </c>
      <c r="AO2099" s="1">
        <v>2010.0</v>
      </c>
      <c r="AQ2099" s="3">
        <v>43048.0</v>
      </c>
      <c r="AR2099" s="1" t="s">
        <v>31</v>
      </c>
      <c r="AS2099" s="1" t="s">
        <v>9082</v>
      </c>
      <c r="AT2099" s="1" t="s">
        <v>31</v>
      </c>
      <c r="AX2099" s="1">
        <v>0.0</v>
      </c>
      <c r="AY2099" s="1">
        <v>0.0</v>
      </c>
    </row>
    <row r="2100" spans="20:51" ht="15.75" hidden="1">
      <c r="T2100" s="1">
        <v>1.0236411E7</v>
      </c>
      <c r="U2100" s="1"/>
      <c r="V2100" s="1"/>
      <c r="W2100" s="1"/>
      <c r="X2100" s="1"/>
      <c r="Y2100" s="1" t="s">
        <v>9083</v>
      </c>
      <c r="Z2100" s="1" t="s">
        <v>9084</v>
      </c>
      <c r="AA2100" s="1" t="s">
        <v>9085</v>
      </c>
      <c r="AB2100" s="1"/>
      <c r="AC2100" s="1"/>
      <c r="AD2100" s="1"/>
      <c r="AE2100" s="1"/>
      <c r="AF2100" s="1" t="s">
        <v>9086</v>
      </c>
      <c r="AG2100" s="2" t="str">
        <f>"1844676668"</f>
        <v>1844676668</v>
      </c>
      <c r="AH2100" s="2" t="str">
        <f>"9781844676668"</f>
        <v>9781844676668</v>
      </c>
      <c r="AI2100" s="1">
        <v>0.0</v>
      </c>
      <c r="AJ2100" s="1">
        <v>3.49</v>
      </c>
      <c r="AK2100" s="1" t="s">
        <v>1125</v>
      </c>
      <c r="AL2100" s="1" t="s">
        <v>28</v>
      </c>
      <c r="AM2100" s="1">
        <v>158.0</v>
      </c>
      <c r="AN2100" s="1">
        <v>2011.0</v>
      </c>
      <c r="AO2100" s="1">
        <v>1791.0</v>
      </c>
      <c r="AQ2100" s="3">
        <v>43046.0</v>
      </c>
      <c r="AR2100" s="1" t="s">
        <v>31</v>
      </c>
      <c r="AS2100" s="1" t="s">
        <v>9087</v>
      </c>
      <c r="AT2100" s="1" t="s">
        <v>31</v>
      </c>
      <c r="AX2100" s="1">
        <v>0.0</v>
      </c>
      <c r="AY2100" s="1">
        <v>0.0</v>
      </c>
    </row>
    <row r="2101" spans="20:51" ht="15.75" hidden="1">
      <c r="T2101" s="1">
        <v>37327.0</v>
      </c>
      <c r="U2101" s="1"/>
      <c r="V2101" s="1"/>
      <c r="W2101" s="1"/>
      <c r="X2101" s="1"/>
      <c r="Y2101" s="1" t="s">
        <v>9088</v>
      </c>
      <c r="Z2101" s="1" t="s">
        <v>8463</v>
      </c>
      <c r="AA2101" s="1" t="s">
        <v>8464</v>
      </c>
      <c r="AB2101" s="1"/>
      <c r="AC2101" s="1"/>
      <c r="AD2101" s="1"/>
      <c r="AE2101" s="1"/>
      <c r="AF2101" s="1" t="s">
        <v>9089</v>
      </c>
      <c r="AG2101" s="2" t="str">
        <f>"1859844480"</f>
        <v>1859844480</v>
      </c>
      <c r="AH2101" s="2" t="str">
        <f>"9781859844489"</f>
        <v>9781859844489</v>
      </c>
      <c r="AI2101" s="1">
        <v>0.0</v>
      </c>
      <c r="AJ2101" s="1">
        <v>3.77</v>
      </c>
      <c r="AK2101" s="1" t="s">
        <v>1973</v>
      </c>
      <c r="AL2101" s="1" t="s">
        <v>28</v>
      </c>
      <c r="AM2101" s="1">
        <v>120.0</v>
      </c>
      <c r="AN2101" s="1">
        <v>2003.0</v>
      </c>
      <c r="AO2101" s="1">
        <v>2001.0</v>
      </c>
      <c r="AQ2101" s="3">
        <v>43046.0</v>
      </c>
      <c r="AR2101" s="1" t="s">
        <v>31</v>
      </c>
      <c r="AS2101" s="1" t="s">
        <v>9090</v>
      </c>
      <c r="AT2101" s="1" t="s">
        <v>31</v>
      </c>
      <c r="AX2101" s="1">
        <v>0.0</v>
      </c>
      <c r="AY2101" s="1">
        <v>0.0</v>
      </c>
    </row>
    <row r="2102" spans="20:51" ht="15.75" hidden="1">
      <c r="T2102" s="1">
        <v>979929.0</v>
      </c>
      <c r="U2102" s="1"/>
      <c r="V2102" s="1"/>
      <c r="W2102" s="1"/>
      <c r="X2102" s="1"/>
      <c r="Y2102" s="1" t="s">
        <v>9091</v>
      </c>
      <c r="Z2102" s="1" t="s">
        <v>9092</v>
      </c>
      <c r="AA2102" s="1" t="s">
        <v>9093</v>
      </c>
      <c r="AB2102" s="1"/>
      <c r="AC2102" s="1"/>
      <c r="AD2102" s="1"/>
      <c r="AE2102" s="1"/>
      <c r="AF2102" s="1" t="s">
        <v>9094</v>
      </c>
      <c r="AG2102" s="2" t="str">
        <f>"0860915425"</f>
        <v>0860915425</v>
      </c>
      <c r="AH2102" s="2" t="str">
        <f>"9780860915423"</f>
        <v>9780860915423</v>
      </c>
      <c r="AI2102" s="1">
        <v>0.0</v>
      </c>
      <c r="AJ2102" s="1">
        <v>3.9</v>
      </c>
      <c r="AK2102" s="1" t="s">
        <v>1973</v>
      </c>
      <c r="AL2102" s="1" t="s">
        <v>28</v>
      </c>
      <c r="AM2102" s="1">
        <v>242.0</v>
      </c>
      <c r="AN2102" s="1">
        <v>1991.0</v>
      </c>
      <c r="AO2102" s="1">
        <v>1988.0</v>
      </c>
      <c r="AQ2102" s="3">
        <v>43046.0</v>
      </c>
      <c r="AR2102" s="1" t="s">
        <v>31</v>
      </c>
      <c r="AS2102" s="1" t="s">
        <v>9095</v>
      </c>
      <c r="AT2102" s="1" t="s">
        <v>31</v>
      </c>
      <c r="AX2102" s="1">
        <v>0.0</v>
      </c>
      <c r="AY2102" s="1">
        <v>0.0</v>
      </c>
    </row>
    <row r="2103" spans="20:51" ht="15.75" hidden="1">
      <c r="T2103" s="1">
        <v>3.1671095E7</v>
      </c>
      <c r="U2103" s="1"/>
      <c r="V2103" s="1"/>
      <c r="W2103" s="1"/>
      <c r="X2103" s="1"/>
      <c r="Y2103" s="1" t="s">
        <v>9096</v>
      </c>
      <c r="Z2103" s="1" t="s">
        <v>9097</v>
      </c>
      <c r="AA2103" s="1" t="s">
        <v>9098</v>
      </c>
      <c r="AB2103" s="1"/>
      <c r="AC2103" s="1"/>
      <c r="AD2103" s="1"/>
      <c r="AE2103" s="1"/>
      <c r="AG2103" s="2" t="str">
        <f>"1786631903"</f>
        <v>1786631903</v>
      </c>
      <c r="AH2103" s="2" t="str">
        <f>"9781786631909"</f>
        <v>9781786631909</v>
      </c>
      <c r="AI2103" s="1">
        <v>0.0</v>
      </c>
      <c r="AJ2103" s="1">
        <v>3.81</v>
      </c>
      <c r="AK2103" s="1" t="s">
        <v>1973</v>
      </c>
      <c r="AL2103" s="1" t="s">
        <v>28</v>
      </c>
      <c r="AM2103" s="1">
        <v>336.0</v>
      </c>
      <c r="AN2103" s="1">
        <v>2017.0</v>
      </c>
      <c r="AQ2103" s="4">
        <v>43038.0</v>
      </c>
      <c r="AR2103" s="1" t="s">
        <v>31</v>
      </c>
      <c r="AS2103" s="1" t="s">
        <v>9099</v>
      </c>
      <c r="AT2103" s="1" t="s">
        <v>31</v>
      </c>
      <c r="AX2103" s="1">
        <v>0.0</v>
      </c>
      <c r="AY2103" s="1">
        <v>0.0</v>
      </c>
    </row>
    <row r="2104" spans="20:51" ht="15.75" hidden="1">
      <c r="T2104" s="1">
        <v>3.2303187E7</v>
      </c>
      <c r="U2104" s="1"/>
      <c r="V2104" s="1"/>
      <c r="W2104" s="1"/>
      <c r="X2104" s="1"/>
      <c r="Y2104" s="1" t="s">
        <v>9100</v>
      </c>
      <c r="Z2104" s="1" t="s">
        <v>9101</v>
      </c>
      <c r="AA2104" s="1" t="s">
        <v>9102</v>
      </c>
      <c r="AB2104" s="1"/>
      <c r="AC2104" s="1"/>
      <c r="AD2104" s="1"/>
      <c r="AE2104" s="1"/>
      <c r="AF2104" s="1" t="s">
        <v>9103</v>
      </c>
      <c r="AG2104" s="2" t="str">
        <f>"1784787191"</f>
        <v>1784787191</v>
      </c>
      <c r="AH2104" s="2" t="str">
        <f>"9781784787196"</f>
        <v>9781784787196</v>
      </c>
      <c r="AI2104" s="1">
        <v>0.0</v>
      </c>
      <c r="AJ2104" s="1">
        <v>3.71</v>
      </c>
      <c r="AK2104" s="1" t="s">
        <v>1125</v>
      </c>
      <c r="AL2104" s="1" t="s">
        <v>28</v>
      </c>
      <c r="AM2104" s="1">
        <v>164.0</v>
      </c>
      <c r="AN2104" s="1">
        <v>2017.0</v>
      </c>
      <c r="AO2104" s="1">
        <v>2014.0</v>
      </c>
      <c r="AQ2104" s="4">
        <v>43038.0</v>
      </c>
      <c r="AR2104" s="1" t="s">
        <v>31</v>
      </c>
      <c r="AS2104" s="1" t="s">
        <v>9104</v>
      </c>
      <c r="AT2104" s="1" t="s">
        <v>31</v>
      </c>
      <c r="AX2104" s="1">
        <v>0.0</v>
      </c>
      <c r="AY2104" s="1">
        <v>0.0</v>
      </c>
    </row>
    <row r="2105" spans="20:51" ht="15.75" hidden="1">
      <c r="T2105" s="1">
        <v>3.5403039E7</v>
      </c>
      <c r="U2105" s="1"/>
      <c r="V2105" s="1"/>
      <c r="W2105" s="1"/>
      <c r="X2105" s="1"/>
      <c r="Y2105" s="1" t="s">
        <v>9105</v>
      </c>
      <c r="Z2105" s="1" t="s">
        <v>9106</v>
      </c>
      <c r="AA2105" s="1" t="s">
        <v>9107</v>
      </c>
      <c r="AB2105" s="1"/>
      <c r="AC2105" s="1"/>
      <c r="AD2105" s="1"/>
      <c r="AE2105" s="1"/>
      <c r="AG2105" s="2" t="str">
        <f t="shared" si="174" ref="AG2105:AH2105">""</f>
        <v/>
      </c>
      <c r="AH2105" s="2" t="str">
        <f t="shared" si="174"/>
        <v/>
      </c>
      <c r="AI2105" s="1">
        <v>0.0</v>
      </c>
      <c r="AJ2105" s="1">
        <v>4.19</v>
      </c>
      <c r="AK2105" s="1" t="s">
        <v>1973</v>
      </c>
      <c r="AL2105" s="1" t="s">
        <v>59</v>
      </c>
      <c r="AM2105" s="1">
        <v>273.0</v>
      </c>
      <c r="AN2105" s="1">
        <v>2017.0</v>
      </c>
      <c r="AO2105" s="1">
        <v>2017.0</v>
      </c>
      <c r="AQ2105" s="4">
        <v>43038.0</v>
      </c>
      <c r="AR2105" s="1" t="s">
        <v>31</v>
      </c>
      <c r="AS2105" s="1" t="s">
        <v>9108</v>
      </c>
      <c r="AT2105" s="1" t="s">
        <v>31</v>
      </c>
      <c r="AX2105" s="1">
        <v>0.0</v>
      </c>
      <c r="AY2105" s="1">
        <v>0.0</v>
      </c>
    </row>
    <row r="2106" spans="20:51" ht="15.75" hidden="1">
      <c r="T2106" s="1">
        <v>2.8686813E7</v>
      </c>
      <c r="U2106" s="1"/>
      <c r="V2106" s="1"/>
      <c r="W2106" s="1"/>
      <c r="X2106" s="1"/>
      <c r="Y2106" s="1" t="s">
        <v>9109</v>
      </c>
      <c r="Z2106" s="1" t="s">
        <v>9110</v>
      </c>
      <c r="AA2106" s="1" t="s">
        <v>9111</v>
      </c>
      <c r="AB2106" s="1"/>
      <c r="AC2106" s="1"/>
      <c r="AD2106" s="1"/>
      <c r="AE2106" s="1"/>
      <c r="AG2106" s="2" t="str">
        <f>"1784784729"</f>
        <v>1784784729</v>
      </c>
      <c r="AH2106" s="2" t="str">
        <f>"9781784784720"</f>
        <v>9781784784720</v>
      </c>
      <c r="AI2106" s="1">
        <v>0.0</v>
      </c>
      <c r="AJ2106" s="1">
        <v>4.02</v>
      </c>
      <c r="AK2106" s="1" t="s">
        <v>1973</v>
      </c>
      <c r="AL2106" s="1" t="s">
        <v>65</v>
      </c>
      <c r="AM2106" s="1">
        <v>224.0</v>
      </c>
      <c r="AN2106" s="1">
        <v>2016.0</v>
      </c>
      <c r="AO2106" s="1">
        <v>2016.0</v>
      </c>
      <c r="AQ2106" s="4">
        <v>43038.0</v>
      </c>
      <c r="AR2106" s="1" t="s">
        <v>31</v>
      </c>
      <c r="AS2106" s="1" t="s">
        <v>9112</v>
      </c>
      <c r="AT2106" s="1" t="s">
        <v>31</v>
      </c>
      <c r="AX2106" s="1">
        <v>0.0</v>
      </c>
      <c r="AY2106" s="1">
        <v>0.0</v>
      </c>
    </row>
    <row r="2107" spans="20:51" ht="15.75" hidden="1">
      <c r="T2107" s="1">
        <v>2.8439474E7</v>
      </c>
      <c r="U2107" s="1"/>
      <c r="V2107" s="1"/>
      <c r="W2107" s="1"/>
      <c r="X2107" s="1"/>
      <c r="Y2107" s="1" t="s">
        <v>9113</v>
      </c>
      <c r="Z2107" s="1" t="s">
        <v>9114</v>
      </c>
      <c r="AA2107" s="1" t="s">
        <v>9115</v>
      </c>
      <c r="AB2107" s="1"/>
      <c r="AC2107" s="1"/>
      <c r="AD2107" s="1"/>
      <c r="AE2107" s="1"/>
      <c r="AG2107" s="2" t="str">
        <f>"1784785717"</f>
        <v>1784785717</v>
      </c>
      <c r="AH2107" s="2" t="str">
        <f>"9781784785710"</f>
        <v>9781784785710</v>
      </c>
      <c r="AI2107" s="1">
        <v>0.0</v>
      </c>
      <c r="AJ2107" s="1">
        <v>4.08</v>
      </c>
      <c r="AK2107" s="1" t="s">
        <v>1973</v>
      </c>
      <c r="AL2107" s="1" t="s">
        <v>65</v>
      </c>
      <c r="AM2107" s="1">
        <v>448.0</v>
      </c>
      <c r="AN2107" s="1">
        <v>2016.0</v>
      </c>
      <c r="AO2107" s="1">
        <v>2016.0</v>
      </c>
      <c r="AQ2107" s="4">
        <v>43038.0</v>
      </c>
      <c r="AR2107" s="1" t="s">
        <v>31</v>
      </c>
      <c r="AS2107" s="1" t="s">
        <v>9116</v>
      </c>
      <c r="AT2107" s="1" t="s">
        <v>31</v>
      </c>
      <c r="AX2107" s="1">
        <v>0.0</v>
      </c>
      <c r="AY2107" s="1">
        <v>0.0</v>
      </c>
    </row>
    <row r="2108" spans="20:51" ht="15.75" hidden="1">
      <c r="T2108" s="1">
        <v>701359.0</v>
      </c>
      <c r="U2108" s="1"/>
      <c r="V2108" s="1"/>
      <c r="W2108" s="1"/>
      <c r="X2108" s="1"/>
      <c r="Y2108" s="1" t="s">
        <v>9117</v>
      </c>
      <c r="Z2108" s="1" t="s">
        <v>9118</v>
      </c>
      <c r="AA2108" s="1" t="s">
        <v>9119</v>
      </c>
      <c r="AB2108" s="1"/>
      <c r="AC2108" s="1"/>
      <c r="AD2108" s="1"/>
      <c r="AE2108" s="1"/>
      <c r="AG2108" s="2" t="str">
        <f>"0198296428"</f>
        <v>0198296428</v>
      </c>
      <c r="AH2108" s="2" t="str">
        <f>"9780198296423"</f>
        <v>9780198296423</v>
      </c>
      <c r="AI2108" s="1">
        <v>0.0</v>
      </c>
      <c r="AJ2108" s="1">
        <v>3.93</v>
      </c>
      <c r="AK2108" s="1" t="s">
        <v>214</v>
      </c>
      <c r="AL2108" s="1" t="s">
        <v>28</v>
      </c>
      <c r="AM2108" s="1">
        <v>328.0</v>
      </c>
      <c r="AN2108" s="1">
        <v>1999.0</v>
      </c>
      <c r="AO2108" s="1">
        <v>1997.0</v>
      </c>
      <c r="AQ2108" s="4">
        <v>43035.0</v>
      </c>
      <c r="AR2108" s="1" t="s">
        <v>31</v>
      </c>
      <c r="AS2108" s="1" t="s">
        <v>9120</v>
      </c>
      <c r="AT2108" s="1" t="s">
        <v>31</v>
      </c>
      <c r="AX2108" s="1">
        <v>0.0</v>
      </c>
      <c r="AY2108" s="1">
        <v>0.0</v>
      </c>
    </row>
    <row r="2109" spans="20:51" ht="15.75" hidden="1">
      <c r="T2109" s="1">
        <v>72657.0</v>
      </c>
      <c r="U2109" s="1"/>
      <c r="V2109" s="1"/>
      <c r="W2109" s="1"/>
      <c r="X2109" s="1"/>
      <c r="Y2109" s="1" t="s">
        <v>9121</v>
      </c>
      <c r="Z2109" s="1" t="s">
        <v>9122</v>
      </c>
      <c r="AA2109" s="1" t="s">
        <v>9123</v>
      </c>
      <c r="AB2109" s="1"/>
      <c r="AC2109" s="1"/>
      <c r="AD2109" s="1"/>
      <c r="AE2109" s="1"/>
      <c r="AF2109" s="1" t="s">
        <v>9124</v>
      </c>
      <c r="AG2109" s="2" t="str">
        <f>"0826412769"</f>
        <v>0826412769</v>
      </c>
      <c r="AH2109" s="2" t="str">
        <f>"9780826412768"</f>
        <v>9780826412768</v>
      </c>
      <c r="AI2109" s="1">
        <v>0.0</v>
      </c>
      <c r="AJ2109" s="1">
        <v>4.3</v>
      </c>
      <c r="AK2109" s="1" t="s">
        <v>8965</v>
      </c>
      <c r="AL2109" s="1" t="s">
        <v>28</v>
      </c>
      <c r="AM2109" s="1">
        <v>183.0</v>
      </c>
      <c r="AN2109" s="1">
        <v>2000.0</v>
      </c>
      <c r="AO2109" s="1">
        <v>1968.0</v>
      </c>
      <c r="AQ2109" s="4">
        <v>43032.0</v>
      </c>
      <c r="AR2109" s="1" t="s">
        <v>31</v>
      </c>
      <c r="AS2109" s="1" t="s">
        <v>9125</v>
      </c>
      <c r="AT2109" s="1" t="s">
        <v>31</v>
      </c>
      <c r="AX2109" s="1">
        <v>0.0</v>
      </c>
      <c r="AY2109" s="1">
        <v>0.0</v>
      </c>
    </row>
    <row r="2110" spans="20:51" ht="15.75" hidden="1">
      <c r="T2110" s="1">
        <v>2.0696006E7</v>
      </c>
      <c r="U2110" s="1"/>
      <c r="V2110" s="1"/>
      <c r="W2110" s="1"/>
      <c r="X2110" s="1"/>
      <c r="Y2110" s="1" t="s">
        <v>9126</v>
      </c>
      <c r="Z2110" s="1" t="s">
        <v>9127</v>
      </c>
      <c r="AA2110" s="1" t="s">
        <v>9128</v>
      </c>
      <c r="AB2110" s="1"/>
      <c r="AC2110" s="1"/>
      <c r="AD2110" s="1"/>
      <c r="AE2110" s="1"/>
      <c r="AG2110" s="2" t="str">
        <f>"0805095152"</f>
        <v>0805095152</v>
      </c>
      <c r="AH2110" s="2" t="str">
        <f>"9780805095159"</f>
        <v>9780805095159</v>
      </c>
      <c r="AI2110" s="1">
        <v>0.0</v>
      </c>
      <c r="AJ2110" s="1">
        <v>4.48</v>
      </c>
      <c r="AK2110" s="1" t="s">
        <v>9129</v>
      </c>
      <c r="AL2110" s="1" t="s">
        <v>41</v>
      </c>
      <c r="AM2110" s="1">
        <v>282.0</v>
      </c>
      <c r="AN2110" s="1">
        <v>2014.0</v>
      </c>
      <c r="AO2110" s="1">
        <v>2014.0</v>
      </c>
      <c r="AQ2110" s="4">
        <v>43032.0</v>
      </c>
      <c r="AR2110" s="1" t="s">
        <v>31</v>
      </c>
      <c r="AS2110" s="1" t="s">
        <v>9130</v>
      </c>
      <c r="AT2110" s="1" t="s">
        <v>31</v>
      </c>
      <c r="AX2110" s="1">
        <v>0.0</v>
      </c>
      <c r="AY2110" s="1">
        <v>0.0</v>
      </c>
    </row>
    <row r="2111" spans="20:51" ht="15.75" hidden="1">
      <c r="T2111" s="1">
        <v>1003878.0</v>
      </c>
      <c r="U2111" s="1"/>
      <c r="V2111" s="1"/>
      <c r="W2111" s="1"/>
      <c r="X2111" s="1"/>
      <c r="Y2111" s="1" t="s">
        <v>9131</v>
      </c>
      <c r="Z2111" s="1" t="s">
        <v>9132</v>
      </c>
      <c r="AA2111" s="1" t="s">
        <v>9133</v>
      </c>
      <c r="AB2111" s="1"/>
      <c r="AC2111" s="1"/>
      <c r="AD2111" s="1"/>
      <c r="AE2111" s="1"/>
      <c r="AG2111" s="2" t="str">
        <f>"1904859585"</f>
        <v>1904859585</v>
      </c>
      <c r="AH2111" s="2" t="str">
        <f>"9781904859581"</f>
        <v>9781904859581</v>
      </c>
      <c r="AI2111" s="1">
        <v>0.0</v>
      </c>
      <c r="AJ2111" s="1">
        <v>3.92</v>
      </c>
      <c r="AK2111" s="1" t="s">
        <v>3635</v>
      </c>
      <c r="AL2111" s="1" t="s">
        <v>28</v>
      </c>
      <c r="AM2111" s="1">
        <v>255.0</v>
      </c>
      <c r="AN2111" s="1">
        <v>2006.0</v>
      </c>
      <c r="AO2111" s="1">
        <v>2006.0</v>
      </c>
      <c r="AQ2111" s="4">
        <v>43022.0</v>
      </c>
      <c r="AR2111" s="1" t="s">
        <v>31</v>
      </c>
      <c r="AS2111" s="1" t="s">
        <v>9134</v>
      </c>
      <c r="AT2111" s="1" t="s">
        <v>31</v>
      </c>
      <c r="AX2111" s="1">
        <v>0.0</v>
      </c>
      <c r="AY2111" s="1">
        <v>0.0</v>
      </c>
    </row>
    <row r="2112" spans="20:51" ht="15.75" hidden="1">
      <c r="T2112" s="1">
        <v>285813.0</v>
      </c>
      <c r="U2112" s="1"/>
      <c r="V2112" s="1"/>
      <c r="W2112" s="1"/>
      <c r="X2112" s="1"/>
      <c r="Y2112" s="1" t="s">
        <v>9135</v>
      </c>
      <c r="Z2112" s="1" t="s">
        <v>9136</v>
      </c>
      <c r="AA2112" s="1" t="s">
        <v>9137</v>
      </c>
      <c r="AB2112" s="1"/>
      <c r="AC2112" s="1"/>
      <c r="AD2112" s="1"/>
      <c r="AE2112" s="1"/>
      <c r="AF2112" s="1" t="s">
        <v>7605</v>
      </c>
      <c r="AG2112" s="2" t="str">
        <f>"0822333716"</f>
        <v>0822333716</v>
      </c>
      <c r="AH2112" s="2" t="str">
        <f>"9780822333715"</f>
        <v>9780822333715</v>
      </c>
      <c r="AI2112" s="1">
        <v>0.0</v>
      </c>
      <c r="AJ2112" s="1">
        <v>4.1</v>
      </c>
      <c r="AK2112" s="1" t="s">
        <v>896</v>
      </c>
      <c r="AL2112" s="1" t="s">
        <v>28</v>
      </c>
      <c r="AM2112" s="1">
        <v>480.0</v>
      </c>
      <c r="AN2112" s="1">
        <v>2004.0</v>
      </c>
      <c r="AO2112" s="1">
        <v>1999.0</v>
      </c>
      <c r="AQ2112" s="4">
        <v>43020.0</v>
      </c>
      <c r="AR2112" s="1" t="s">
        <v>31</v>
      </c>
      <c r="AS2112" s="1" t="s">
        <v>9138</v>
      </c>
      <c r="AT2112" s="1" t="s">
        <v>31</v>
      </c>
      <c r="AX2112" s="1">
        <v>0.0</v>
      </c>
      <c r="AY2112" s="1">
        <v>0.0</v>
      </c>
    </row>
    <row r="2113" spans="20:51" ht="15.75" hidden="1">
      <c r="T2113" s="1">
        <v>3.4122264E7</v>
      </c>
      <c r="U2113" s="1"/>
      <c r="V2113" s="1"/>
      <c r="W2113" s="1"/>
      <c r="X2113" s="1"/>
      <c r="Y2113" s="1" t="s">
        <v>3249</v>
      </c>
      <c r="Z2113" s="1" t="s">
        <v>3250</v>
      </c>
      <c r="AA2113" s="1" t="s">
        <v>3251</v>
      </c>
      <c r="AB2113" s="1"/>
      <c r="AC2113" s="1"/>
      <c r="AD2113" s="1"/>
      <c r="AE2113" s="1"/>
      <c r="AG2113" s="2" t="str">
        <f>"0195390172"</f>
        <v>0195390172</v>
      </c>
      <c r="AH2113" s="2" t="str">
        <f>"9780195390179"</f>
        <v>9780195390179</v>
      </c>
      <c r="AI2113" s="1">
        <v>0.0</v>
      </c>
      <c r="AJ2113" s="1">
        <v>4.41</v>
      </c>
      <c r="AK2113" s="1" t="s">
        <v>214</v>
      </c>
      <c r="AL2113" s="1" t="s">
        <v>41</v>
      </c>
      <c r="AM2113" s="1">
        <v>274.0</v>
      </c>
      <c r="AN2113" s="1">
        <v>2017.0</v>
      </c>
      <c r="AO2113" s="1">
        <v>2017.0</v>
      </c>
      <c r="AQ2113" s="3">
        <v>42977.0</v>
      </c>
      <c r="AR2113" s="1" t="s">
        <v>31</v>
      </c>
      <c r="AS2113" s="1" t="s">
        <v>9139</v>
      </c>
      <c r="AT2113" s="1" t="s">
        <v>31</v>
      </c>
      <c r="AX2113" s="1">
        <v>0.0</v>
      </c>
      <c r="AY2113" s="1">
        <v>0.0</v>
      </c>
    </row>
    <row r="2114" spans="20:51" ht="15.75" hidden="1">
      <c r="T2114" s="1">
        <v>2.2104547E7</v>
      </c>
      <c r="U2114" s="1"/>
      <c r="V2114" s="1"/>
      <c r="W2114" s="1"/>
      <c r="X2114" s="1"/>
      <c r="Y2114" s="1" t="s">
        <v>9140</v>
      </c>
      <c r="Z2114" s="1" t="s">
        <v>9141</v>
      </c>
      <c r="AA2114" s="1" t="s">
        <v>9142</v>
      </c>
      <c r="AB2114" s="1"/>
      <c r="AC2114" s="1"/>
      <c r="AD2114" s="1"/>
      <c r="AE2114" s="1"/>
      <c r="AG2114" s="2" t="str">
        <f>"0262027550"</f>
        <v>0262027550</v>
      </c>
      <c r="AH2114" s="2" t="str">
        <f>"9780262027557"</f>
        <v>9780262027557</v>
      </c>
      <c r="AI2114" s="1">
        <v>0.0</v>
      </c>
      <c r="AJ2114" s="1">
        <v>3.83</v>
      </c>
      <c r="AK2114" s="1" t="s">
        <v>5344</v>
      </c>
      <c r="AL2114" s="1" t="s">
        <v>41</v>
      </c>
      <c r="AM2114" s="1">
        <v>304.0</v>
      </c>
      <c r="AN2114" s="1">
        <v>2014.0</v>
      </c>
      <c r="AO2114" s="1">
        <v>2014.0</v>
      </c>
      <c r="AQ2114" s="3">
        <v>42966.0</v>
      </c>
      <c r="AR2114" s="1" t="s">
        <v>31</v>
      </c>
      <c r="AS2114" s="1" t="s">
        <v>9143</v>
      </c>
      <c r="AT2114" s="1" t="s">
        <v>31</v>
      </c>
      <c r="AX2114" s="1">
        <v>0.0</v>
      </c>
      <c r="AY2114" s="1">
        <v>0.0</v>
      </c>
    </row>
    <row r="2115" spans="20:51" ht="15.75" hidden="1">
      <c r="T2115" s="1">
        <v>3.0652247E7</v>
      </c>
      <c r="U2115" s="1"/>
      <c r="V2115" s="1"/>
      <c r="W2115" s="1"/>
      <c r="X2115" s="1"/>
      <c r="Y2115" s="1" t="s">
        <v>9144</v>
      </c>
      <c r="Z2115" s="1" t="s">
        <v>9145</v>
      </c>
      <c r="AA2115" s="1" t="s">
        <v>9146</v>
      </c>
      <c r="AB2115" s="1"/>
      <c r="AC2115" s="1"/>
      <c r="AD2115" s="1"/>
      <c r="AE2115" s="1"/>
      <c r="AF2115" s="1" t="s">
        <v>9147</v>
      </c>
      <c r="AG2115" s="2" t="str">
        <f>"1568585233"</f>
        <v>1568585233</v>
      </c>
      <c r="AH2115" s="2" t="str">
        <f>"9781568585239"</f>
        <v>9781568585239</v>
      </c>
      <c r="AI2115" s="1">
        <v>0.0</v>
      </c>
      <c r="AJ2115" s="1">
        <v>4.1</v>
      </c>
      <c r="AK2115" s="1" t="s">
        <v>709</v>
      </c>
      <c r="AL2115" s="1" t="s">
        <v>41</v>
      </c>
      <c r="AM2115" s="1">
        <v>272.0</v>
      </c>
      <c r="AN2115" s="1">
        <v>2017.0</v>
      </c>
      <c r="AO2115" s="1">
        <v>2017.0</v>
      </c>
      <c r="AQ2115" s="3">
        <v>42958.0</v>
      </c>
      <c r="AR2115" s="1" t="s">
        <v>31</v>
      </c>
      <c r="AS2115" s="1" t="s">
        <v>9148</v>
      </c>
      <c r="AT2115" s="1" t="s">
        <v>31</v>
      </c>
      <c r="AX2115" s="1">
        <v>0.0</v>
      </c>
      <c r="AY2115" s="1">
        <v>0.0</v>
      </c>
    </row>
    <row r="2116" spans="20:51" ht="15.75" hidden="1">
      <c r="T2116" s="1">
        <v>1.4781555E7</v>
      </c>
      <c r="U2116" s="1"/>
      <c r="V2116" s="1"/>
      <c r="W2116" s="1"/>
      <c r="X2116" s="1"/>
      <c r="Y2116" s="1" t="s">
        <v>9149</v>
      </c>
      <c r="Z2116" s="1" t="s">
        <v>9150</v>
      </c>
      <c r="AA2116" s="1" t="s">
        <v>9151</v>
      </c>
      <c r="AB2116" s="1"/>
      <c r="AC2116" s="1"/>
      <c r="AD2116" s="1"/>
      <c r="AE2116" s="1"/>
      <c r="AG2116" s="2" t="str">
        <f>"0316277177"</f>
        <v>0316277177</v>
      </c>
      <c r="AH2116" s="2" t="str">
        <f>"9780316277174"</f>
        <v>9780316277174</v>
      </c>
      <c r="AI2116" s="1">
        <v>0.0</v>
      </c>
      <c r="AJ2116" s="1">
        <v>3.62</v>
      </c>
      <c r="AK2116" s="1" t="s">
        <v>380</v>
      </c>
      <c r="AL2116" s="1" t="s">
        <v>41</v>
      </c>
      <c r="AM2116" s="1">
        <v>416.0</v>
      </c>
      <c r="AN2116" s="1">
        <v>2017.0</v>
      </c>
      <c r="AO2116" s="1">
        <v>2017.0</v>
      </c>
      <c r="AQ2116" s="3">
        <v>42952.0</v>
      </c>
      <c r="AR2116" s="1" t="s">
        <v>31</v>
      </c>
      <c r="AS2116" s="1" t="s">
        <v>9152</v>
      </c>
      <c r="AT2116" s="1" t="s">
        <v>31</v>
      </c>
      <c r="AX2116" s="1">
        <v>0.0</v>
      </c>
      <c r="AY2116" s="1">
        <v>0.0</v>
      </c>
    </row>
    <row r="2117" spans="20:51" ht="15.75" hidden="1">
      <c r="T2117" s="1">
        <v>58371.0</v>
      </c>
      <c r="U2117" s="1"/>
      <c r="V2117" s="1"/>
      <c r="W2117" s="1"/>
      <c r="X2117" s="1"/>
      <c r="Y2117" s="1" t="s">
        <v>9153</v>
      </c>
      <c r="Z2117" s="1" t="s">
        <v>5256</v>
      </c>
      <c r="AA2117" s="1" t="s">
        <v>5257</v>
      </c>
      <c r="AB2117" s="1"/>
      <c r="AC2117" s="1"/>
      <c r="AD2117" s="1"/>
      <c r="AE2117" s="1"/>
      <c r="AF2117" s="1" t="s">
        <v>137</v>
      </c>
      <c r="AG2117" s="2" t="str">
        <f t="shared" si="175" ref="AG2117:AH2117">""</f>
        <v/>
      </c>
      <c r="AH2117" s="2" t="str">
        <f t="shared" si="175"/>
        <v/>
      </c>
      <c r="AI2117" s="1">
        <v>0.0</v>
      </c>
      <c r="AJ2117" s="1">
        <v>3.8</v>
      </c>
      <c r="AK2117" s="1" t="s">
        <v>83</v>
      </c>
      <c r="AL2117" s="1" t="s">
        <v>28</v>
      </c>
      <c r="AM2117" s="1">
        <v>379.0</v>
      </c>
      <c r="AN2117" s="1">
        <v>2001.0</v>
      </c>
      <c r="AO2117" s="1">
        <v>1998.0</v>
      </c>
      <c r="AQ2117" s="3">
        <v>42940.0</v>
      </c>
      <c r="AR2117" s="1" t="s">
        <v>31</v>
      </c>
      <c r="AS2117" s="1" t="s">
        <v>9154</v>
      </c>
      <c r="AT2117" s="1" t="s">
        <v>31</v>
      </c>
      <c r="AX2117" s="1">
        <v>0.0</v>
      </c>
      <c r="AY2117" s="1">
        <v>0.0</v>
      </c>
    </row>
    <row r="2118" spans="20:51" ht="15.75" hidden="1">
      <c r="T2118" s="1">
        <v>2.8010264E7</v>
      </c>
      <c r="U2118" s="1"/>
      <c r="V2118" s="1"/>
      <c r="W2118" s="1"/>
      <c r="X2118" s="1"/>
      <c r="Y2118" s="1" t="s">
        <v>9155</v>
      </c>
      <c r="Z2118" s="1" t="s">
        <v>9156</v>
      </c>
      <c r="AA2118" s="1" t="s">
        <v>9157</v>
      </c>
      <c r="AB2118" s="1"/>
      <c r="AC2118" s="1"/>
      <c r="AD2118" s="1"/>
      <c r="AE2118" s="1"/>
      <c r="AF2118" s="1" t="s">
        <v>9158</v>
      </c>
      <c r="AG2118" s="2" t="str">
        <f>"1632060922"</f>
        <v>1632060922</v>
      </c>
      <c r="AH2118" s="2" t="str">
        <f>"9781632060921"</f>
        <v>9781632060921</v>
      </c>
      <c r="AI2118" s="1">
        <v>0.0</v>
      </c>
      <c r="AJ2118" s="1">
        <v>3.56</v>
      </c>
      <c r="AK2118" s="1" t="s">
        <v>7956</v>
      </c>
      <c r="AL2118" s="1" t="s">
        <v>41</v>
      </c>
      <c r="AM2118" s="1">
        <v>222.0</v>
      </c>
      <c r="AN2118" s="1">
        <v>2016.0</v>
      </c>
      <c r="AO2118" s="1">
        <v>2007.0</v>
      </c>
      <c r="AQ2118" s="3">
        <v>42883.0</v>
      </c>
      <c r="AR2118" s="1" t="s">
        <v>31</v>
      </c>
      <c r="AS2118" s="1" t="s">
        <v>9159</v>
      </c>
      <c r="AT2118" s="1" t="s">
        <v>31</v>
      </c>
      <c r="AX2118" s="1">
        <v>0.0</v>
      </c>
      <c r="AY2118" s="1">
        <v>0.0</v>
      </c>
    </row>
    <row r="2119" spans="20:51" ht="15.75" hidden="1">
      <c r="T2119" s="1">
        <v>380994.0</v>
      </c>
      <c r="U2119" s="1"/>
      <c r="V2119" s="1"/>
      <c r="W2119" s="1"/>
      <c r="X2119" s="1"/>
      <c r="Y2119" s="1" t="s">
        <v>9160</v>
      </c>
      <c r="Z2119" s="1" t="s">
        <v>4130</v>
      </c>
      <c r="AA2119" s="1" t="s">
        <v>4131</v>
      </c>
      <c r="AB2119" s="1"/>
      <c r="AC2119" s="1"/>
      <c r="AD2119" s="1"/>
      <c r="AE2119" s="1"/>
      <c r="AF2119" s="1" t="s">
        <v>1670</v>
      </c>
      <c r="AG2119" s="2" t="str">
        <f>"0374521611"</f>
        <v>0374521611</v>
      </c>
      <c r="AH2119" s="2" t="str">
        <f>"9780374521615"</f>
        <v>9780374521615</v>
      </c>
      <c r="AI2119" s="1">
        <v>0.0</v>
      </c>
      <c r="AJ2119" s="1">
        <v>4.36</v>
      </c>
      <c r="AK2119" s="1" t="s">
        <v>9161</v>
      </c>
      <c r="AL2119" s="1" t="s">
        <v>28</v>
      </c>
      <c r="AM2119" s="1">
        <v>234.0</v>
      </c>
      <c r="AN2119" s="1">
        <v>1979.0</v>
      </c>
      <c r="AO2119" s="1">
        <v>1977.0</v>
      </c>
      <c r="AQ2119" s="3">
        <v>42847.0</v>
      </c>
      <c r="AR2119" s="1" t="s">
        <v>31</v>
      </c>
      <c r="AS2119" s="1" t="s">
        <v>9162</v>
      </c>
      <c r="AT2119" s="1" t="s">
        <v>31</v>
      </c>
      <c r="AX2119" s="1">
        <v>0.0</v>
      </c>
      <c r="AY2119" s="1">
        <v>0.0</v>
      </c>
    </row>
    <row r="2120" spans="20:51" ht="15.75" hidden="1">
      <c r="T2120" s="1">
        <v>100021.0</v>
      </c>
      <c r="U2120" s="1"/>
      <c r="V2120" s="1"/>
      <c r="W2120" s="1"/>
      <c r="X2120" s="1"/>
      <c r="Y2120" s="1" t="s">
        <v>9163</v>
      </c>
      <c r="Z2120" s="1" t="s">
        <v>7330</v>
      </c>
      <c r="AA2120" s="1" t="s">
        <v>7331</v>
      </c>
      <c r="AB2120" s="1"/>
      <c r="AC2120" s="1"/>
      <c r="AD2120" s="1"/>
      <c r="AE2120" s="1"/>
      <c r="AG2120" s="2" t="str">
        <f>"0195052161"</f>
        <v>0195052161</v>
      </c>
      <c r="AH2120" s="2" t="str">
        <f>"9780195052169"</f>
        <v>9780195052169</v>
      </c>
      <c r="AI2120" s="1">
        <v>0.0</v>
      </c>
      <c r="AJ2120" s="1">
        <v>3.63</v>
      </c>
      <c r="AK2120" s="1" t="s">
        <v>214</v>
      </c>
      <c r="AL2120" s="1" t="s">
        <v>28</v>
      </c>
      <c r="AM2120" s="1">
        <v>112.0</v>
      </c>
      <c r="AN2120" s="1">
        <v>1987.0</v>
      </c>
      <c r="AO2120" s="1">
        <v>1987.0</v>
      </c>
      <c r="AQ2120" s="3">
        <v>42786.0</v>
      </c>
      <c r="AR2120" s="1" t="s">
        <v>31</v>
      </c>
      <c r="AS2120" s="1" t="s">
        <v>9164</v>
      </c>
      <c r="AT2120" s="1" t="s">
        <v>31</v>
      </c>
      <c r="AX2120" s="1">
        <v>1.0</v>
      </c>
      <c r="AY2120" s="1">
        <v>0.0</v>
      </c>
    </row>
    <row r="2121" spans="20:51" ht="15.75" hidden="1">
      <c r="T2121" s="1">
        <v>95833.0</v>
      </c>
      <c r="U2121" s="1"/>
      <c r="V2121" s="1"/>
      <c r="W2121" s="1"/>
      <c r="X2121" s="1"/>
      <c r="Y2121" s="1" t="s">
        <v>9165</v>
      </c>
      <c r="Z2121" s="1" t="s">
        <v>9166</v>
      </c>
      <c r="AA2121" s="1" t="s">
        <v>9167</v>
      </c>
      <c r="AB2121" s="1"/>
      <c r="AC2121" s="1"/>
      <c r="AD2121" s="1"/>
      <c r="AE2121" s="1"/>
      <c r="AG2121" s="2" t="str">
        <f>"0822207125"</f>
        <v>0822207125</v>
      </c>
      <c r="AH2121" s="2" t="str">
        <f>"9780822207122"</f>
        <v>9780822207122</v>
      </c>
      <c r="AI2121" s="1">
        <v>5.0</v>
      </c>
      <c r="AJ2121" s="1">
        <v>3.93</v>
      </c>
      <c r="AK2121" s="1" t="s">
        <v>9168</v>
      </c>
      <c r="AL2121" s="1" t="s">
        <v>28</v>
      </c>
      <c r="AM2121" s="1">
        <v>72.0</v>
      </c>
      <c r="AN2121" s="1">
        <v>1998.0</v>
      </c>
      <c r="AO2121" s="1">
        <v>1988.0</v>
      </c>
      <c r="AQ2121" s="3">
        <v>42843.0</v>
      </c>
      <c r="AT2121" s="1" t="s">
        <v>127</v>
      </c>
      <c r="AX2121" s="1">
        <v>1.0</v>
      </c>
      <c r="AY2121" s="1">
        <v>0.0</v>
      </c>
    </row>
    <row r="2122" spans="20:51" ht="15.75" hidden="1">
      <c r="T2122" s="1">
        <v>23066.0</v>
      </c>
      <c r="U2122" s="1"/>
      <c r="V2122" s="1"/>
      <c r="W2122" s="1"/>
      <c r="X2122" s="1"/>
      <c r="Y2122" s="1" t="s">
        <v>9169</v>
      </c>
      <c r="Z2122" s="1" t="s">
        <v>3049</v>
      </c>
      <c r="AA2122" s="1" t="s">
        <v>3050</v>
      </c>
      <c r="AB2122" s="1"/>
      <c r="AC2122" s="1"/>
      <c r="AD2122" s="1"/>
      <c r="AE2122" s="1"/>
      <c r="AF2122" s="1" t="s">
        <v>3579</v>
      </c>
      <c r="AG2122" s="2" t="str">
        <f>"0151001367"</f>
        <v>0151001367</v>
      </c>
      <c r="AH2122" s="2" t="str">
        <f>"9780151001361"</f>
        <v>9780151001361</v>
      </c>
      <c r="AI2122" s="1">
        <v>0.0</v>
      </c>
      <c r="AJ2122" s="1">
        <v>3.84</v>
      </c>
      <c r="AK2122" s="1" t="s">
        <v>2685</v>
      </c>
      <c r="AL2122" s="1" t="s">
        <v>41</v>
      </c>
      <c r="AM2122" s="1">
        <v>248.0</v>
      </c>
      <c r="AN2122" s="1">
        <v>1994.0</v>
      </c>
      <c r="AO2122" s="1">
        <v>1992.0</v>
      </c>
      <c r="AQ2122" s="3">
        <v>42822.0</v>
      </c>
      <c r="AR2122" s="1" t="s">
        <v>31</v>
      </c>
      <c r="AS2122" s="1" t="s">
        <v>9170</v>
      </c>
      <c r="AT2122" s="1" t="s">
        <v>31</v>
      </c>
      <c r="AX2122" s="1">
        <v>0.0</v>
      </c>
      <c r="AY2122" s="1">
        <v>0.0</v>
      </c>
    </row>
    <row r="2123" spans="20:51" ht="15.75" hidden="1">
      <c r="T2123" s="1">
        <v>449934.0</v>
      </c>
      <c r="U2123" s="1"/>
      <c r="V2123" s="1"/>
      <c r="W2123" s="1"/>
      <c r="X2123" s="1"/>
      <c r="Y2123" s="1" t="s">
        <v>9171</v>
      </c>
      <c r="Z2123" s="1" t="s">
        <v>9172</v>
      </c>
      <c r="AA2123" s="1" t="s">
        <v>9173</v>
      </c>
      <c r="AB2123" s="1"/>
      <c r="AC2123" s="1"/>
      <c r="AD2123" s="1"/>
      <c r="AE2123" s="1"/>
      <c r="AG2123" s="2" t="str">
        <f>"0385313527"</f>
        <v>0385313527</v>
      </c>
      <c r="AH2123" s="2" t="str">
        <f>"9780385313520"</f>
        <v>9780385313520</v>
      </c>
      <c r="AI2123" s="1">
        <v>0.0</v>
      </c>
      <c r="AJ2123" s="1">
        <v>3.92</v>
      </c>
      <c r="AK2123" s="1" t="s">
        <v>9174</v>
      </c>
      <c r="AL2123" s="1" t="s">
        <v>41</v>
      </c>
      <c r="AM2123" s="1">
        <v>211.0</v>
      </c>
      <c r="AN2123" s="1">
        <v>1995.0</v>
      </c>
      <c r="AO2123" s="1">
        <v>1995.0</v>
      </c>
      <c r="AQ2123" s="3">
        <v>42811.0</v>
      </c>
      <c r="AR2123" s="1" t="s">
        <v>31</v>
      </c>
      <c r="AS2123" s="1" t="s">
        <v>9175</v>
      </c>
      <c r="AT2123" s="1" t="s">
        <v>31</v>
      </c>
      <c r="AX2123" s="1">
        <v>0.0</v>
      </c>
      <c r="AY2123" s="1">
        <v>0.0</v>
      </c>
    </row>
    <row r="2124" spans="20:51" ht="15.75" hidden="1">
      <c r="T2124" s="1">
        <v>2.5566111E7</v>
      </c>
      <c r="U2124" s="1"/>
      <c r="V2124" s="1"/>
      <c r="W2124" s="1"/>
      <c r="X2124" s="1"/>
      <c r="Y2124" s="1" t="s">
        <v>9176</v>
      </c>
      <c r="Z2124" s="1" t="s">
        <v>9177</v>
      </c>
      <c r="AA2124" s="1" t="s">
        <v>9178</v>
      </c>
      <c r="AB2124" s="1"/>
      <c r="AC2124" s="1"/>
      <c r="AD2124" s="1"/>
      <c r="AE2124" s="1"/>
      <c r="AG2124" s="2" t="str">
        <f>"0986187615"</f>
        <v>0986187615</v>
      </c>
      <c r="AH2124" s="2" t="str">
        <f>"9780986187612"</f>
        <v>9780986187612</v>
      </c>
      <c r="AI2124" s="1">
        <v>0.0</v>
      </c>
      <c r="AJ2124" s="1">
        <v>4.02</v>
      </c>
      <c r="AK2124" s="1" t="s">
        <v>9179</v>
      </c>
      <c r="AL2124" s="1" t="s">
        <v>28</v>
      </c>
      <c r="AM2124" s="1">
        <v>63.0</v>
      </c>
      <c r="AN2124" s="1">
        <v>2015.0</v>
      </c>
      <c r="AO2124" s="1">
        <v>2015.0</v>
      </c>
      <c r="AQ2124" s="3">
        <v>42808.0</v>
      </c>
      <c r="AR2124" s="1" t="s">
        <v>31</v>
      </c>
      <c r="AS2124" s="1" t="s">
        <v>9180</v>
      </c>
      <c r="AT2124" s="1" t="s">
        <v>31</v>
      </c>
      <c r="AX2124" s="1">
        <v>0.0</v>
      </c>
      <c r="AY2124" s="1">
        <v>0.0</v>
      </c>
    </row>
    <row r="2125" spans="20:51" ht="15.75" hidden="1">
      <c r="T2125" s="1">
        <v>3.4082935E7</v>
      </c>
      <c r="U2125" s="1"/>
      <c r="V2125" s="1"/>
      <c r="W2125" s="1"/>
      <c r="X2125" s="1"/>
      <c r="Y2125" s="1" t="s">
        <v>9181</v>
      </c>
      <c r="Z2125" s="1" t="s">
        <v>9182</v>
      </c>
      <c r="AA2125" s="1" t="s">
        <v>9183</v>
      </c>
      <c r="AB2125" s="1"/>
      <c r="AC2125" s="1"/>
      <c r="AD2125" s="1"/>
      <c r="AE2125" s="1"/>
      <c r="AF2125" s="1" t="s">
        <v>3266</v>
      </c>
      <c r="AG2125" s="2" t="str">
        <f>"1938753232"</f>
        <v>1938753232</v>
      </c>
      <c r="AH2125" s="2" t="str">
        <f>"9781938753237"</f>
        <v>9781938753237</v>
      </c>
      <c r="AI2125" s="1">
        <v>0.0</v>
      </c>
      <c r="AJ2125" s="1">
        <v>4.44</v>
      </c>
      <c r="AK2125" s="1" t="s">
        <v>9184</v>
      </c>
      <c r="AL2125" s="1" t="s">
        <v>28</v>
      </c>
      <c r="AM2125" s="1">
        <v>188.0</v>
      </c>
      <c r="AN2125" s="1">
        <v>2017.0</v>
      </c>
      <c r="AO2125" s="1">
        <v>2017.0</v>
      </c>
      <c r="AQ2125" s="3">
        <v>42782.0</v>
      </c>
      <c r="AR2125" s="1" t="s">
        <v>31</v>
      </c>
      <c r="AS2125" s="1" t="s">
        <v>9185</v>
      </c>
      <c r="AT2125" s="1" t="s">
        <v>31</v>
      </c>
      <c r="AX2125" s="1">
        <v>0.0</v>
      </c>
      <c r="AY2125" s="1">
        <v>0.0</v>
      </c>
    </row>
    <row r="2126" spans="20:51" ht="15.75" hidden="1">
      <c r="T2126" s="1">
        <v>7817557.0</v>
      </c>
      <c r="U2126" s="1"/>
      <c r="V2126" s="1"/>
      <c r="W2126" s="1"/>
      <c r="X2126" s="1"/>
      <c r="Y2126" s="1" t="s">
        <v>9186</v>
      </c>
      <c r="Z2126" s="1" t="s">
        <v>9187</v>
      </c>
      <c r="AA2126" s="1" t="s">
        <v>9188</v>
      </c>
      <c r="AB2126" s="1"/>
      <c r="AC2126" s="1"/>
      <c r="AD2126" s="1"/>
      <c r="AE2126" s="1"/>
      <c r="AG2126" s="2" t="str">
        <f>"0691140979"</f>
        <v>0691140979</v>
      </c>
      <c r="AH2126" s="2" t="str">
        <f>"9780691140971"</f>
        <v>9780691140971</v>
      </c>
      <c r="AI2126" s="1">
        <v>0.0</v>
      </c>
      <c r="AJ2126" s="1">
        <v>3.73</v>
      </c>
      <c r="AK2126" s="1" t="s">
        <v>141</v>
      </c>
      <c r="AL2126" s="1" t="s">
        <v>28</v>
      </c>
      <c r="AM2126" s="1">
        <v>320.0</v>
      </c>
      <c r="AN2126" s="1">
        <v>2009.0</v>
      </c>
      <c r="AO2126" s="1">
        <v>2006.0</v>
      </c>
      <c r="AQ2126" s="3">
        <v>42767.0</v>
      </c>
      <c r="AR2126" s="1" t="s">
        <v>31</v>
      </c>
      <c r="AS2126" s="1" t="s">
        <v>9189</v>
      </c>
      <c r="AT2126" s="1" t="s">
        <v>31</v>
      </c>
      <c r="AX2126" s="1">
        <v>0.0</v>
      </c>
      <c r="AY2126" s="1">
        <v>0.0</v>
      </c>
    </row>
    <row r="2127" spans="20:51" ht="15.75" hidden="1">
      <c r="T2127" s="1">
        <v>342049.0</v>
      </c>
      <c r="U2127" s="1"/>
      <c r="V2127" s="1"/>
      <c r="W2127" s="1"/>
      <c r="X2127" s="1"/>
      <c r="Y2127" s="1" t="s">
        <v>9190</v>
      </c>
      <c r="Z2127" s="1" t="s">
        <v>9191</v>
      </c>
      <c r="AA2127" s="1" t="s">
        <v>9192</v>
      </c>
      <c r="AB2127" s="1"/>
      <c r="AC2127" s="1"/>
      <c r="AD2127" s="1"/>
      <c r="AE2127" s="1"/>
      <c r="AG2127" s="2" t="str">
        <f>"0394717813"</f>
        <v>0394717813</v>
      </c>
      <c r="AH2127" s="2" t="str">
        <f>"9780394717814"</f>
        <v>9780394717814</v>
      </c>
      <c r="AI2127" s="1">
        <v>0.0</v>
      </c>
      <c r="AJ2127" s="1">
        <v>4.23</v>
      </c>
      <c r="AK2127" s="1" t="s">
        <v>83</v>
      </c>
      <c r="AL2127" s="1" t="s">
        <v>315</v>
      </c>
      <c r="AM2127" s="1">
        <v>435.0</v>
      </c>
      <c r="AN2127" s="1">
        <v>1972.0</v>
      </c>
      <c r="AO2127" s="1">
        <v>1917.0</v>
      </c>
      <c r="AQ2127" s="3">
        <v>42764.0</v>
      </c>
      <c r="AR2127" s="1" t="s">
        <v>31</v>
      </c>
      <c r="AS2127" s="1" t="s">
        <v>9193</v>
      </c>
      <c r="AT2127" s="1" t="s">
        <v>31</v>
      </c>
      <c r="AX2127" s="1">
        <v>0.0</v>
      </c>
      <c r="AY2127" s="1">
        <v>0.0</v>
      </c>
    </row>
    <row r="2128" spans="20:51" ht="15.75" hidden="1">
      <c r="T2128" s="1">
        <v>2.9430716E7</v>
      </c>
      <c r="U2128" s="1"/>
      <c r="V2128" s="1"/>
      <c r="W2128" s="1"/>
      <c r="X2128" s="1"/>
      <c r="Y2128" s="1" t="s">
        <v>9194</v>
      </c>
      <c r="Z2128" s="1" t="s">
        <v>9195</v>
      </c>
      <c r="AA2128" s="1" t="s">
        <v>9196</v>
      </c>
      <c r="AB2128" s="1"/>
      <c r="AC2128" s="1"/>
      <c r="AD2128" s="1"/>
      <c r="AE2128" s="1"/>
      <c r="AG2128" s="2" t="str">
        <f>"1501134574"</f>
        <v>1501134574</v>
      </c>
      <c r="AH2128" s="2" t="str">
        <f>"9781501134579"</f>
        <v>9781501134579</v>
      </c>
      <c r="AI2128" s="1">
        <v>0.0</v>
      </c>
      <c r="AJ2128" s="1">
        <v>3.79</v>
      </c>
      <c r="AK2128" s="1" t="s">
        <v>345</v>
      </c>
      <c r="AL2128" s="1" t="s">
        <v>28</v>
      </c>
      <c r="AM2128" s="1">
        <v>304.0</v>
      </c>
      <c r="AN2128" s="1">
        <v>2017.0</v>
      </c>
      <c r="AO2128" s="1">
        <v>2017.0</v>
      </c>
      <c r="AQ2128" s="3">
        <v>42740.0</v>
      </c>
      <c r="AR2128" s="1" t="s">
        <v>31</v>
      </c>
      <c r="AS2128" s="1" t="s">
        <v>9197</v>
      </c>
      <c r="AT2128" s="1" t="s">
        <v>31</v>
      </c>
      <c r="AX2128" s="1">
        <v>0.0</v>
      </c>
      <c r="AY2128" s="1">
        <v>0.0</v>
      </c>
    </row>
    <row r="2129" spans="20:51" ht="15.75" hidden="1">
      <c r="T2129" s="1">
        <v>2.5489025E7</v>
      </c>
      <c r="U2129" s="1"/>
      <c r="V2129" s="1"/>
      <c r="W2129" s="1"/>
      <c r="X2129" s="1"/>
      <c r="Y2129" s="1" t="s">
        <v>9198</v>
      </c>
      <c r="Z2129" s="1" t="s">
        <v>9199</v>
      </c>
      <c r="AA2129" s="1" t="s">
        <v>9200</v>
      </c>
      <c r="AB2129" s="1"/>
      <c r="AC2129" s="1"/>
      <c r="AD2129" s="1"/>
      <c r="AE2129" s="1"/>
      <c r="AF2129" s="1" t="s">
        <v>9201</v>
      </c>
      <c r="AG2129" s="2" t="str">
        <f>"0553448188"</f>
        <v>0553448188</v>
      </c>
      <c r="AH2129" s="2" t="str">
        <f>"9780553448184"</f>
        <v>9780553448184</v>
      </c>
      <c r="AI2129" s="1">
        <v>0.0</v>
      </c>
      <c r="AJ2129" s="1">
        <v>3.59</v>
      </c>
      <c r="AK2129" s="1" t="s">
        <v>9202</v>
      </c>
      <c r="AL2129" s="1" t="s">
        <v>41</v>
      </c>
      <c r="AM2129" s="1">
        <v>188.0</v>
      </c>
      <c r="AN2129" s="1">
        <v>2016.0</v>
      </c>
      <c r="AO2129" s="1">
        <v>2007.0</v>
      </c>
      <c r="AQ2129" s="3">
        <v>42740.0</v>
      </c>
      <c r="AR2129" s="1" t="s">
        <v>31</v>
      </c>
      <c r="AS2129" s="1" t="s">
        <v>9203</v>
      </c>
      <c r="AT2129" s="1" t="s">
        <v>31</v>
      </c>
      <c r="AX2129" s="1">
        <v>0.0</v>
      </c>
      <c r="AY2129" s="1">
        <v>0.0</v>
      </c>
    </row>
    <row r="2130" spans="20:51" ht="15.75" hidden="1">
      <c r="T2130" s="1">
        <v>2.9430708E7</v>
      </c>
      <c r="U2130" s="1"/>
      <c r="V2130" s="1"/>
      <c r="W2130" s="1"/>
      <c r="X2130" s="1"/>
      <c r="Y2130" s="1" t="s">
        <v>9204</v>
      </c>
      <c r="Z2130" s="1" t="s">
        <v>9205</v>
      </c>
      <c r="AA2130" s="1" t="s">
        <v>9206</v>
      </c>
      <c r="AB2130" s="1"/>
      <c r="AC2130" s="1"/>
      <c r="AD2130" s="1"/>
      <c r="AE2130" s="1"/>
      <c r="AG2130" s="2" t="str">
        <f>"1501141090"</f>
        <v>1501141090</v>
      </c>
      <c r="AH2130" s="2" t="str">
        <f>"9781501141096"</f>
        <v>9781501141096</v>
      </c>
      <c r="AI2130" s="1">
        <v>0.0</v>
      </c>
      <c r="AJ2130" s="1">
        <v>3.88</v>
      </c>
      <c r="AK2130" s="1" t="s">
        <v>345</v>
      </c>
      <c r="AL2130" s="1" t="s">
        <v>41</v>
      </c>
      <c r="AM2130" s="1">
        <v>576.0</v>
      </c>
      <c r="AN2130" s="1">
        <v>2016.0</v>
      </c>
      <c r="AO2130" s="1">
        <v>2016.0</v>
      </c>
      <c r="AQ2130" s="4">
        <v>42725.0</v>
      </c>
      <c r="AR2130" s="1" t="s">
        <v>31</v>
      </c>
      <c r="AS2130" s="1" t="s">
        <v>9207</v>
      </c>
      <c r="AT2130" s="1" t="s">
        <v>31</v>
      </c>
      <c r="AX2130" s="1">
        <v>0.0</v>
      </c>
      <c r="AY2130" s="1">
        <v>0.0</v>
      </c>
    </row>
    <row r="2131" spans="20:51" ht="15.75" hidden="1">
      <c r="T2131" s="1">
        <v>1799468.0</v>
      </c>
      <c r="U2131" s="1"/>
      <c r="V2131" s="1"/>
      <c r="W2131" s="1"/>
      <c r="X2131" s="1"/>
      <c r="Y2131" s="1" t="s">
        <v>9208</v>
      </c>
      <c r="Z2131" s="1" t="s">
        <v>8105</v>
      </c>
      <c r="AA2131" s="1" t="s">
        <v>8106</v>
      </c>
      <c r="AB2131" s="1"/>
      <c r="AC2131" s="1"/>
      <c r="AD2131" s="1"/>
      <c r="AE2131" s="1"/>
      <c r="AG2131" s="2" t="str">
        <f>"0586044876"</f>
        <v>0586044876</v>
      </c>
      <c r="AH2131" s="2" t="str">
        <f>"9780586044872"</f>
        <v>9780586044872</v>
      </c>
      <c r="AI2131" s="1">
        <v>0.0</v>
      </c>
      <c r="AJ2131" s="1">
        <v>3.94</v>
      </c>
      <c r="AK2131" s="1" t="s">
        <v>9209</v>
      </c>
      <c r="AL2131" s="1" t="s">
        <v>28</v>
      </c>
      <c r="AM2131" s="1">
        <v>394.0</v>
      </c>
      <c r="AN2131" s="1">
        <v>1978.0</v>
      </c>
      <c r="AO2131" s="1">
        <v>1957.0</v>
      </c>
      <c r="AQ2131" s="3">
        <v>42620.0</v>
      </c>
      <c r="AR2131" s="1" t="s">
        <v>31</v>
      </c>
      <c r="AS2131" s="1" t="s">
        <v>9210</v>
      </c>
      <c r="AT2131" s="1" t="s">
        <v>31</v>
      </c>
      <c r="AX2131" s="1">
        <v>0.0</v>
      </c>
      <c r="AY2131" s="1">
        <v>0.0</v>
      </c>
    </row>
    <row r="2132" spans="20:51" ht="15.75" hidden="1">
      <c r="T2132" s="1">
        <v>1.9288788E7</v>
      </c>
      <c r="U2132" s="1"/>
      <c r="V2132" s="1"/>
      <c r="W2132" s="1"/>
      <c r="X2132" s="1"/>
      <c r="Y2132" s="1" t="s">
        <v>9211</v>
      </c>
      <c r="Z2132" s="1" t="s">
        <v>9212</v>
      </c>
      <c r="AA2132" s="1" t="s">
        <v>9213</v>
      </c>
      <c r="AB2132" s="1"/>
      <c r="AC2132" s="1"/>
      <c r="AD2132" s="1"/>
      <c r="AE2132" s="1"/>
      <c r="AG2132" s="2" t="str">
        <f>"1612193765"</f>
        <v>1612193765</v>
      </c>
      <c r="AH2132" s="2" t="str">
        <f>"9781612193762"</f>
        <v>9781612193762</v>
      </c>
      <c r="AI2132" s="1">
        <v>0.0</v>
      </c>
      <c r="AJ2132" s="1">
        <v>3.11</v>
      </c>
      <c r="AK2132" s="1" t="s">
        <v>1708</v>
      </c>
      <c r="AL2132" s="1" t="s">
        <v>41</v>
      </c>
      <c r="AM2132" s="1">
        <v>192.0</v>
      </c>
      <c r="AN2132" s="1">
        <v>2014.0</v>
      </c>
      <c r="AO2132" s="1">
        <v>2014.0</v>
      </c>
      <c r="AQ2132" s="3">
        <v>42617.0</v>
      </c>
      <c r="AR2132" s="1" t="s">
        <v>31</v>
      </c>
      <c r="AS2132" s="1" t="s">
        <v>9214</v>
      </c>
      <c r="AT2132" s="1" t="s">
        <v>31</v>
      </c>
      <c r="AX2132" s="1">
        <v>0.0</v>
      </c>
      <c r="AY2132" s="1">
        <v>0.0</v>
      </c>
    </row>
    <row r="2133" spans="20:51" ht="15.75" hidden="1">
      <c r="T2133" s="1">
        <v>44038.0</v>
      </c>
      <c r="U2133" s="1"/>
      <c r="V2133" s="1"/>
      <c r="W2133" s="1"/>
      <c r="X2133" s="1"/>
      <c r="Y2133" s="1" t="s">
        <v>9215</v>
      </c>
      <c r="Z2133" s="1" t="s">
        <v>521</v>
      </c>
      <c r="AA2133" s="1" t="s">
        <v>4977</v>
      </c>
      <c r="AB2133" s="1"/>
      <c r="AC2133" s="1"/>
      <c r="AD2133" s="1"/>
      <c r="AE2133" s="1"/>
      <c r="AG2133" s="2" t="str">
        <f>"1846590051"</f>
        <v>1846590051</v>
      </c>
      <c r="AH2133" s="2" t="str">
        <f>"9781846590054"</f>
        <v>9781846590054</v>
      </c>
      <c r="AI2133" s="1">
        <v>0.0</v>
      </c>
      <c r="AJ2133" s="1">
        <v>3.67</v>
      </c>
      <c r="AK2133" s="1" t="s">
        <v>9216</v>
      </c>
      <c r="AL2133" s="1" t="s">
        <v>28</v>
      </c>
      <c r="AM2133" s="1">
        <v>104.0</v>
      </c>
      <c r="AN2133" s="1">
        <v>2006.0</v>
      </c>
      <c r="AO2133" s="1">
        <v>2002.0</v>
      </c>
      <c r="AQ2133" s="3">
        <v>42603.0</v>
      </c>
      <c r="AR2133" s="1" t="s">
        <v>31</v>
      </c>
      <c r="AS2133" s="1" t="s">
        <v>9217</v>
      </c>
      <c r="AT2133" s="1" t="s">
        <v>31</v>
      </c>
      <c r="AX2133" s="1">
        <v>0.0</v>
      </c>
      <c r="AY2133" s="1">
        <v>0.0</v>
      </c>
    </row>
    <row r="2134" spans="20:51" ht="15.75" hidden="1">
      <c r="T2134" s="1">
        <v>210257.0</v>
      </c>
      <c r="U2134" s="1"/>
      <c r="V2134" s="1"/>
      <c r="W2134" s="1"/>
      <c r="X2134" s="1"/>
      <c r="Y2134" s="1" t="s">
        <v>9218</v>
      </c>
      <c r="Z2134" s="1" t="s">
        <v>9219</v>
      </c>
      <c r="AA2134" s="1" t="s">
        <v>9220</v>
      </c>
      <c r="AB2134" s="1"/>
      <c r="AC2134" s="1"/>
      <c r="AD2134" s="1"/>
      <c r="AE2134" s="1"/>
      <c r="AF2134" s="1" t="s">
        <v>9221</v>
      </c>
      <c r="AG2134" s="2" t="str">
        <f>"0140447679"</f>
        <v>0140447679</v>
      </c>
      <c r="AH2134" s="2" t="str">
        <f>"9780140447675"</f>
        <v>9780140447675</v>
      </c>
      <c r="AI2134" s="1">
        <v>0.0</v>
      </c>
      <c r="AJ2134" s="1">
        <v>3.96</v>
      </c>
      <c r="AK2134" s="1" t="s">
        <v>232</v>
      </c>
      <c r="AL2134" s="1" t="s">
        <v>28</v>
      </c>
      <c r="AM2134" s="1">
        <v>320.0</v>
      </c>
      <c r="AN2134" s="1">
        <v>2002.0</v>
      </c>
      <c r="AO2134" s="1">
        <v>1891.0</v>
      </c>
      <c r="AQ2134" s="3">
        <v>42603.0</v>
      </c>
      <c r="AR2134" s="1" t="s">
        <v>31</v>
      </c>
      <c r="AS2134" s="1" t="s">
        <v>9222</v>
      </c>
      <c r="AT2134" s="1" t="s">
        <v>31</v>
      </c>
      <c r="AX2134" s="1">
        <v>0.0</v>
      </c>
      <c r="AY2134" s="1">
        <v>0.0</v>
      </c>
    </row>
    <row r="2135" spans="20:51" ht="15.75" hidden="1">
      <c r="T2135" s="1">
        <v>1.5799151E7</v>
      </c>
      <c r="U2135" s="1"/>
      <c r="V2135" s="1"/>
      <c r="W2135" s="1"/>
      <c r="X2135" s="1"/>
      <c r="Y2135" s="1" t="s">
        <v>9223</v>
      </c>
      <c r="Z2135" s="1" t="s">
        <v>9224</v>
      </c>
      <c r="AA2135" s="1" t="s">
        <v>9225</v>
      </c>
      <c r="AB2135" s="1"/>
      <c r="AC2135" s="1"/>
      <c r="AD2135" s="1"/>
      <c r="AE2135" s="1"/>
      <c r="AG2135" s="2" t="str">
        <f>"0307273601"</f>
        <v>0307273601</v>
      </c>
      <c r="AH2135" s="2" t="str">
        <f>"9780307273604"</f>
        <v>9780307273604</v>
      </c>
      <c r="AI2135" s="1">
        <v>0.0</v>
      </c>
      <c r="AJ2135" s="1">
        <v>3.65</v>
      </c>
      <c r="AK2135" s="1" t="s">
        <v>634</v>
      </c>
      <c r="AL2135" s="1" t="s">
        <v>41</v>
      </c>
      <c r="AM2135" s="1">
        <v>278.0</v>
      </c>
      <c r="AN2135" s="1">
        <v>2013.0</v>
      </c>
      <c r="AO2135" s="1">
        <v>2013.0</v>
      </c>
      <c r="AQ2135" s="3">
        <v>42599.0</v>
      </c>
      <c r="AR2135" s="1" t="s">
        <v>31</v>
      </c>
      <c r="AS2135" s="1" t="s">
        <v>9226</v>
      </c>
      <c r="AT2135" s="1" t="s">
        <v>31</v>
      </c>
      <c r="AX2135" s="1">
        <v>0.0</v>
      </c>
      <c r="AY2135" s="1">
        <v>0.0</v>
      </c>
    </row>
    <row r="2136" spans="20:51" ht="15.75" hidden="1">
      <c r="T2136" s="1">
        <v>1.3410837E7</v>
      </c>
      <c r="U2136" s="1"/>
      <c r="V2136" s="1"/>
      <c r="W2136" s="1"/>
      <c r="X2136" s="1"/>
      <c r="Y2136" s="1" t="s">
        <v>9227</v>
      </c>
      <c r="Z2136" s="1" t="s">
        <v>9228</v>
      </c>
      <c r="AA2136" s="1" t="s">
        <v>9229</v>
      </c>
      <c r="AB2136" s="1"/>
      <c r="AC2136" s="1"/>
      <c r="AD2136" s="1"/>
      <c r="AE2136" s="1"/>
      <c r="AG2136" s="2" t="str">
        <f>"1892061422"</f>
        <v>1892061422</v>
      </c>
      <c r="AH2136" s="2" t="str">
        <f>"9781892061423"</f>
        <v>9781892061423</v>
      </c>
      <c r="AI2136" s="1">
        <v>0.0</v>
      </c>
      <c r="AJ2136" s="1">
        <v>3.94</v>
      </c>
      <c r="AK2136" s="1" t="s">
        <v>9230</v>
      </c>
      <c r="AL2136" s="1" t="s">
        <v>28</v>
      </c>
      <c r="AM2136" s="1">
        <v>164.0</v>
      </c>
      <c r="AN2136" s="1">
        <v>2011.0</v>
      </c>
      <c r="AO2136" s="1">
        <v>2011.0</v>
      </c>
      <c r="AQ2136" s="3">
        <v>42346.0</v>
      </c>
      <c r="AR2136" s="1" t="s">
        <v>31</v>
      </c>
      <c r="AS2136" s="1" t="s">
        <v>9231</v>
      </c>
      <c r="AT2136" s="1" t="s">
        <v>31</v>
      </c>
      <c r="AX2136" s="1">
        <v>0.0</v>
      </c>
      <c r="AY2136" s="1">
        <v>0.0</v>
      </c>
    </row>
    <row r="2137" spans="20:51" ht="15.75" hidden="1">
      <c r="T2137" s="1">
        <v>1.3166631E7</v>
      </c>
      <c r="U2137" s="1"/>
      <c r="V2137" s="1"/>
      <c r="W2137" s="1"/>
      <c r="X2137" s="1"/>
      <c r="Y2137" s="1" t="s">
        <v>9232</v>
      </c>
      <c r="Z2137" s="1" t="s">
        <v>9233</v>
      </c>
      <c r="AA2137" s="1" t="s">
        <v>9234</v>
      </c>
      <c r="AB2137" s="1"/>
      <c r="AC2137" s="1"/>
      <c r="AD2137" s="1"/>
      <c r="AE2137" s="1"/>
      <c r="AG2137" s="2" t="str">
        <f>"0374532923"</f>
        <v>0374532923</v>
      </c>
      <c r="AH2137" s="2" t="str">
        <f>"9780374532925"</f>
        <v>9780374532925</v>
      </c>
      <c r="AI2137" s="1">
        <v>0.0</v>
      </c>
      <c r="AJ2137" s="1">
        <v>3.72</v>
      </c>
      <c r="AK2137" s="1" t="s">
        <v>9235</v>
      </c>
      <c r="AL2137" s="1" t="s">
        <v>28</v>
      </c>
      <c r="AM2137" s="1">
        <v>320.0</v>
      </c>
      <c r="AN2137" s="1">
        <v>2012.0</v>
      </c>
      <c r="AO2137" s="1">
        <v>2010.0</v>
      </c>
      <c r="AQ2137" s="3">
        <v>42392.0</v>
      </c>
      <c r="AR2137" s="1" t="s">
        <v>31</v>
      </c>
      <c r="AS2137" s="1" t="s">
        <v>9236</v>
      </c>
      <c r="AT2137" s="1" t="s">
        <v>31</v>
      </c>
      <c r="AX2137" s="1">
        <v>0.0</v>
      </c>
      <c r="AY2137" s="1">
        <v>0.0</v>
      </c>
    </row>
    <row r="2138" spans="20:51" ht="15.75" hidden="1">
      <c r="T2138" s="1">
        <v>7170963.0</v>
      </c>
      <c r="U2138" s="1"/>
      <c r="V2138" s="1"/>
      <c r="W2138" s="1"/>
      <c r="X2138" s="1"/>
      <c r="Y2138" s="1" t="s">
        <v>9237</v>
      </c>
      <c r="Z2138" s="1" t="s">
        <v>9238</v>
      </c>
      <c r="AA2138" s="1" t="s">
        <v>9239</v>
      </c>
      <c r="AB2138" s="1"/>
      <c r="AC2138" s="1"/>
      <c r="AD2138" s="1"/>
      <c r="AE2138" s="1"/>
      <c r="AG2138" s="2" t="str">
        <f>"0743291417"</f>
        <v>0743291417</v>
      </c>
      <c r="AH2138" s="2" t="str">
        <f>"9780743291415"</f>
        <v>9780743291415</v>
      </c>
      <c r="AI2138" s="1">
        <v>0.0</v>
      </c>
      <c r="AJ2138" s="1">
        <v>4.12</v>
      </c>
      <c r="AK2138" s="1" t="s">
        <v>345</v>
      </c>
      <c r="AL2138" s="1" t="s">
        <v>41</v>
      </c>
      <c r="AM2138" s="1">
        <v>384.0</v>
      </c>
      <c r="AN2138" s="1">
        <v>2009.0</v>
      </c>
      <c r="AO2138" s="1">
        <v>2008.0</v>
      </c>
      <c r="AQ2138" s="3">
        <v>42556.0</v>
      </c>
      <c r="AR2138" s="1" t="s">
        <v>31</v>
      </c>
      <c r="AS2138" s="1" t="s">
        <v>9240</v>
      </c>
      <c r="AT2138" s="1" t="s">
        <v>31</v>
      </c>
      <c r="AX2138" s="1">
        <v>0.0</v>
      </c>
      <c r="AY2138" s="1">
        <v>0.0</v>
      </c>
    </row>
    <row r="2139" spans="20:51" ht="15.75" hidden="1">
      <c r="T2139" s="1">
        <v>6955186.0</v>
      </c>
      <c r="U2139" s="1"/>
      <c r="V2139" s="1"/>
      <c r="W2139" s="1"/>
      <c r="X2139" s="1"/>
      <c r="Y2139" s="1" t="s">
        <v>9241</v>
      </c>
      <c r="Z2139" s="1" t="s">
        <v>9242</v>
      </c>
      <c r="AA2139" s="1" t="s">
        <v>9243</v>
      </c>
      <c r="AB2139" s="1"/>
      <c r="AC2139" s="1"/>
      <c r="AD2139" s="1"/>
      <c r="AE2139" s="1"/>
      <c r="AG2139" s="2" t="str">
        <f>"0807085928"</f>
        <v>0807085928</v>
      </c>
      <c r="AH2139" s="2" t="str">
        <f>"9780807085929"</f>
        <v>9780807085929</v>
      </c>
      <c r="AI2139" s="1">
        <v>0.0</v>
      </c>
      <c r="AJ2139" s="1">
        <v>4.17</v>
      </c>
      <c r="AK2139" s="1" t="s">
        <v>831</v>
      </c>
      <c r="AL2139" s="1" t="s">
        <v>41</v>
      </c>
      <c r="AM2139" s="1">
        <v>246.0</v>
      </c>
      <c r="AN2139" s="1">
        <v>2010.0</v>
      </c>
      <c r="AO2139" s="1">
        <v>2010.0</v>
      </c>
      <c r="AQ2139" s="3">
        <v>42556.0</v>
      </c>
      <c r="AR2139" s="1" t="s">
        <v>31</v>
      </c>
      <c r="AS2139" s="1" t="s">
        <v>9244</v>
      </c>
      <c r="AT2139" s="1" t="s">
        <v>31</v>
      </c>
      <c r="AX2139" s="1">
        <v>0.0</v>
      </c>
      <c r="AY2139" s="1">
        <v>0.0</v>
      </c>
    </row>
    <row r="2140" spans="20:51" ht="15.75" hidden="1">
      <c r="T2140" s="1">
        <v>608001.0</v>
      </c>
      <c r="U2140" s="1"/>
      <c r="V2140" s="1"/>
      <c r="W2140" s="1"/>
      <c r="X2140" s="1"/>
      <c r="Y2140" s="1" t="s">
        <v>9245</v>
      </c>
      <c r="Z2140" s="1" t="s">
        <v>9246</v>
      </c>
      <c r="AA2140" s="1" t="s">
        <v>9247</v>
      </c>
      <c r="AB2140" s="1"/>
      <c r="AC2140" s="1"/>
      <c r="AD2140" s="1"/>
      <c r="AE2140" s="1"/>
      <c r="AF2140" s="1" t="s">
        <v>9248</v>
      </c>
      <c r="AG2140" s="2" t="str">
        <f>"0520240790"</f>
        <v>0520240790</v>
      </c>
      <c r="AH2140" s="2" t="str">
        <f>"9780520240797"</f>
        <v>9780520240797</v>
      </c>
      <c r="AI2140" s="1">
        <v>0.0</v>
      </c>
      <c r="AJ2140" s="1">
        <v>4.27</v>
      </c>
      <c r="AK2140" s="1" t="s">
        <v>1306</v>
      </c>
      <c r="AL2140" s="1" t="s">
        <v>28</v>
      </c>
      <c r="AM2140" s="1">
        <v>297.0</v>
      </c>
      <c r="AN2140" s="1">
        <v>2003.0</v>
      </c>
      <c r="AO2140" s="1">
        <v>1993.0</v>
      </c>
      <c r="AQ2140" s="3">
        <v>42160.0</v>
      </c>
      <c r="AR2140" s="1" t="s">
        <v>31</v>
      </c>
      <c r="AS2140" s="1" t="s">
        <v>9249</v>
      </c>
      <c r="AT2140" s="1" t="s">
        <v>31</v>
      </c>
      <c r="AX2140" s="1">
        <v>0.0</v>
      </c>
      <c r="AY2140" s="1">
        <v>0.0</v>
      </c>
    </row>
    <row r="2141" spans="20:51" ht="15.75" hidden="1">
      <c r="T2141" s="1">
        <v>842450.0</v>
      </c>
      <c r="U2141" s="1"/>
      <c r="V2141" s="1"/>
      <c r="W2141" s="1"/>
      <c r="X2141" s="1"/>
      <c r="Y2141" s="1" t="s">
        <v>9250</v>
      </c>
      <c r="Z2141" s="1" t="s">
        <v>9251</v>
      </c>
      <c r="AA2141" s="1" t="s">
        <v>9252</v>
      </c>
      <c r="AB2141" s="1"/>
      <c r="AC2141" s="1"/>
      <c r="AD2141" s="1"/>
      <c r="AE2141" s="1"/>
      <c r="AF2141" s="1" t="s">
        <v>9253</v>
      </c>
      <c r="AG2141" s="2" t="str">
        <f>"0679450149"</f>
        <v>0679450149</v>
      </c>
      <c r="AH2141" s="2" t="str">
        <f>"9780679450146"</f>
        <v>9780679450146</v>
      </c>
      <c r="AI2141" s="1">
        <v>0.0</v>
      </c>
      <c r="AJ2141" s="1">
        <v>4.17</v>
      </c>
      <c r="AK2141" s="1" t="s">
        <v>988</v>
      </c>
      <c r="AL2141" s="1" t="s">
        <v>41</v>
      </c>
      <c r="AM2141" s="1">
        <v>110.0</v>
      </c>
      <c r="AN2141" s="1">
        <v>1996.0</v>
      </c>
      <c r="AO2141" s="1">
        <v>1996.0</v>
      </c>
      <c r="AQ2141" s="3">
        <v>41836.0</v>
      </c>
      <c r="AR2141" s="1" t="s">
        <v>31</v>
      </c>
      <c r="AS2141" s="1" t="s">
        <v>9254</v>
      </c>
      <c r="AT2141" s="1" t="s">
        <v>31</v>
      </c>
      <c r="AX2141" s="1">
        <v>0.0</v>
      </c>
      <c r="AY2141" s="1">
        <v>0.0</v>
      </c>
    </row>
    <row r="2142" spans="20:51" ht="15.75" hidden="1">
      <c r="T2142" s="1">
        <v>118317.0</v>
      </c>
      <c r="U2142" s="1"/>
      <c r="V2142" s="1"/>
      <c r="W2142" s="1"/>
      <c r="X2142" s="1"/>
      <c r="Y2142" s="1" t="s">
        <v>9255</v>
      </c>
      <c r="Z2142" s="1" t="s">
        <v>9256</v>
      </c>
      <c r="AA2142" s="1" t="s">
        <v>9257</v>
      </c>
      <c r="AB2142" s="1"/>
      <c r="AC2142" s="1"/>
      <c r="AD2142" s="1"/>
      <c r="AE2142" s="1"/>
      <c r="AF2142" s="1" t="s">
        <v>9258</v>
      </c>
      <c r="AG2142" s="2" t="str">
        <f>"0816612250"</f>
        <v>0816612250</v>
      </c>
      <c r="AH2142" s="2" t="str">
        <f>"9780816612253"</f>
        <v>9780816612253</v>
      </c>
      <c r="AI2142" s="1">
        <v>0.0</v>
      </c>
      <c r="AJ2142" s="1">
        <v>4.16</v>
      </c>
      <c r="AK2142" s="1" t="s">
        <v>953</v>
      </c>
      <c r="AL2142" s="1" t="s">
        <v>28</v>
      </c>
      <c r="AM2142" s="1">
        <v>400.0</v>
      </c>
      <c r="AN2142" s="1">
        <v>1983.0</v>
      </c>
      <c r="AO2142" s="1">
        <v>1972.0</v>
      </c>
      <c r="AQ2142" s="3">
        <v>42556.0</v>
      </c>
      <c r="AR2142" s="1" t="s">
        <v>31</v>
      </c>
      <c r="AS2142" s="1" t="s">
        <v>9259</v>
      </c>
      <c r="AT2142" s="1" t="s">
        <v>31</v>
      </c>
      <c r="AX2142" s="1">
        <v>0.0</v>
      </c>
      <c r="AY2142" s="1">
        <v>0.0</v>
      </c>
    </row>
    <row r="2143" spans="20:51" ht="15.75" hidden="1">
      <c r="T2143" s="1">
        <v>1.3239419E7</v>
      </c>
      <c r="U2143" s="1"/>
      <c r="V2143" s="1"/>
      <c r="W2143" s="1"/>
      <c r="X2143" s="1"/>
      <c r="Y2143" s="1" t="s">
        <v>9260</v>
      </c>
      <c r="Z2143" s="1" t="s">
        <v>9261</v>
      </c>
      <c r="AA2143" s="1" t="s">
        <v>9262</v>
      </c>
      <c r="AB2143" s="1"/>
      <c r="AC2143" s="1"/>
      <c r="AD2143" s="1"/>
      <c r="AE2143" s="1"/>
      <c r="AG2143" s="2" t="str">
        <f>"1936365812"</f>
        <v>1936365812</v>
      </c>
      <c r="AH2143" s="2" t="str">
        <f>"9781936365814"</f>
        <v>9781936365814</v>
      </c>
      <c r="AI2143" s="1">
        <v>0.0</v>
      </c>
      <c r="AJ2143" s="1">
        <v>3.88</v>
      </c>
      <c r="AK2143" s="1" t="s">
        <v>3599</v>
      </c>
      <c r="AL2143" s="1" t="s">
        <v>41</v>
      </c>
      <c r="AM2143" s="1">
        <v>344.0</v>
      </c>
      <c r="AN2143" s="1">
        <v>2013.0</v>
      </c>
      <c r="AO2143" s="1">
        <v>2013.0</v>
      </c>
      <c r="AQ2143" s="3">
        <v>42574.0</v>
      </c>
      <c r="AR2143" s="1" t="s">
        <v>31</v>
      </c>
      <c r="AS2143" s="1" t="s">
        <v>9263</v>
      </c>
      <c r="AT2143" s="1" t="s">
        <v>31</v>
      </c>
      <c r="AX2143" s="1">
        <v>0.0</v>
      </c>
      <c r="AY2143" s="1">
        <v>0.0</v>
      </c>
    </row>
    <row r="2144" spans="20:51" ht="15.75" hidden="1">
      <c r="T2144" s="1">
        <v>1.5999702E7</v>
      </c>
      <c r="U2144" s="1"/>
      <c r="V2144" s="1"/>
      <c r="W2144" s="1"/>
      <c r="X2144" s="1"/>
      <c r="Y2144" s="1" t="s">
        <v>9264</v>
      </c>
      <c r="Z2144" s="1" t="s">
        <v>9265</v>
      </c>
      <c r="AA2144" s="1" t="s">
        <v>9266</v>
      </c>
      <c r="AB2144" s="1"/>
      <c r="AC2144" s="1"/>
      <c r="AD2144" s="1"/>
      <c r="AE2144" s="1"/>
      <c r="AG2144" s="2" t="str">
        <f>"022604002X"</f>
        <v>022604002X</v>
      </c>
      <c r="AH2144" s="2" t="str">
        <f>"9780226040028"</f>
        <v>9780226040028</v>
      </c>
      <c r="AI2144" s="1">
        <v>0.0</v>
      </c>
      <c r="AJ2144" s="1">
        <v>3.2</v>
      </c>
      <c r="AK2144" s="1" t="s">
        <v>224</v>
      </c>
      <c r="AL2144" s="1" t="s">
        <v>41</v>
      </c>
      <c r="AM2144" s="1">
        <v>344.0</v>
      </c>
      <c r="AN2144" s="1">
        <v>2013.0</v>
      </c>
      <c r="AO2144" s="1">
        <v>2013.0</v>
      </c>
      <c r="AQ2144" s="3">
        <v>42573.0</v>
      </c>
      <c r="AR2144" s="1" t="s">
        <v>31</v>
      </c>
      <c r="AS2144" s="1" t="s">
        <v>9267</v>
      </c>
      <c r="AT2144" s="1" t="s">
        <v>31</v>
      </c>
      <c r="AX2144" s="1">
        <v>0.0</v>
      </c>
      <c r="AY2144" s="1">
        <v>0.0</v>
      </c>
    </row>
    <row r="2145" spans="20:51" ht="15.75" hidden="1">
      <c r="T2145" s="1">
        <v>1098486.0</v>
      </c>
      <c r="U2145" s="1"/>
      <c r="V2145" s="1"/>
      <c r="W2145" s="1"/>
      <c r="X2145" s="1"/>
      <c r="Y2145" s="1" t="s">
        <v>9268</v>
      </c>
      <c r="Z2145" s="1" t="s">
        <v>9269</v>
      </c>
      <c r="AA2145" s="1" t="s">
        <v>9270</v>
      </c>
      <c r="AB2145" s="1"/>
      <c r="AC2145" s="1"/>
      <c r="AD2145" s="1"/>
      <c r="AE2145" s="1"/>
      <c r="AG2145" s="2" t="str">
        <f>"140130138X"</f>
        <v>140130138X</v>
      </c>
      <c r="AH2145" s="2" t="str">
        <f>"9781401301385"</f>
        <v>9781401301385</v>
      </c>
      <c r="AI2145" s="1">
        <v>0.0</v>
      </c>
      <c r="AJ2145" s="1">
        <v>4.29</v>
      </c>
      <c r="AK2145" s="1" t="s">
        <v>7144</v>
      </c>
      <c r="AL2145" s="1" t="s">
        <v>41</v>
      </c>
      <c r="AM2145" s="1">
        <v>340.0</v>
      </c>
      <c r="AN2145" s="1">
        <v>2007.0</v>
      </c>
      <c r="AO2145" s="1">
        <v>2007.0</v>
      </c>
      <c r="AQ2145" s="3">
        <v>41650.0</v>
      </c>
      <c r="AR2145" s="1" t="s">
        <v>31</v>
      </c>
      <c r="AS2145" s="1" t="s">
        <v>9271</v>
      </c>
      <c r="AT2145" s="1" t="s">
        <v>31</v>
      </c>
      <c r="AX2145" s="1">
        <v>0.0</v>
      </c>
      <c r="AY2145" s="1">
        <v>0.0</v>
      </c>
    </row>
    <row r="2146" spans="20:51" ht="15.75" hidden="1">
      <c r="T2146" s="1">
        <v>96647.0</v>
      </c>
      <c r="U2146" s="1"/>
      <c r="V2146" s="1"/>
      <c r="W2146" s="1"/>
      <c r="X2146" s="1"/>
      <c r="Y2146" s="1" t="s">
        <v>9272</v>
      </c>
      <c r="Z2146" s="1" t="s">
        <v>9273</v>
      </c>
      <c r="AA2146" s="1" t="s">
        <v>9274</v>
      </c>
      <c r="AB2146" s="1"/>
      <c r="AC2146" s="1"/>
      <c r="AD2146" s="1"/>
      <c r="AE2146" s="1"/>
      <c r="AF2146" s="1" t="s">
        <v>9275</v>
      </c>
      <c r="AG2146" s="2" t="str">
        <f>"1401307450"</f>
        <v>1401307450</v>
      </c>
      <c r="AH2146" s="2" t="str">
        <f>"9781401307455"</f>
        <v>9781401307455</v>
      </c>
      <c r="AI2146" s="1">
        <v>0.0</v>
      </c>
      <c r="AJ2146" s="1">
        <v>4.11</v>
      </c>
      <c r="AK2146" s="1" t="s">
        <v>7144</v>
      </c>
      <c r="AL2146" s="1" t="s">
        <v>28</v>
      </c>
      <c r="AM2146" s="1">
        <v>465.0</v>
      </c>
      <c r="AN2146" s="1">
        <v>2005.0</v>
      </c>
      <c r="AO2146" s="1">
        <v>2004.0</v>
      </c>
      <c r="AP2146" s="3">
        <v>41172.0</v>
      </c>
      <c r="AQ2146" s="3">
        <v>41035.0</v>
      </c>
      <c r="AT2146" s="1" t="s">
        <v>127</v>
      </c>
      <c r="AX2146" s="1">
        <v>1.0</v>
      </c>
      <c r="AY2146" s="1">
        <v>0.0</v>
      </c>
    </row>
    <row r="2147" spans="20:51" ht="15.75" hidden="1">
      <c r="T2147" s="1">
        <v>260785.0</v>
      </c>
      <c r="U2147" s="1"/>
      <c r="V2147" s="1"/>
      <c r="W2147" s="1"/>
      <c r="X2147" s="1"/>
      <c r="Y2147" s="1" t="s">
        <v>9276</v>
      </c>
      <c r="Z2147" s="1" t="s">
        <v>9277</v>
      </c>
      <c r="AA2147" s="1" t="s">
        <v>9278</v>
      </c>
      <c r="AB2147" s="1"/>
      <c r="AC2147" s="1"/>
      <c r="AD2147" s="1"/>
      <c r="AE2147" s="1"/>
      <c r="AG2147" s="2" t="str">
        <f>"0141188391"</f>
        <v>0141188391</v>
      </c>
      <c r="AH2147" s="2" t="str">
        <f>"9780141188393"</f>
        <v>9780141188393</v>
      </c>
      <c r="AI2147" s="1">
        <v>0.0</v>
      </c>
      <c r="AJ2147" s="1">
        <v>3.8</v>
      </c>
      <c r="AK2147" s="1" t="s">
        <v>9279</v>
      </c>
      <c r="AL2147" s="1" t="s">
        <v>28</v>
      </c>
      <c r="AM2147" s="1">
        <v>352.0</v>
      </c>
      <c r="AN2147" s="1">
        <v>2006.0</v>
      </c>
      <c r="AO2147" s="1">
        <v>1952.0</v>
      </c>
      <c r="AQ2147" s="3">
        <v>41364.0</v>
      </c>
      <c r="AR2147" s="1" t="s">
        <v>31</v>
      </c>
      <c r="AS2147" s="1" t="s">
        <v>9280</v>
      </c>
      <c r="AT2147" s="1" t="s">
        <v>31</v>
      </c>
      <c r="AX2147" s="1">
        <v>0.0</v>
      </c>
      <c r="AY2147" s="1">
        <v>0.0</v>
      </c>
    </row>
    <row r="2148" spans="20:51" ht="15.75" hidden="1">
      <c r="T2148" s="1">
        <v>451565.0</v>
      </c>
      <c r="U2148" s="1"/>
      <c r="V2148" s="1"/>
      <c r="W2148" s="1"/>
      <c r="X2148" s="1"/>
      <c r="Y2148" s="1" t="s">
        <v>9281</v>
      </c>
      <c r="Z2148" s="1" t="s">
        <v>2093</v>
      </c>
      <c r="AA2148" s="1" t="s">
        <v>9282</v>
      </c>
      <c r="AB2148" s="1"/>
      <c r="AC2148" s="1"/>
      <c r="AD2148" s="1"/>
      <c r="AE2148" s="1"/>
      <c r="AF2148" s="1" t="s">
        <v>9283</v>
      </c>
      <c r="AG2148" s="2" t="str">
        <f>"0521567041"</f>
        <v>0521567041</v>
      </c>
      <c r="AH2148" s="2" t="str">
        <f>"9780521567046"</f>
        <v>9780521567046</v>
      </c>
      <c r="AI2148" s="1">
        <v>0.0</v>
      </c>
      <c r="AJ2148" s="1">
        <v>4.19</v>
      </c>
      <c r="AK2148" s="1" t="s">
        <v>605</v>
      </c>
      <c r="AL2148" s="1" t="s">
        <v>28</v>
      </c>
      <c r="AM2148" s="1">
        <v>428.0</v>
      </c>
      <c r="AN2148" s="1">
        <v>1996.0</v>
      </c>
      <c r="AO2148" s="1">
        <v>1878.0</v>
      </c>
      <c r="AQ2148" s="3">
        <v>41020.0</v>
      </c>
      <c r="AR2148" s="1" t="s">
        <v>31</v>
      </c>
      <c r="AS2148" s="1" t="s">
        <v>9284</v>
      </c>
      <c r="AT2148" s="1" t="s">
        <v>31</v>
      </c>
      <c r="AX2148" s="1">
        <v>0.0</v>
      </c>
      <c r="AY2148" s="1">
        <v>0.0</v>
      </c>
    </row>
    <row r="2149" spans="20:51" ht="15.75" hidden="1">
      <c r="T2149" s="1">
        <v>452151.0</v>
      </c>
      <c r="U2149" s="1"/>
      <c r="V2149" s="1"/>
      <c r="W2149" s="1"/>
      <c r="X2149" s="1"/>
      <c r="Y2149" s="1" t="s">
        <v>9285</v>
      </c>
      <c r="Z2149" s="1" t="s">
        <v>2738</v>
      </c>
      <c r="AA2149" s="1" t="s">
        <v>2739</v>
      </c>
      <c r="AB2149" s="1"/>
      <c r="AC2149" s="1"/>
      <c r="AD2149" s="1"/>
      <c r="AE2149" s="1"/>
      <c r="AF2149" s="1" t="s">
        <v>9286</v>
      </c>
      <c r="AG2149" s="2" t="str">
        <f>"0192802216"</f>
        <v>0192802216</v>
      </c>
      <c r="AH2149" s="2" t="str">
        <f>"9780192802217"</f>
        <v>9780192802217</v>
      </c>
      <c r="AI2149" s="1">
        <v>0.0</v>
      </c>
      <c r="AJ2149" s="1">
        <v>3.67</v>
      </c>
      <c r="AK2149" s="1" t="s">
        <v>214</v>
      </c>
      <c r="AL2149" s="1" t="s">
        <v>28</v>
      </c>
      <c r="AM2149" s="1">
        <v>216.0</v>
      </c>
      <c r="AN2149" s="1">
        <v>2003.0</v>
      </c>
      <c r="AO2149" s="1">
        <v>2003.0</v>
      </c>
      <c r="AQ2149" s="3">
        <v>42556.0</v>
      </c>
      <c r="AR2149" s="1" t="s">
        <v>31</v>
      </c>
      <c r="AS2149" s="1" t="s">
        <v>9287</v>
      </c>
      <c r="AT2149" s="1" t="s">
        <v>31</v>
      </c>
      <c r="AX2149" s="1">
        <v>0.0</v>
      </c>
      <c r="AY2149" s="1">
        <v>0.0</v>
      </c>
    </row>
    <row r="2150" spans="20:51" ht="15.75" hidden="1">
      <c r="T2150" s="1">
        <v>235898.0</v>
      </c>
      <c r="U2150" s="1"/>
      <c r="V2150" s="1"/>
      <c r="W2150" s="1"/>
      <c r="X2150" s="1"/>
      <c r="Y2150" s="1" t="s">
        <v>9288</v>
      </c>
      <c r="Z2150" s="1" t="s">
        <v>9289</v>
      </c>
      <c r="AA2150" s="1" t="s">
        <v>9290</v>
      </c>
      <c r="AB2150" s="1"/>
      <c r="AC2150" s="1"/>
      <c r="AD2150" s="1"/>
      <c r="AE2150" s="1"/>
      <c r="AF2150" s="1" t="s">
        <v>9291</v>
      </c>
      <c r="AG2150" s="2" t="str">
        <f>"1592402313"</f>
        <v>1592402313</v>
      </c>
      <c r="AH2150" s="2" t="str">
        <f>"9781592402311"</f>
        <v>9781592402311</v>
      </c>
      <c r="AI2150" s="1">
        <v>5.0</v>
      </c>
      <c r="AJ2150" s="1">
        <v>4.36</v>
      </c>
      <c r="AK2150" s="1" t="s">
        <v>9292</v>
      </c>
      <c r="AL2150" s="1" t="s">
        <v>41</v>
      </c>
      <c r="AM2150" s="1">
        <v>368.0</v>
      </c>
      <c r="AN2150" s="1">
        <v>2006.0</v>
      </c>
      <c r="AO2150" s="1">
        <v>2006.0</v>
      </c>
      <c r="AQ2150" s="3">
        <v>41305.0</v>
      </c>
      <c r="AT2150" s="1" t="s">
        <v>127</v>
      </c>
      <c r="AX2150" s="1">
        <v>1.0</v>
      </c>
      <c r="AY2150" s="1">
        <v>0.0</v>
      </c>
    </row>
    <row r="2151" spans="20:51" ht="15.75" hidden="1">
      <c r="T2151" s="1">
        <v>93180.0</v>
      </c>
      <c r="U2151" s="1"/>
      <c r="V2151" s="1"/>
      <c r="W2151" s="1"/>
      <c r="X2151" s="1"/>
      <c r="Y2151" s="1" t="s">
        <v>9293</v>
      </c>
      <c r="Z2151" s="1" t="s">
        <v>9294</v>
      </c>
      <c r="AA2151" s="1" t="s">
        <v>9295</v>
      </c>
      <c r="AB2151" s="1"/>
      <c r="AC2151" s="1"/>
      <c r="AD2151" s="1"/>
      <c r="AE2151" s="1"/>
      <c r="AF2151" s="1" t="s">
        <v>9296</v>
      </c>
      <c r="AG2151" s="2" t="str">
        <f>"0140445803"</f>
        <v>0140445803</v>
      </c>
      <c r="AH2151" s="2" t="str">
        <f>"9780140445800"</f>
        <v>9780140445800</v>
      </c>
      <c r="AI2151" s="1">
        <v>0.0</v>
      </c>
      <c r="AJ2151" s="1">
        <v>4.09</v>
      </c>
      <c r="AK2151" s="1" t="s">
        <v>119</v>
      </c>
      <c r="AL2151" s="1" t="s">
        <v>28</v>
      </c>
      <c r="AM2151" s="1">
        <v>631.0</v>
      </c>
      <c r="AN2151" s="1">
        <v>1996.0</v>
      </c>
      <c r="AO2151" s="1">
        <v>1847.0</v>
      </c>
      <c r="AQ2151" s="3">
        <v>41672.0</v>
      </c>
      <c r="AR2151" s="1" t="s">
        <v>31</v>
      </c>
      <c r="AS2151" s="1" t="s">
        <v>9297</v>
      </c>
      <c r="AT2151" s="1" t="s">
        <v>31</v>
      </c>
      <c r="AX2151" s="1">
        <v>0.0</v>
      </c>
      <c r="AY2151" s="1">
        <v>0.0</v>
      </c>
    </row>
    <row r="2152" spans="20:51" ht="15.75" hidden="1">
      <c r="T2152" s="1">
        <v>712665.0</v>
      </c>
      <c r="U2152" s="1"/>
      <c r="V2152" s="1"/>
      <c r="W2152" s="1"/>
      <c r="X2152" s="1"/>
      <c r="Y2152" s="1" t="s">
        <v>9298</v>
      </c>
      <c r="Z2152" s="1" t="s">
        <v>9299</v>
      </c>
      <c r="AA2152" s="1" t="s">
        <v>9300</v>
      </c>
      <c r="AB2152" s="1"/>
      <c r="AC2152" s="1"/>
      <c r="AD2152" s="1"/>
      <c r="AE2152" s="1"/>
      <c r="AG2152" s="2" t="str">
        <f>"0316332259"</f>
        <v>0316332259</v>
      </c>
      <c r="AH2152" s="2" t="str">
        <f>"9780316332255"</f>
        <v>9780316332255</v>
      </c>
      <c r="AI2152" s="1">
        <v>0.0</v>
      </c>
      <c r="AJ2152" s="1">
        <v>4.15</v>
      </c>
      <c r="AK2152" s="1" t="s">
        <v>1717</v>
      </c>
      <c r="AL2152" s="1" t="s">
        <v>41</v>
      </c>
      <c r="AM2152" s="1">
        <v>560.0</v>
      </c>
      <c r="AN2152" s="1">
        <v>1995.0</v>
      </c>
      <c r="AO2152" s="1">
        <v>1994.0</v>
      </c>
      <c r="AQ2152" s="3">
        <v>41313.0</v>
      </c>
      <c r="AR2152" s="1" t="s">
        <v>31</v>
      </c>
      <c r="AS2152" s="1" t="s">
        <v>9301</v>
      </c>
      <c r="AT2152" s="1" t="s">
        <v>31</v>
      </c>
      <c r="AX2152" s="1">
        <v>0.0</v>
      </c>
      <c r="AY2152" s="1">
        <v>0.0</v>
      </c>
    </row>
    <row r="2153" spans="20:51" ht="15.75" hidden="1">
      <c r="T2153" s="1">
        <v>97411.0</v>
      </c>
      <c r="U2153" s="1"/>
      <c r="V2153" s="1"/>
      <c r="W2153" s="1"/>
      <c r="X2153" s="1"/>
      <c r="Y2153" s="1" t="s">
        <v>9302</v>
      </c>
      <c r="Z2153" s="1" t="s">
        <v>9303</v>
      </c>
      <c r="AA2153" s="1" t="s">
        <v>9304</v>
      </c>
      <c r="AB2153" s="1"/>
      <c r="AC2153" s="1"/>
      <c r="AD2153" s="1"/>
      <c r="AE2153" s="1"/>
      <c r="AF2153" s="1" t="s">
        <v>9303</v>
      </c>
      <c r="AG2153" s="2" t="str">
        <f>"0140442103"</f>
        <v>0140442103</v>
      </c>
      <c r="AH2153" s="2" t="str">
        <f>"9780140442106"</f>
        <v>9780140442106</v>
      </c>
      <c r="AI2153" s="1">
        <v>0.0</v>
      </c>
      <c r="AJ2153" s="1">
        <v>4.35</v>
      </c>
      <c r="AK2153" s="1" t="s">
        <v>460</v>
      </c>
      <c r="AL2153" s="1" t="s">
        <v>28</v>
      </c>
      <c r="AM2153" s="1">
        <v>254.0</v>
      </c>
      <c r="AN2153" s="1">
        <v>2004.0</v>
      </c>
      <c r="AO2153" s="1">
        <v>65.0</v>
      </c>
      <c r="AQ2153" s="3">
        <v>41616.0</v>
      </c>
      <c r="AR2153" s="1" t="s">
        <v>31</v>
      </c>
      <c r="AS2153" s="1" t="s">
        <v>9305</v>
      </c>
      <c r="AT2153" s="1" t="s">
        <v>31</v>
      </c>
      <c r="AX2153" s="1">
        <v>0.0</v>
      </c>
      <c r="AY2153" s="1">
        <v>0.0</v>
      </c>
    </row>
    <row r="2154" spans="20:51" ht="15.75" hidden="1">
      <c r="T2154" s="1">
        <v>30659.0</v>
      </c>
      <c r="U2154" s="1"/>
      <c r="V2154" s="1"/>
      <c r="W2154" s="1"/>
      <c r="X2154" s="1"/>
      <c r="Y2154" s="1" t="s">
        <v>9306</v>
      </c>
      <c r="Z2154" s="1" t="s">
        <v>9307</v>
      </c>
      <c r="AA2154" s="1" t="s">
        <v>9308</v>
      </c>
      <c r="AB2154" s="1"/>
      <c r="AC2154" s="1"/>
      <c r="AD2154" s="1"/>
      <c r="AE2154" s="1"/>
      <c r="AF2154" s="1" t="s">
        <v>9309</v>
      </c>
      <c r="AG2154" s="2" t="str">
        <f>"0140449337"</f>
        <v>0140449337</v>
      </c>
      <c r="AH2154" s="2" t="str">
        <f>"9780140449334"</f>
        <v>9780140449334</v>
      </c>
      <c r="AI2154" s="1">
        <v>0.0</v>
      </c>
      <c r="AJ2154" s="1">
        <v>4.27</v>
      </c>
      <c r="AK2154" s="1" t="s">
        <v>460</v>
      </c>
      <c r="AL2154" s="1" t="s">
        <v>28</v>
      </c>
      <c r="AM2154" s="1">
        <v>254.0</v>
      </c>
      <c r="AN2154" s="1">
        <v>2006.0</v>
      </c>
      <c r="AO2154" s="1">
        <v>180.0</v>
      </c>
      <c r="AQ2154" s="3">
        <v>41612.0</v>
      </c>
      <c r="AR2154" s="1" t="s">
        <v>31</v>
      </c>
      <c r="AS2154" s="1" t="s">
        <v>9310</v>
      </c>
      <c r="AT2154" s="1" t="s">
        <v>31</v>
      </c>
      <c r="AX2154" s="1">
        <v>0.0</v>
      </c>
      <c r="AY2154" s="1">
        <v>0.0</v>
      </c>
    </row>
    <row r="2155" spans="20:51" ht="15.75" hidden="1">
      <c r="T2155" s="1">
        <v>2.9851672E7</v>
      </c>
      <c r="U2155" s="1"/>
      <c r="V2155" s="1"/>
      <c r="W2155" s="1"/>
      <c r="X2155" s="1"/>
      <c r="Y2155" s="1" t="s">
        <v>9311</v>
      </c>
      <c r="Z2155" s="1" t="s">
        <v>9312</v>
      </c>
      <c r="AA2155" s="1" t="s">
        <v>9313</v>
      </c>
      <c r="AB2155" s="1"/>
      <c r="AC2155" s="1"/>
      <c r="AD2155" s="1"/>
      <c r="AE2155" s="1"/>
      <c r="AG2155" s="2" t="str">
        <f>"8432229148"</f>
        <v>8432229148</v>
      </c>
      <c r="AH2155" s="2" t="str">
        <f>"9788432229145"</f>
        <v>9788432229145</v>
      </c>
      <c r="AI2155" s="1">
        <v>0.0</v>
      </c>
      <c r="AJ2155" s="1">
        <v>3.77</v>
      </c>
      <c r="AK2155" s="1" t="s">
        <v>3442</v>
      </c>
      <c r="AL2155" s="1" t="s">
        <v>59</v>
      </c>
      <c r="AM2155" s="1">
        <v>206.0</v>
      </c>
      <c r="AN2155" s="1">
        <v>2016.0</v>
      </c>
      <c r="AO2155" s="1">
        <v>2016.0</v>
      </c>
      <c r="AQ2155" s="3">
        <v>42542.0</v>
      </c>
      <c r="AR2155" s="1" t="s">
        <v>31</v>
      </c>
      <c r="AS2155" s="1" t="s">
        <v>9314</v>
      </c>
      <c r="AT2155" s="1" t="s">
        <v>31</v>
      </c>
      <c r="AX2155" s="1">
        <v>0.0</v>
      </c>
      <c r="AY2155" s="1">
        <v>0.0</v>
      </c>
    </row>
    <row r="2156" spans="20:51" ht="15.75" hidden="1">
      <c r="T2156" s="1">
        <v>1.7290904E7</v>
      </c>
      <c r="U2156" s="1"/>
      <c r="V2156" s="1"/>
      <c r="W2156" s="1"/>
      <c r="X2156" s="1"/>
      <c r="Y2156" s="1" t="s">
        <v>9315</v>
      </c>
      <c r="Z2156" s="1" t="s">
        <v>9316</v>
      </c>
      <c r="AA2156" s="1" t="s">
        <v>9317</v>
      </c>
      <c r="AB2156" s="1"/>
      <c r="AC2156" s="1"/>
      <c r="AD2156" s="1"/>
      <c r="AE2156" s="1"/>
      <c r="AG2156" s="2" t="str">
        <f>"1616494603"</f>
        <v>1616494603</v>
      </c>
      <c r="AH2156" s="2" t="str">
        <f>"9781616494605"</f>
        <v>9781616494605</v>
      </c>
      <c r="AI2156" s="1">
        <v>0.0</v>
      </c>
      <c r="AJ2156" s="1">
        <v>3.47</v>
      </c>
      <c r="AK2156" s="1" t="s">
        <v>9318</v>
      </c>
      <c r="AL2156" s="1" t="s">
        <v>28</v>
      </c>
      <c r="AM2156" s="1">
        <v>260.0</v>
      </c>
      <c r="AN2156" s="1">
        <v>2013.0</v>
      </c>
      <c r="AO2156" s="1">
        <v>2013.0</v>
      </c>
      <c r="AQ2156" s="3">
        <v>42556.0</v>
      </c>
      <c r="AR2156" s="1" t="s">
        <v>31</v>
      </c>
      <c r="AS2156" s="1" t="s">
        <v>9319</v>
      </c>
      <c r="AT2156" s="1" t="s">
        <v>31</v>
      </c>
      <c r="AX2156" s="1">
        <v>0.0</v>
      </c>
      <c r="AY2156" s="1">
        <v>0.0</v>
      </c>
    </row>
    <row r="2157" spans="20:51" ht="15.75" hidden="1">
      <c r="T2157" s="1">
        <v>1.629035E7</v>
      </c>
      <c r="U2157" s="1"/>
      <c r="V2157" s="1"/>
      <c r="W2157" s="1"/>
      <c r="X2157" s="1"/>
      <c r="Y2157" s="1" t="s">
        <v>9320</v>
      </c>
      <c r="Z2157" s="1" t="s">
        <v>9321</v>
      </c>
      <c r="AA2157" s="1" t="s">
        <v>9322</v>
      </c>
      <c r="AB2157" s="1"/>
      <c r="AC2157" s="1"/>
      <c r="AD2157" s="1"/>
      <c r="AE2157" s="1"/>
      <c r="AF2157" s="1" t="s">
        <v>9323</v>
      </c>
      <c r="AG2157" s="2" t="str">
        <f>"1479347744"</f>
        <v>1479347744</v>
      </c>
      <c r="AH2157" s="2" t="str">
        <f>"9781479347742"</f>
        <v>9781479347742</v>
      </c>
      <c r="AI2157" s="1">
        <v>0.0</v>
      </c>
      <c r="AJ2157" s="1">
        <v>4.0</v>
      </c>
      <c r="AK2157" s="1" t="s">
        <v>5668</v>
      </c>
      <c r="AL2157" s="1" t="s">
        <v>28</v>
      </c>
      <c r="AM2157" s="1">
        <v>170.0</v>
      </c>
      <c r="AN2157" s="1">
        <v>2012.0</v>
      </c>
      <c r="AO2157" s="1">
        <v>2012.0</v>
      </c>
      <c r="AQ2157" s="3">
        <v>41664.0</v>
      </c>
      <c r="AR2157" s="1" t="s">
        <v>31</v>
      </c>
      <c r="AS2157" s="1" t="s">
        <v>9324</v>
      </c>
      <c r="AT2157" s="1" t="s">
        <v>31</v>
      </c>
      <c r="AX2157" s="1">
        <v>0.0</v>
      </c>
      <c r="AY2157" s="1">
        <v>0.0</v>
      </c>
    </row>
    <row r="2158" spans="20:51" ht="15.75" hidden="1">
      <c r="T2158" s="1">
        <v>10031.0</v>
      </c>
      <c r="U2158" s="1"/>
      <c r="V2158" s="1"/>
      <c r="W2158" s="1"/>
      <c r="X2158" s="1"/>
      <c r="Y2158" s="1" t="s">
        <v>9325</v>
      </c>
      <c r="Z2158" s="1" t="s">
        <v>3803</v>
      </c>
      <c r="AA2158" s="1" t="s">
        <v>3804</v>
      </c>
      <c r="AB2158" s="1"/>
      <c r="AC2158" s="1"/>
      <c r="AD2158" s="1"/>
      <c r="AE2158" s="1"/>
      <c r="AG2158" s="2" t="str">
        <f>"184391400X"</f>
        <v>184391400X</v>
      </c>
      <c r="AH2158" s="2" t="str">
        <f>"9781843914006"</f>
        <v>9781843914006</v>
      </c>
      <c r="AI2158" s="1">
        <v>0.0</v>
      </c>
      <c r="AJ2158" s="1">
        <v>4.07</v>
      </c>
      <c r="AK2158" s="1" t="s">
        <v>9326</v>
      </c>
      <c r="AL2158" s="1" t="s">
        <v>28</v>
      </c>
      <c r="AM2158" s="1">
        <v>183.0</v>
      </c>
      <c r="AN2158" s="1">
        <v>2005.0</v>
      </c>
      <c r="AO2158" s="1">
        <v>1939.0</v>
      </c>
      <c r="AQ2158" s="3">
        <v>41494.0</v>
      </c>
      <c r="AR2158" s="1" t="s">
        <v>31</v>
      </c>
      <c r="AS2158" s="1" t="s">
        <v>9327</v>
      </c>
      <c r="AT2158" s="1" t="s">
        <v>31</v>
      </c>
      <c r="AX2158" s="1">
        <v>0.0</v>
      </c>
      <c r="AY2158" s="1">
        <v>0.0</v>
      </c>
    </row>
    <row r="2159" spans="20:51" ht="15.75" hidden="1">
      <c r="T2159" s="1">
        <v>1.7560327E7</v>
      </c>
      <c r="U2159" s="1"/>
      <c r="V2159" s="1"/>
      <c r="W2159" s="1"/>
      <c r="X2159" s="1"/>
      <c r="Y2159" s="1" t="s">
        <v>9328</v>
      </c>
      <c r="Z2159" s="1" t="s">
        <v>9329</v>
      </c>
      <c r="AA2159" s="1" t="s">
        <v>9330</v>
      </c>
      <c r="AB2159" s="1"/>
      <c r="AC2159" s="1"/>
      <c r="AD2159" s="1"/>
      <c r="AE2159" s="1"/>
      <c r="AG2159" s="2" t="str">
        <f t="shared" si="176" ref="AG2159:AH2159">""</f>
        <v/>
      </c>
      <c r="AH2159" s="2" t="str">
        <f t="shared" si="176"/>
        <v/>
      </c>
      <c r="AI2159" s="1">
        <v>0.0</v>
      </c>
      <c r="AJ2159" s="1">
        <v>4.04</v>
      </c>
      <c r="AK2159" s="1" t="s">
        <v>9331</v>
      </c>
      <c r="AL2159" s="1" t="s">
        <v>28</v>
      </c>
      <c r="AM2159" s="1">
        <v>194.0</v>
      </c>
      <c r="AN2159" s="1">
        <v>2013.0</v>
      </c>
      <c r="AO2159" s="1">
        <v>2012.0</v>
      </c>
      <c r="AQ2159" s="3">
        <v>41466.0</v>
      </c>
      <c r="AR2159" s="1" t="s">
        <v>31</v>
      </c>
      <c r="AS2159" s="1" t="s">
        <v>9332</v>
      </c>
      <c r="AT2159" s="1" t="s">
        <v>31</v>
      </c>
      <c r="AX2159" s="1">
        <v>0.0</v>
      </c>
      <c r="AY2159" s="1">
        <v>0.0</v>
      </c>
    </row>
    <row r="2160" spans="20:51" ht="15.75" hidden="1">
      <c r="T2160" s="1">
        <v>4604185.0</v>
      </c>
      <c r="U2160" s="1"/>
      <c r="V2160" s="1"/>
      <c r="W2160" s="1"/>
      <c r="X2160" s="1"/>
      <c r="Y2160" s="1" t="s">
        <v>4746</v>
      </c>
      <c r="Z2160" s="1" t="s">
        <v>4747</v>
      </c>
      <c r="AA2160" s="1" t="s">
        <v>4748</v>
      </c>
      <c r="AB2160" s="1"/>
      <c r="AC2160" s="1"/>
      <c r="AD2160" s="1"/>
      <c r="AE2160" s="1"/>
      <c r="AG2160" s="2" t="str">
        <f>"2846822360"</f>
        <v>2846822360</v>
      </c>
      <c r="AH2160" s="2" t="str">
        <f>"9782846822367"</f>
        <v>9782846822367</v>
      </c>
      <c r="AI2160" s="1">
        <v>3.0</v>
      </c>
      <c r="AJ2160" s="1">
        <v>4.12</v>
      </c>
      <c r="AK2160" s="1" t="s">
        <v>9333</v>
      </c>
      <c r="AL2160" s="1" t="s">
        <v>28</v>
      </c>
      <c r="AM2160" s="1">
        <v>128.0</v>
      </c>
      <c r="AN2160" s="1">
        <v>2008.0</v>
      </c>
      <c r="AO2160" s="1">
        <v>2008.0</v>
      </c>
      <c r="AP2160" s="3">
        <v>41074.0</v>
      </c>
      <c r="AQ2160" s="3">
        <v>41048.0</v>
      </c>
      <c r="AT2160" s="1" t="s">
        <v>127</v>
      </c>
      <c r="AX2160" s="1">
        <v>1.0</v>
      </c>
      <c r="AY2160" s="1">
        <v>0.0</v>
      </c>
    </row>
    <row r="2161" spans="20:51" ht="15.75" hidden="1">
      <c r="T2161" s="1">
        <v>4569952.0</v>
      </c>
      <c r="U2161" s="1"/>
      <c r="V2161" s="1"/>
      <c r="W2161" s="1"/>
      <c r="X2161" s="1"/>
      <c r="Y2161" s="1" t="s">
        <v>9334</v>
      </c>
      <c r="Z2161" s="1" t="s">
        <v>9335</v>
      </c>
      <c r="AA2161" s="1" t="s">
        <v>9336</v>
      </c>
      <c r="AB2161" s="1"/>
      <c r="AC2161" s="1"/>
      <c r="AD2161" s="1"/>
      <c r="AE2161" s="1"/>
      <c r="AF2161" s="1" t="s">
        <v>9337</v>
      </c>
      <c r="AG2161" s="2" t="str">
        <f>"1590784723"</f>
        <v>1590784723</v>
      </c>
      <c r="AH2161" s="2" t="str">
        <f>"9781590784723"</f>
        <v>9781590784723</v>
      </c>
      <c r="AI2161" s="1">
        <v>0.0</v>
      </c>
      <c r="AJ2161" s="1">
        <v>3.6</v>
      </c>
      <c r="AK2161" s="1" t="s">
        <v>9338</v>
      </c>
      <c r="AL2161" s="1" t="s">
        <v>41</v>
      </c>
      <c r="AM2161" s="1">
        <v>118.0</v>
      </c>
      <c r="AN2161" s="1">
        <v>2008.0</v>
      </c>
      <c r="AO2161" s="1">
        <v>2006.0</v>
      </c>
      <c r="AQ2161" s="4">
        <v>41626.0</v>
      </c>
      <c r="AR2161" s="1" t="s">
        <v>31</v>
      </c>
      <c r="AS2161" s="1" t="s">
        <v>9339</v>
      </c>
      <c r="AT2161" s="1" t="s">
        <v>31</v>
      </c>
      <c r="AX2161" s="1">
        <v>0.0</v>
      </c>
      <c r="AY2161" s="1">
        <v>0.0</v>
      </c>
    </row>
    <row r="2162" spans="20:51" ht="15.75" hidden="1">
      <c r="T2162" s="1">
        <v>20657.0</v>
      </c>
      <c r="U2162" s="1"/>
      <c r="V2162" s="1"/>
      <c r="W2162" s="1"/>
      <c r="X2162" s="1"/>
      <c r="Y2162" s="1" t="s">
        <v>9340</v>
      </c>
      <c r="Z2162" s="1" t="s">
        <v>9341</v>
      </c>
      <c r="AA2162" s="1" t="s">
        <v>9342</v>
      </c>
      <c r="AB2162" s="1"/>
      <c r="AC2162" s="1"/>
      <c r="AD2162" s="1"/>
      <c r="AE2162" s="1"/>
      <c r="AG2162" s="2" t="str">
        <f>"1555973035"</f>
        <v>1555973035</v>
      </c>
      <c r="AH2162" s="2" t="str">
        <f>"9781555973032"</f>
        <v>9781555973032</v>
      </c>
      <c r="AI2162" s="1">
        <v>0.0</v>
      </c>
      <c r="AJ2162" s="1">
        <v>4.15</v>
      </c>
      <c r="AK2162" s="1" t="s">
        <v>971</v>
      </c>
      <c r="AL2162" s="1" t="s">
        <v>28</v>
      </c>
      <c r="AM2162" s="1">
        <v>85.0</v>
      </c>
      <c r="AN2162" s="1">
        <v>2000.0</v>
      </c>
      <c r="AO2162" s="1">
        <v>2000.0</v>
      </c>
      <c r="AQ2162" s="4">
        <v>41627.0</v>
      </c>
      <c r="AR2162" s="1" t="s">
        <v>31</v>
      </c>
      <c r="AS2162" s="1" t="s">
        <v>9343</v>
      </c>
      <c r="AT2162" s="1" t="s">
        <v>31</v>
      </c>
      <c r="AX2162" s="1">
        <v>0.0</v>
      </c>
      <c r="AY2162" s="1">
        <v>0.0</v>
      </c>
    </row>
    <row r="2163" spans="20:51" ht="15.75" hidden="1">
      <c r="T2163" s="1">
        <v>298275.0</v>
      </c>
      <c r="U2163" s="1"/>
      <c r="V2163" s="1"/>
      <c r="W2163" s="1"/>
      <c r="X2163" s="1"/>
      <c r="Y2163" s="1" t="s">
        <v>9344</v>
      </c>
      <c r="Z2163" s="1" t="s">
        <v>3803</v>
      </c>
      <c r="AA2163" s="1" t="s">
        <v>3804</v>
      </c>
      <c r="AB2163" s="1"/>
      <c r="AC2163" s="1"/>
      <c r="AD2163" s="1"/>
      <c r="AE2163" s="1"/>
      <c r="AF2163" s="1" t="s">
        <v>9345</v>
      </c>
      <c r="AG2163" s="2" t="str">
        <f>"0811201880"</f>
        <v>0811201880</v>
      </c>
      <c r="AH2163" s="2" t="str">
        <f>"9780811201889"</f>
        <v>9780811201889</v>
      </c>
      <c r="AI2163" s="1">
        <v>0.0</v>
      </c>
      <c r="AJ2163" s="1">
        <v>3.94</v>
      </c>
      <c r="AK2163" s="1" t="s">
        <v>95</v>
      </c>
      <c r="AL2163" s="1" t="s">
        <v>41</v>
      </c>
      <c r="AM2163" s="1">
        <v>178.0</v>
      </c>
      <c r="AN2163" s="1">
        <v>1969.0</v>
      </c>
      <c r="AO2163" s="1">
        <v>1938.0</v>
      </c>
      <c r="AQ2163" s="3">
        <v>41364.0</v>
      </c>
      <c r="AR2163" s="1" t="s">
        <v>31</v>
      </c>
      <c r="AS2163" s="1" t="s">
        <v>9346</v>
      </c>
      <c r="AT2163" s="1" t="s">
        <v>31</v>
      </c>
      <c r="AX2163" s="1">
        <v>0.0</v>
      </c>
      <c r="AY2163" s="1">
        <v>0.0</v>
      </c>
    </row>
    <row r="2164" spans="20:51" ht="15.75" hidden="1">
      <c r="T2164" s="1">
        <v>15997.0</v>
      </c>
      <c r="U2164" s="1"/>
      <c r="V2164" s="1"/>
      <c r="W2164" s="1"/>
      <c r="X2164" s="1"/>
      <c r="Y2164" s="1" t="s">
        <v>9347</v>
      </c>
      <c r="Z2164" s="1" t="s">
        <v>9348</v>
      </c>
      <c r="AA2164" s="1" t="s">
        <v>9349</v>
      </c>
      <c r="AB2164" s="1"/>
      <c r="AC2164" s="1"/>
      <c r="AD2164" s="1"/>
      <c r="AE2164" s="1"/>
      <c r="AG2164" s="2" t="str">
        <f>"0140424393"</f>
        <v>0140424393</v>
      </c>
      <c r="AH2164" s="2" t="str">
        <f>"9780140424393"</f>
        <v>9780140424393</v>
      </c>
      <c r="AI2164" s="1">
        <v>0.0</v>
      </c>
      <c r="AJ2164" s="1">
        <v>3.84</v>
      </c>
      <c r="AK2164" s="1" t="s">
        <v>232</v>
      </c>
      <c r="AL2164" s="1" t="s">
        <v>28</v>
      </c>
      <c r="AM2164" s="1">
        <v>453.0</v>
      </c>
      <c r="AN2164" s="1">
        <v>2003.0</v>
      </c>
      <c r="AO2164" s="1">
        <v>1667.0</v>
      </c>
      <c r="AQ2164" s="3">
        <v>41494.0</v>
      </c>
      <c r="AR2164" s="1" t="s">
        <v>31</v>
      </c>
      <c r="AS2164" s="1" t="s">
        <v>9350</v>
      </c>
      <c r="AT2164" s="1" t="s">
        <v>31</v>
      </c>
      <c r="AX2164" s="1">
        <v>0.0</v>
      </c>
      <c r="AY2164" s="1">
        <v>0.0</v>
      </c>
    </row>
    <row r="2165" spans="20:51" ht="15.75" hidden="1">
      <c r="T2165" s="1">
        <v>24965.0</v>
      </c>
      <c r="U2165" s="1"/>
      <c r="V2165" s="1"/>
      <c r="W2165" s="1"/>
      <c r="X2165" s="1"/>
      <c r="Y2165" s="1" t="s">
        <v>9351</v>
      </c>
      <c r="Z2165" s="1" t="s">
        <v>9352</v>
      </c>
      <c r="AA2165" s="1" t="s">
        <v>9353</v>
      </c>
      <c r="AB2165" s="1"/>
      <c r="AC2165" s="1"/>
      <c r="AD2165" s="1"/>
      <c r="AE2165" s="1"/>
      <c r="AF2165" s="1" t="s">
        <v>9354</v>
      </c>
      <c r="AG2165" s="2" t="str">
        <f>"0143037579"</f>
        <v>0143037579</v>
      </c>
      <c r="AH2165" s="2" t="str">
        <f>"9780143037576"</f>
        <v>9780143037576</v>
      </c>
      <c r="AI2165" s="1">
        <v>0.0</v>
      </c>
      <c r="AJ2165" s="1">
        <v>4.0</v>
      </c>
      <c r="AK2165" s="1" t="s">
        <v>460</v>
      </c>
      <c r="AL2165" s="1" t="s">
        <v>28</v>
      </c>
      <c r="AM2165" s="1">
        <v>152.0</v>
      </c>
      <c r="AN2165" s="1">
        <v>2006.0</v>
      </c>
      <c r="AO2165" s="1">
        <v>1843.0</v>
      </c>
      <c r="AQ2165" s="3">
        <v>41612.0</v>
      </c>
      <c r="AR2165" s="1" t="s">
        <v>31</v>
      </c>
      <c r="AS2165" s="1" t="s">
        <v>9355</v>
      </c>
      <c r="AT2165" s="1" t="s">
        <v>31</v>
      </c>
      <c r="AX2165" s="1">
        <v>0.0</v>
      </c>
      <c r="AY2165" s="1">
        <v>0.0</v>
      </c>
    </row>
    <row r="2166" spans="20:51" ht="15.75" hidden="1">
      <c r="T2166" s="1">
        <v>8491350.0</v>
      </c>
      <c r="U2166" s="1"/>
      <c r="V2166" s="1"/>
      <c r="W2166" s="1"/>
      <c r="X2166" s="1"/>
      <c r="Y2166" s="1" t="s">
        <v>9356</v>
      </c>
      <c r="Z2166" s="1" t="s">
        <v>9357</v>
      </c>
      <c r="AA2166" s="1" t="s">
        <v>9358</v>
      </c>
      <c r="AB2166" s="1"/>
      <c r="AC2166" s="1"/>
      <c r="AD2166" s="1"/>
      <c r="AE2166" s="1"/>
      <c r="AG2166" s="2" t="str">
        <f>"1936070707"</f>
        <v>1936070707</v>
      </c>
      <c r="AH2166" s="2" t="str">
        <f>"9781936070701"</f>
        <v>9781936070701</v>
      </c>
      <c r="AI2166" s="1">
        <v>0.0</v>
      </c>
      <c r="AJ2166" s="1">
        <v>2.95</v>
      </c>
      <c r="AK2166" s="1" t="s">
        <v>5533</v>
      </c>
      <c r="AL2166" s="1" t="s">
        <v>9359</v>
      </c>
      <c r="AM2166" s="1">
        <v>188.0</v>
      </c>
      <c r="AN2166" s="1">
        <v>2011.0</v>
      </c>
      <c r="AO2166" s="1">
        <v>1998.0</v>
      </c>
      <c r="AQ2166" s="3">
        <v>41364.0</v>
      </c>
      <c r="AR2166" s="1" t="s">
        <v>31</v>
      </c>
      <c r="AS2166" s="1" t="s">
        <v>9360</v>
      </c>
      <c r="AT2166" s="1" t="s">
        <v>31</v>
      </c>
      <c r="AX2166" s="1">
        <v>0.0</v>
      </c>
      <c r="AY2166" s="1">
        <v>0.0</v>
      </c>
    </row>
    <row r="2167" spans="20:51" ht="15.75" hidden="1">
      <c r="T2167" s="1">
        <v>807028.0</v>
      </c>
      <c r="U2167" s="1"/>
      <c r="V2167" s="1"/>
      <c r="W2167" s="1"/>
      <c r="X2167" s="1"/>
      <c r="Y2167" s="1" t="s">
        <v>9361</v>
      </c>
      <c r="Z2167" s="1" t="s">
        <v>9362</v>
      </c>
      <c r="AA2167" s="1" t="s">
        <v>9363</v>
      </c>
      <c r="AB2167" s="1"/>
      <c r="AC2167" s="1"/>
      <c r="AD2167" s="1"/>
      <c r="AE2167" s="1"/>
      <c r="AG2167" s="2" t="str">
        <f>"0872860965"</f>
        <v>0872860965</v>
      </c>
      <c r="AH2167" s="2" t="str">
        <f>"9780872860964"</f>
        <v>9780872860964</v>
      </c>
      <c r="AI2167" s="1">
        <v>0.0</v>
      </c>
      <c r="AJ2167" s="1">
        <v>4.09</v>
      </c>
      <c r="AK2167" s="1" t="s">
        <v>9364</v>
      </c>
      <c r="AL2167" s="1" t="s">
        <v>28</v>
      </c>
      <c r="AM2167" s="1">
        <v>144.0</v>
      </c>
      <c r="AN2167" s="1">
        <v>1978.0</v>
      </c>
      <c r="AO2167" s="1">
        <v>1978.0</v>
      </c>
      <c r="AQ2167" s="3">
        <v>41585.0</v>
      </c>
      <c r="AR2167" s="1" t="s">
        <v>31</v>
      </c>
      <c r="AS2167" s="1" t="s">
        <v>9365</v>
      </c>
      <c r="AT2167" s="1" t="s">
        <v>31</v>
      </c>
      <c r="AX2167" s="1">
        <v>0.0</v>
      </c>
      <c r="AY2167" s="1">
        <v>0.0</v>
      </c>
    </row>
    <row r="2168" spans="20:51" ht="15.75" hidden="1">
      <c r="T2168" s="1">
        <v>477801.0</v>
      </c>
      <c r="U2168" s="1"/>
      <c r="V2168" s="1"/>
      <c r="W2168" s="1"/>
      <c r="X2168" s="1"/>
      <c r="Y2168" s="1" t="s">
        <v>9366</v>
      </c>
      <c r="Z2168" s="1" t="s">
        <v>9367</v>
      </c>
      <c r="AA2168" s="1" t="s">
        <v>9368</v>
      </c>
      <c r="AB2168" s="1"/>
      <c r="AC2168" s="1"/>
      <c r="AD2168" s="1"/>
      <c r="AE2168" s="1"/>
      <c r="AG2168" s="2" t="str">
        <f>"0553141392"</f>
        <v>0553141392</v>
      </c>
      <c r="AH2168" s="2" t="str">
        <f>"9780553141399"</f>
        <v>9780553141399</v>
      </c>
      <c r="AI2168" s="1">
        <v>0.0</v>
      </c>
      <c r="AJ2168" s="1">
        <v>3.46</v>
      </c>
      <c r="AK2168" s="1" t="s">
        <v>1922</v>
      </c>
      <c r="AL2168" s="1" t="s">
        <v>28</v>
      </c>
      <c r="AM2168" s="1">
        <v>282.0</v>
      </c>
      <c r="AN2168" s="1">
        <v>1980.0</v>
      </c>
      <c r="AO2168" s="1">
        <v>1974.0</v>
      </c>
      <c r="AQ2168" s="3">
        <v>41802.0</v>
      </c>
      <c r="AR2168" s="1" t="s">
        <v>31</v>
      </c>
      <c r="AS2168" s="1" t="s">
        <v>9369</v>
      </c>
      <c r="AT2168" s="1" t="s">
        <v>31</v>
      </c>
      <c r="AX2168" s="1">
        <v>0.0</v>
      </c>
      <c r="AY2168" s="1">
        <v>0.0</v>
      </c>
    </row>
    <row r="2169" spans="20:51" ht="15.75" hidden="1">
      <c r="T2169" s="1">
        <v>467164.0</v>
      </c>
      <c r="U2169" s="1"/>
      <c r="V2169" s="1"/>
      <c r="W2169" s="1"/>
      <c r="X2169" s="1"/>
      <c r="Y2169" s="1" t="s">
        <v>9370</v>
      </c>
      <c r="Z2169" s="1" t="s">
        <v>4055</v>
      </c>
      <c r="AA2169" s="1" t="s">
        <v>4056</v>
      </c>
      <c r="AB2169" s="1"/>
      <c r="AC2169" s="1"/>
      <c r="AD2169" s="1"/>
      <c r="AE2169" s="1"/>
      <c r="AF2169" s="1" t="s">
        <v>9371</v>
      </c>
      <c r="AG2169" s="2" t="str">
        <f>"1573225851"</f>
        <v>1573225851</v>
      </c>
      <c r="AH2169" s="2" t="str">
        <f>"9781573225854"</f>
        <v>9781573225854</v>
      </c>
      <c r="AI2169" s="1">
        <v>0.0</v>
      </c>
      <c r="AJ2169" s="1">
        <v>4.33</v>
      </c>
      <c r="AK2169" s="1" t="s">
        <v>387</v>
      </c>
      <c r="AL2169" s="1" t="s">
        <v>28</v>
      </c>
      <c r="AM2169" s="1">
        <v>166.0</v>
      </c>
      <c r="AN2169" s="1">
        <v>1997.0</v>
      </c>
      <c r="AO2169" s="1">
        <v>1905.0</v>
      </c>
      <c r="AQ2169" s="3">
        <v>41671.0</v>
      </c>
      <c r="AR2169" s="1" t="s">
        <v>31</v>
      </c>
      <c r="AS2169" s="1" t="s">
        <v>9372</v>
      </c>
      <c r="AT2169" s="1" t="s">
        <v>31</v>
      </c>
      <c r="AX2169" s="1">
        <v>0.0</v>
      </c>
      <c r="AY2169" s="1">
        <v>0.0</v>
      </c>
    </row>
    <row r="2170" spans="20:51" ht="15.75" hidden="1">
      <c r="T2170" s="1">
        <v>449323.0</v>
      </c>
      <c r="U2170" s="1"/>
      <c r="V2170" s="1"/>
      <c r="W2170" s="1"/>
      <c r="X2170" s="1"/>
      <c r="Y2170" s="1" t="s">
        <v>9373</v>
      </c>
      <c r="Z2170" s="1" t="s">
        <v>9374</v>
      </c>
      <c r="AA2170" s="1" t="s">
        <v>9375</v>
      </c>
      <c r="AB2170" s="1"/>
      <c r="AC2170" s="1"/>
      <c r="AD2170" s="1"/>
      <c r="AE2170" s="1"/>
      <c r="AG2170" s="2" t="str">
        <f>"0299157148"</f>
        <v>0299157148</v>
      </c>
      <c r="AH2170" s="2" t="str">
        <f>"9780299157142"</f>
        <v>9780299157142</v>
      </c>
      <c r="AI2170" s="1">
        <v>0.0</v>
      </c>
      <c r="AJ2170" s="1">
        <v>4.2</v>
      </c>
      <c r="AK2170" s="1" t="s">
        <v>175</v>
      </c>
      <c r="AL2170" s="1" t="s">
        <v>28</v>
      </c>
      <c r="AM2170" s="1">
        <v>112.0</v>
      </c>
      <c r="AN2170" s="1">
        <v>1997.0</v>
      </c>
      <c r="AO2170" s="1">
        <v>1997.0</v>
      </c>
      <c r="AQ2170" s="4">
        <v>41627.0</v>
      </c>
      <c r="AR2170" s="1" t="s">
        <v>31</v>
      </c>
      <c r="AS2170" s="1" t="s">
        <v>9376</v>
      </c>
      <c r="AT2170" s="1" t="s">
        <v>31</v>
      </c>
      <c r="AX2170" s="1">
        <v>0.0</v>
      </c>
      <c r="AY2170" s="1">
        <v>0.0</v>
      </c>
    </row>
    <row r="2171" spans="20:51" ht="15.75" hidden="1">
      <c r="T2171" s="1">
        <v>2.611643E7</v>
      </c>
      <c r="U2171" s="1"/>
      <c r="V2171" s="1"/>
      <c r="W2171" s="1"/>
      <c r="X2171" s="1"/>
      <c r="Y2171" s="1" t="s">
        <v>9377</v>
      </c>
      <c r="Z2171" s="1" t="s">
        <v>7297</v>
      </c>
      <c r="AA2171" s="1" t="s">
        <v>7298</v>
      </c>
      <c r="AB2171" s="1"/>
      <c r="AC2171" s="1"/>
      <c r="AD2171" s="1"/>
      <c r="AE2171" s="1"/>
      <c r="AG2171" s="2" t="str">
        <f>"0062277022"</f>
        <v>0062277022</v>
      </c>
      <c r="AH2171" s="2" t="str">
        <f>"9780062277022"</f>
        <v>9780062277022</v>
      </c>
      <c r="AI2171" s="1">
        <v>0.0</v>
      </c>
      <c r="AJ2171" s="1">
        <v>3.9</v>
      </c>
      <c r="AK2171" s="1" t="s">
        <v>194</v>
      </c>
      <c r="AL2171" s="1" t="s">
        <v>41</v>
      </c>
      <c r="AM2171" s="1">
        <v>372.0</v>
      </c>
      <c r="AN2171" s="1">
        <v>2016.0</v>
      </c>
      <c r="AO2171" s="1">
        <v>2016.0</v>
      </c>
      <c r="AQ2171" s="3">
        <v>42548.0</v>
      </c>
      <c r="AR2171" s="1" t="s">
        <v>31</v>
      </c>
      <c r="AS2171" s="1" t="s">
        <v>9378</v>
      </c>
      <c r="AT2171" s="1" t="s">
        <v>31</v>
      </c>
      <c r="AX2171" s="1">
        <v>0.0</v>
      </c>
      <c r="AY2171" s="1">
        <v>0.0</v>
      </c>
    </row>
    <row r="2172" spans="20:51" ht="15.75" hidden="1">
      <c r="T2172" s="1">
        <v>2.5852784E7</v>
      </c>
      <c r="U2172" s="1"/>
      <c r="V2172" s="1"/>
      <c r="W2172" s="1"/>
      <c r="X2172" s="1"/>
      <c r="Y2172" s="1" t="s">
        <v>9379</v>
      </c>
      <c r="Z2172" s="1" t="s">
        <v>9380</v>
      </c>
      <c r="AA2172" s="1" t="s">
        <v>9381</v>
      </c>
      <c r="AB2172" s="1"/>
      <c r="AC2172" s="1"/>
      <c r="AD2172" s="1"/>
      <c r="AE2172" s="1"/>
      <c r="AG2172" s="2" t="str">
        <f>"0553447432"</f>
        <v>0553447432</v>
      </c>
      <c r="AH2172" s="2" t="str">
        <f>"9780553447439"</f>
        <v>9780553447439</v>
      </c>
      <c r="AI2172" s="1">
        <v>0.0</v>
      </c>
      <c r="AJ2172" s="1">
        <v>4.47</v>
      </c>
      <c r="AK2172" s="1" t="s">
        <v>7338</v>
      </c>
      <c r="AL2172" s="1" t="s">
        <v>41</v>
      </c>
      <c r="AM2172" s="1">
        <v>418.0</v>
      </c>
      <c r="AN2172" s="1">
        <v>2016.0</v>
      </c>
      <c r="AO2172" s="1">
        <v>2016.0</v>
      </c>
      <c r="AQ2172" s="3">
        <v>42433.0</v>
      </c>
      <c r="AR2172" s="1" t="s">
        <v>31</v>
      </c>
      <c r="AS2172" s="1" t="s">
        <v>9382</v>
      </c>
      <c r="AT2172" s="1" t="s">
        <v>31</v>
      </c>
      <c r="AX2172" s="1">
        <v>0.0</v>
      </c>
      <c r="AY2172" s="1">
        <v>0.0</v>
      </c>
    </row>
    <row r="2173" spans="20:51" ht="15.75" hidden="1">
      <c r="T2173" s="1">
        <v>1.793442E7</v>
      </c>
      <c r="U2173" s="1"/>
      <c r="V2173" s="1"/>
      <c r="W2173" s="1"/>
      <c r="X2173" s="1"/>
      <c r="Y2173" s="1" t="s">
        <v>9383</v>
      </c>
      <c r="Z2173" s="1" t="s">
        <v>9384</v>
      </c>
      <c r="AA2173" s="1" t="s">
        <v>9385</v>
      </c>
      <c r="AB2173" s="1"/>
      <c r="AC2173" s="1"/>
      <c r="AD2173" s="1"/>
      <c r="AE2173" s="1"/>
      <c r="AG2173" s="2" t="str">
        <f>"0374230854"</f>
        <v>0374230854</v>
      </c>
      <c r="AH2173" s="2" t="str">
        <f>"9780374230852"</f>
        <v>9780374230852</v>
      </c>
      <c r="AI2173" s="1">
        <v>0.0</v>
      </c>
      <c r="AJ2173" s="1">
        <v>3.2</v>
      </c>
      <c r="AK2173" s="1" t="s">
        <v>9235</v>
      </c>
      <c r="AL2173" s="1" t="s">
        <v>41</v>
      </c>
      <c r="AM2173" s="1">
        <v>288.0</v>
      </c>
      <c r="AN2173" s="1">
        <v>2014.0</v>
      </c>
      <c r="AO2173" s="1">
        <v>2014.0</v>
      </c>
      <c r="AQ2173" s="3">
        <v>42392.0</v>
      </c>
      <c r="AR2173" s="1" t="s">
        <v>31</v>
      </c>
      <c r="AS2173" s="1" t="s">
        <v>9386</v>
      </c>
      <c r="AT2173" s="1" t="s">
        <v>31</v>
      </c>
      <c r="AX2173" s="1">
        <v>0.0</v>
      </c>
      <c r="AY2173" s="1">
        <v>0.0</v>
      </c>
    </row>
    <row r="2174" spans="20:51" ht="15.75" hidden="1">
      <c r="T2174" s="1">
        <v>1.7332242E7</v>
      </c>
      <c r="U2174" s="1"/>
      <c r="V2174" s="1"/>
      <c r="W2174" s="1"/>
      <c r="X2174" s="1"/>
      <c r="Y2174" s="1" t="s">
        <v>9387</v>
      </c>
      <c r="Z2174" s="1" t="s">
        <v>9233</v>
      </c>
      <c r="AA2174" s="1" t="s">
        <v>9234</v>
      </c>
      <c r="AB2174" s="1"/>
      <c r="AC2174" s="1"/>
      <c r="AD2174" s="1"/>
      <c r="AE2174" s="1"/>
      <c r="AG2174" s="2" t="str">
        <f>"0374230897"</f>
        <v>0374230897</v>
      </c>
      <c r="AH2174" s="2" t="str">
        <f>"9780374230890"</f>
        <v>9780374230890</v>
      </c>
      <c r="AI2174" s="1">
        <v>0.0</v>
      </c>
      <c r="AJ2174" s="1">
        <v>3.73</v>
      </c>
      <c r="AK2174" s="1" t="s">
        <v>9235</v>
      </c>
      <c r="AL2174" s="1" t="s">
        <v>41</v>
      </c>
      <c r="AM2174" s="1">
        <v>265.0</v>
      </c>
      <c r="AN2174" s="1">
        <v>2013.0</v>
      </c>
      <c r="AO2174" s="1">
        <v>2013.0</v>
      </c>
      <c r="AQ2174" s="3">
        <v>42392.0</v>
      </c>
      <c r="AR2174" s="1" t="s">
        <v>31</v>
      </c>
      <c r="AS2174" s="1" t="s">
        <v>9388</v>
      </c>
      <c r="AT2174" s="1" t="s">
        <v>31</v>
      </c>
      <c r="AX2174" s="1">
        <v>0.0</v>
      </c>
      <c r="AY2174" s="1">
        <v>0.0</v>
      </c>
    </row>
    <row r="2175" spans="20:51" ht="15.75" hidden="1">
      <c r="T2175" s="1">
        <v>1.3539039E7</v>
      </c>
      <c r="U2175" s="1"/>
      <c r="V2175" s="1"/>
      <c r="W2175" s="1"/>
      <c r="X2175" s="1"/>
      <c r="Y2175" s="1" t="s">
        <v>9389</v>
      </c>
      <c r="Z2175" s="1" t="s">
        <v>9390</v>
      </c>
      <c r="AA2175" s="1" t="s">
        <v>9391</v>
      </c>
      <c r="AB2175" s="1"/>
      <c r="AC2175" s="1"/>
      <c r="AD2175" s="1"/>
      <c r="AE2175" s="1"/>
      <c r="AG2175" s="2" t="str">
        <f>"0374291357"</f>
        <v>0374291357</v>
      </c>
      <c r="AH2175" s="2" t="str">
        <f>"9780374291358"</f>
        <v>9780374291358</v>
      </c>
      <c r="AI2175" s="1">
        <v>0.0</v>
      </c>
      <c r="AJ2175" s="1">
        <v>3.75</v>
      </c>
      <c r="AK2175" s="1" t="s">
        <v>9235</v>
      </c>
      <c r="AL2175" s="1" t="s">
        <v>41</v>
      </c>
      <c r="AM2175" s="1">
        <v>222.0</v>
      </c>
      <c r="AN2175" s="1">
        <v>2012.0</v>
      </c>
      <c r="AO2175" s="1">
        <v>2012.0</v>
      </c>
      <c r="AQ2175" s="3">
        <v>42392.0</v>
      </c>
      <c r="AR2175" s="1" t="s">
        <v>31</v>
      </c>
      <c r="AS2175" s="1" t="s">
        <v>9392</v>
      </c>
      <c r="AT2175" s="1" t="s">
        <v>31</v>
      </c>
      <c r="AX2175" s="1">
        <v>0.0</v>
      </c>
      <c r="AY2175" s="1">
        <v>0.0</v>
      </c>
    </row>
    <row r="2176" spans="20:51" ht="15.75" hidden="1">
      <c r="T2176" s="1">
        <v>6705926.0</v>
      </c>
      <c r="U2176" s="1"/>
      <c r="V2176" s="1"/>
      <c r="W2176" s="1"/>
      <c r="X2176" s="1"/>
      <c r="Y2176" s="1" t="s">
        <v>9393</v>
      </c>
      <c r="Z2176" s="1" t="s">
        <v>3545</v>
      </c>
      <c r="AA2176" s="1" t="s">
        <v>3546</v>
      </c>
      <c r="AB2176" s="1"/>
      <c r="AC2176" s="1"/>
      <c r="AD2176" s="1"/>
      <c r="AE2176" s="1"/>
      <c r="AF2176" s="1" t="s">
        <v>9394</v>
      </c>
      <c r="AG2176" s="2" t="str">
        <f>"098003308X"</f>
        <v>098003308X</v>
      </c>
      <c r="AH2176" s="2" t="str">
        <f>"9780980033083"</f>
        <v>9780980033083</v>
      </c>
      <c r="AI2176" s="1">
        <v>0.0</v>
      </c>
      <c r="AJ2176" s="1">
        <v>4.06</v>
      </c>
      <c r="AK2176" s="1" t="s">
        <v>9395</v>
      </c>
      <c r="AL2176" s="1" t="s">
        <v>28</v>
      </c>
      <c r="AM2176" s="1">
        <v>499.0</v>
      </c>
      <c r="AN2176" s="1">
        <v>2009.0</v>
      </c>
      <c r="AO2176" s="1">
        <v>2004.0</v>
      </c>
      <c r="AQ2176" s="3">
        <v>42382.0</v>
      </c>
      <c r="AR2176" s="1" t="s">
        <v>31</v>
      </c>
      <c r="AS2176" s="1" t="s">
        <v>9396</v>
      </c>
      <c r="AT2176" s="1" t="s">
        <v>31</v>
      </c>
      <c r="AX2176" s="1">
        <v>0.0</v>
      </c>
      <c r="AY2176" s="1">
        <v>0.0</v>
      </c>
    </row>
    <row r="2177" spans="20:51" ht="15.75" hidden="1">
      <c r="T2177" s="1">
        <v>106373.0</v>
      </c>
      <c r="U2177" s="1"/>
      <c r="V2177" s="1"/>
      <c r="W2177" s="1"/>
      <c r="X2177" s="1"/>
      <c r="Y2177" s="1" t="s">
        <v>9397</v>
      </c>
      <c r="Z2177" s="1" t="s">
        <v>9398</v>
      </c>
      <c r="AA2177" s="1" t="s">
        <v>9399</v>
      </c>
      <c r="AB2177" s="1"/>
      <c r="AC2177" s="1"/>
      <c r="AD2177" s="1"/>
      <c r="AE2177" s="1"/>
      <c r="AG2177" s="2" t="str">
        <f>"0571223109"</f>
        <v>0571223109</v>
      </c>
      <c r="AH2177" s="2" t="str">
        <f>"9780571223107"</f>
        <v>9780571223107</v>
      </c>
      <c r="AI2177" s="1">
        <v>0.0</v>
      </c>
      <c r="AJ2177" s="1">
        <v>3.38</v>
      </c>
      <c r="AK2177" s="1" t="s">
        <v>285</v>
      </c>
      <c r="AL2177" s="1" t="s">
        <v>28</v>
      </c>
      <c r="AM2177" s="1">
        <v>192.0</v>
      </c>
      <c r="AN2177" s="1">
        <v>2005.0</v>
      </c>
      <c r="AO2177" s="1">
        <v>2004.0</v>
      </c>
      <c r="AQ2177" s="3">
        <v>42372.0</v>
      </c>
      <c r="AR2177" s="1" t="s">
        <v>31</v>
      </c>
      <c r="AS2177" s="1" t="s">
        <v>9400</v>
      </c>
      <c r="AT2177" s="1" t="s">
        <v>31</v>
      </c>
      <c r="AX2177" s="1">
        <v>0.0</v>
      </c>
      <c r="AY2177" s="1">
        <v>0.0</v>
      </c>
    </row>
    <row r="2178" spans="20:51" ht="15.75" hidden="1">
      <c r="T2178" s="1">
        <v>2.0262498E7</v>
      </c>
      <c r="U2178" s="1"/>
      <c r="V2178" s="1"/>
      <c r="W2178" s="1"/>
      <c r="X2178" s="1"/>
      <c r="Y2178" s="1" t="s">
        <v>9401</v>
      </c>
      <c r="Z2178" s="1" t="s">
        <v>9402</v>
      </c>
      <c r="AA2178" s="1" t="s">
        <v>9403</v>
      </c>
      <c r="AB2178" s="1"/>
      <c r="AC2178" s="1"/>
      <c r="AD2178" s="1"/>
      <c r="AE2178" s="1"/>
      <c r="AG2178" s="2" t="str">
        <f>"0307378233"</f>
        <v>0307378233</v>
      </c>
      <c r="AH2178" s="2" t="str">
        <f>"9780307378231"</f>
        <v>9780307378231</v>
      </c>
      <c r="AI2178" s="1">
        <v>0.0</v>
      </c>
      <c r="AJ2178" s="1">
        <v>3.14</v>
      </c>
      <c r="AK2178" s="1" t="s">
        <v>2550</v>
      </c>
      <c r="AL2178" s="1" t="s">
        <v>41</v>
      </c>
      <c r="AM2178" s="1">
        <v>241.0</v>
      </c>
      <c r="AN2178" s="1">
        <v>2014.0</v>
      </c>
      <c r="AO2178" s="1">
        <v>2014.0</v>
      </c>
      <c r="AQ2178" s="3">
        <v>42372.0</v>
      </c>
      <c r="AR2178" s="1" t="s">
        <v>31</v>
      </c>
      <c r="AS2178" s="1" t="s">
        <v>9404</v>
      </c>
      <c r="AT2178" s="1" t="s">
        <v>31</v>
      </c>
      <c r="AX2178" s="1">
        <v>0.0</v>
      </c>
      <c r="AY2178" s="1">
        <v>0.0</v>
      </c>
    </row>
    <row r="2179" spans="20:51" ht="15.75" hidden="1">
      <c r="T2179" s="1">
        <v>1.5759676E7</v>
      </c>
      <c r="U2179" s="1"/>
      <c r="V2179" s="1"/>
      <c r="W2179" s="1"/>
      <c r="X2179" s="1"/>
      <c r="Y2179" s="1" t="s">
        <v>9405</v>
      </c>
      <c r="Z2179" s="1" t="s">
        <v>9406</v>
      </c>
      <c r="AA2179" s="1" t="s">
        <v>9407</v>
      </c>
      <c r="AB2179" s="1"/>
      <c r="AC2179" s="1"/>
      <c r="AD2179" s="1"/>
      <c r="AE2179" s="1"/>
      <c r="AG2179" s="2" t="str">
        <f>"0984469354"</f>
        <v>0984469354</v>
      </c>
      <c r="AH2179" s="2" t="str">
        <f>"9780984469352"</f>
        <v>9780984469352</v>
      </c>
      <c r="AI2179" s="1">
        <v>0.0</v>
      </c>
      <c r="AJ2179" s="1">
        <v>3.87</v>
      </c>
      <c r="AK2179" s="1" t="s">
        <v>9408</v>
      </c>
      <c r="AL2179" s="1" t="s">
        <v>28</v>
      </c>
      <c r="AM2179" s="1">
        <v>160.0</v>
      </c>
      <c r="AN2179" s="1">
        <v>2012.0</v>
      </c>
      <c r="AO2179" s="1">
        <v>2012.0</v>
      </c>
      <c r="AQ2179" s="3">
        <v>42346.0</v>
      </c>
      <c r="AR2179" s="1" t="s">
        <v>31</v>
      </c>
      <c r="AS2179" s="1" t="s">
        <v>9409</v>
      </c>
      <c r="AT2179" s="1" t="s">
        <v>31</v>
      </c>
      <c r="AX2179" s="1">
        <v>0.0</v>
      </c>
      <c r="AY2179" s="1">
        <v>0.0</v>
      </c>
    </row>
    <row r="2180" spans="20:51" ht="15.75" hidden="1">
      <c r="T2180" s="1">
        <v>2.4796169E7</v>
      </c>
      <c r="U2180" s="1"/>
      <c r="V2180" s="1"/>
      <c r="W2180" s="1"/>
      <c r="X2180" s="1"/>
      <c r="Y2180" s="1" t="s">
        <v>9410</v>
      </c>
      <c r="Z2180" s="1" t="s">
        <v>1765</v>
      </c>
      <c r="AA2180" s="1" t="s">
        <v>1766</v>
      </c>
      <c r="AB2180" s="1"/>
      <c r="AC2180" s="1"/>
      <c r="AD2180" s="1"/>
      <c r="AE2180" s="1"/>
      <c r="AF2180" s="1" t="s">
        <v>9411</v>
      </c>
      <c r="AG2180" s="2" t="str">
        <f>"1940953189"</f>
        <v>1940953189</v>
      </c>
      <c r="AH2180" s="2" t="str">
        <f>"9781940953182"</f>
        <v>9781940953182</v>
      </c>
      <c r="AI2180" s="1">
        <v>0.0</v>
      </c>
      <c r="AJ2180" s="1">
        <v>3.83</v>
      </c>
      <c r="AK2180" s="1" t="s">
        <v>1566</v>
      </c>
      <c r="AL2180" s="1" t="s">
        <v>28</v>
      </c>
      <c r="AM2180" s="1">
        <v>190.0</v>
      </c>
      <c r="AN2180" s="1">
        <v>2015.0</v>
      </c>
      <c r="AO2180" s="1">
        <v>2014.0</v>
      </c>
      <c r="AQ2180" s="3">
        <v>42345.0</v>
      </c>
      <c r="AR2180" s="1" t="s">
        <v>31</v>
      </c>
      <c r="AS2180" s="1" t="s">
        <v>9412</v>
      </c>
      <c r="AT2180" s="1" t="s">
        <v>31</v>
      </c>
      <c r="AX2180" s="1">
        <v>0.0</v>
      </c>
      <c r="AY2180" s="1">
        <v>0.0</v>
      </c>
    </row>
    <row r="2181" spans="20:51" ht="15.75" hidden="1">
      <c r="T2181" s="1">
        <v>2.3129715E7</v>
      </c>
      <c r="U2181" s="1"/>
      <c r="V2181" s="1"/>
      <c r="W2181" s="1"/>
      <c r="X2181" s="1"/>
      <c r="Y2181" s="1" t="s">
        <v>9413</v>
      </c>
      <c r="Z2181" s="1" t="s">
        <v>9414</v>
      </c>
      <c r="AA2181" s="1" t="s">
        <v>9415</v>
      </c>
      <c r="AB2181" s="1"/>
      <c r="AC2181" s="1"/>
      <c r="AD2181" s="1"/>
      <c r="AE2181" s="1"/>
      <c r="AF2181" s="1" t="s">
        <v>9416</v>
      </c>
      <c r="AG2181" s="2" t="str">
        <f>"1941920098"</f>
        <v>1941920098</v>
      </c>
      <c r="AH2181" s="2" t="str">
        <f>"9781941920091"</f>
        <v>9781941920091</v>
      </c>
      <c r="AI2181" s="1">
        <v>0.0</v>
      </c>
      <c r="AJ2181" s="1">
        <v>3.76</v>
      </c>
      <c r="AK2181" s="1" t="s">
        <v>9417</v>
      </c>
      <c r="AL2181" s="1" t="s">
        <v>28</v>
      </c>
      <c r="AM2181" s="1">
        <v>152.0</v>
      </c>
      <c r="AN2181" s="1">
        <v>2015.0</v>
      </c>
      <c r="AO2181" s="1">
        <v>1986.0</v>
      </c>
      <c r="AQ2181" s="3">
        <v>42345.0</v>
      </c>
      <c r="AR2181" s="1" t="s">
        <v>31</v>
      </c>
      <c r="AS2181" s="1" t="s">
        <v>9418</v>
      </c>
      <c r="AT2181" s="1" t="s">
        <v>31</v>
      </c>
      <c r="AX2181" s="1">
        <v>0.0</v>
      </c>
      <c r="AY2181" s="1">
        <v>0.0</v>
      </c>
    </row>
    <row r="2182" spans="20:51" ht="15.75" hidden="1">
      <c r="T2182" s="1">
        <v>2.3492504E7</v>
      </c>
      <c r="U2182" s="1"/>
      <c r="V2182" s="1"/>
      <c r="W2182" s="1"/>
      <c r="X2182" s="1"/>
      <c r="Y2182" s="1" t="s">
        <v>9419</v>
      </c>
      <c r="Z2182" s="1" t="s">
        <v>9420</v>
      </c>
      <c r="AA2182" s="1" t="s">
        <v>9421</v>
      </c>
      <c r="AB2182" s="1"/>
      <c r="AC2182" s="1"/>
      <c r="AD2182" s="1"/>
      <c r="AE2182" s="1"/>
      <c r="AG2182" s="2" t="str">
        <f>"1501106783"</f>
        <v>1501106783</v>
      </c>
      <c r="AH2182" s="2" t="str">
        <f>"9781501106781"</f>
        <v>9781501106781</v>
      </c>
      <c r="AI2182" s="1">
        <v>0.0</v>
      </c>
      <c r="AJ2182" s="1">
        <v>3.77</v>
      </c>
      <c r="AK2182" s="1" t="s">
        <v>936</v>
      </c>
      <c r="AL2182" s="1" t="s">
        <v>41</v>
      </c>
      <c r="AM2182" s="1">
        <v>371.0</v>
      </c>
      <c r="AN2182" s="1">
        <v>2015.0</v>
      </c>
      <c r="AO2182" s="1">
        <v>2014.0</v>
      </c>
      <c r="AQ2182" s="3">
        <v>42345.0</v>
      </c>
      <c r="AR2182" s="1" t="s">
        <v>31</v>
      </c>
      <c r="AS2182" s="1" t="s">
        <v>9422</v>
      </c>
      <c r="AT2182" s="1" t="s">
        <v>31</v>
      </c>
      <c r="AX2182" s="1">
        <v>0.0</v>
      </c>
      <c r="AY2182" s="1">
        <v>0.0</v>
      </c>
    </row>
    <row r="2183" spans="20:51" ht="15.75" hidden="1">
      <c r="T2183" s="1">
        <v>2.3719481E7</v>
      </c>
      <c r="U2183" s="1"/>
      <c r="V2183" s="1"/>
      <c r="W2183" s="1"/>
      <c r="X2183" s="1"/>
      <c r="Y2183" s="1" t="s">
        <v>9423</v>
      </c>
      <c r="Z2183" s="1" t="s">
        <v>9424</v>
      </c>
      <c r="AA2183" s="1" t="s">
        <v>9425</v>
      </c>
      <c r="AB2183" s="1"/>
      <c r="AC2183" s="1"/>
      <c r="AD2183" s="1"/>
      <c r="AE2183" s="1"/>
      <c r="AG2183" s="2" t="str">
        <f>"0544526708"</f>
        <v>0544526708</v>
      </c>
      <c r="AH2183" s="2" t="str">
        <f>"9780544526709"</f>
        <v>9780544526709</v>
      </c>
      <c r="AI2183" s="1">
        <v>0.0</v>
      </c>
      <c r="AJ2183" s="1">
        <v>3.65</v>
      </c>
      <c r="AK2183" s="1" t="s">
        <v>915</v>
      </c>
      <c r="AL2183" s="1" t="s">
        <v>41</v>
      </c>
      <c r="AM2183" s="1">
        <v>322.0</v>
      </c>
      <c r="AN2183" s="1">
        <v>2016.0</v>
      </c>
      <c r="AO2183" s="1">
        <v>2016.0</v>
      </c>
      <c r="AQ2183" s="3">
        <v>42345.0</v>
      </c>
      <c r="AR2183" s="1" t="s">
        <v>31</v>
      </c>
      <c r="AS2183" s="1" t="s">
        <v>9426</v>
      </c>
      <c r="AT2183" s="1" t="s">
        <v>31</v>
      </c>
      <c r="AX2183" s="1">
        <v>0.0</v>
      </c>
      <c r="AY2183" s="1">
        <v>0.0</v>
      </c>
    </row>
    <row r="2184" spans="20:51" ht="15.75" hidden="1">
      <c r="T2184" s="1">
        <v>2.3358216E7</v>
      </c>
      <c r="U2184" s="1"/>
      <c r="V2184" s="1"/>
      <c r="W2184" s="1"/>
      <c r="X2184" s="1"/>
      <c r="Y2184" s="1" t="s">
        <v>9427</v>
      </c>
      <c r="Z2184" s="1" t="s">
        <v>9428</v>
      </c>
      <c r="AA2184" s="1" t="s">
        <v>9429</v>
      </c>
      <c r="AB2184" s="1"/>
      <c r="AC2184" s="1"/>
      <c r="AD2184" s="1"/>
      <c r="AE2184" s="1"/>
      <c r="AG2184" s="2" t="str">
        <f>"1101870125"</f>
        <v>1101870125</v>
      </c>
      <c r="AH2184" s="2" t="str">
        <f>"9781101870129"</f>
        <v>9781101870129</v>
      </c>
      <c r="AI2184" s="1">
        <v>0.0</v>
      </c>
      <c r="AJ2184" s="1">
        <v>3.49</v>
      </c>
      <c r="AK2184" s="1" t="s">
        <v>2550</v>
      </c>
      <c r="AL2184" s="1" t="s">
        <v>41</v>
      </c>
      <c r="AM2184" s="1">
        <v>240.0</v>
      </c>
      <c r="AN2184" s="1">
        <v>2015.0</v>
      </c>
      <c r="AO2184" s="1">
        <v>2015.0</v>
      </c>
      <c r="AQ2184" s="3">
        <v>42345.0</v>
      </c>
      <c r="AR2184" s="1" t="s">
        <v>31</v>
      </c>
      <c r="AS2184" s="1" t="s">
        <v>9430</v>
      </c>
      <c r="AT2184" s="1" t="s">
        <v>31</v>
      </c>
      <c r="AX2184" s="1">
        <v>0.0</v>
      </c>
      <c r="AY2184" s="1">
        <v>0.0</v>
      </c>
    </row>
    <row r="2185" spans="20:51" ht="15.75" hidden="1">
      <c r="T2185" s="1">
        <v>2.4499258E7</v>
      </c>
      <c r="U2185" s="1"/>
      <c r="V2185" s="1"/>
      <c r="W2185" s="1"/>
      <c r="X2185" s="1"/>
      <c r="Y2185" s="1" t="s">
        <v>9431</v>
      </c>
      <c r="Z2185" s="1" t="s">
        <v>9432</v>
      </c>
      <c r="AA2185" s="1" t="s">
        <v>9433</v>
      </c>
      <c r="AB2185" s="1"/>
      <c r="AC2185" s="1"/>
      <c r="AD2185" s="1"/>
      <c r="AE2185" s="1"/>
      <c r="AF2185" s="1" t="s">
        <v>9434</v>
      </c>
      <c r="AG2185" s="2" t="str">
        <f>"0812998685"</f>
        <v>0812998685</v>
      </c>
      <c r="AH2185" s="2" t="str">
        <f>"9780812998689"</f>
        <v>9780812998689</v>
      </c>
      <c r="AI2185" s="1">
        <v>0.0</v>
      </c>
      <c r="AJ2185" s="1">
        <v>3.81</v>
      </c>
      <c r="AK2185" s="1" t="s">
        <v>988</v>
      </c>
      <c r="AL2185" s="1" t="s">
        <v>41</v>
      </c>
      <c r="AM2185" s="1">
        <v>238.0</v>
      </c>
      <c r="AN2185" s="1">
        <v>2015.0</v>
      </c>
      <c r="AO2185" s="1">
        <v>2015.0</v>
      </c>
      <c r="AQ2185" s="3">
        <v>42345.0</v>
      </c>
      <c r="AR2185" s="1" t="s">
        <v>31</v>
      </c>
      <c r="AS2185" s="1" t="s">
        <v>9435</v>
      </c>
      <c r="AT2185" s="1" t="s">
        <v>31</v>
      </c>
      <c r="AX2185" s="1">
        <v>0.0</v>
      </c>
      <c r="AY2185" s="1">
        <v>0.0</v>
      </c>
    </row>
    <row r="2186" spans="20:51" ht="15.75" hidden="1">
      <c r="T2186" s="1">
        <v>17647.0</v>
      </c>
      <c r="U2186" s="1"/>
      <c r="V2186" s="1"/>
      <c r="W2186" s="1"/>
      <c r="X2186" s="1"/>
      <c r="Y2186" s="1" t="s">
        <v>9436</v>
      </c>
      <c r="Z2186" s="1" t="s">
        <v>1372</v>
      </c>
      <c r="AA2186" s="1" t="s">
        <v>1373</v>
      </c>
      <c r="AB2186" s="1"/>
      <c r="AC2186" s="1"/>
      <c r="AD2186" s="1"/>
      <c r="AE2186" s="1"/>
      <c r="AG2186" s="2" t="str">
        <f>"1844080277"</f>
        <v>1844080277</v>
      </c>
      <c r="AH2186" s="2" t="str">
        <f>"9781844080274"</f>
        <v>9781844080274</v>
      </c>
      <c r="AI2186" s="1">
        <v>0.0</v>
      </c>
      <c r="AJ2186" s="1">
        <v>3.9</v>
      </c>
      <c r="AK2186" s="1" t="s">
        <v>9437</v>
      </c>
      <c r="AL2186" s="1" t="s">
        <v>28</v>
      </c>
      <c r="AM2186" s="1">
        <v>198.0</v>
      </c>
      <c r="AN2186" s="1">
        <v>2003.0</v>
      </c>
      <c r="AO2186" s="1">
        <v>2002.0</v>
      </c>
      <c r="AQ2186" s="3">
        <v>42345.0</v>
      </c>
      <c r="AR2186" s="1" t="s">
        <v>31</v>
      </c>
      <c r="AS2186" s="1" t="s">
        <v>9438</v>
      </c>
      <c r="AT2186" s="1" t="s">
        <v>31</v>
      </c>
      <c r="AX2186" s="1">
        <v>0.0</v>
      </c>
      <c r="AY2186" s="1">
        <v>0.0</v>
      </c>
    </row>
    <row r="2187" spans="20:51" ht="15.75" hidden="1">
      <c r="T2187" s="1">
        <v>2794.0</v>
      </c>
      <c r="U2187" s="1"/>
      <c r="V2187" s="1"/>
      <c r="W2187" s="1"/>
      <c r="X2187" s="1"/>
      <c r="Y2187" s="1" t="s">
        <v>9439</v>
      </c>
      <c r="Z2187" s="1" t="s">
        <v>4340</v>
      </c>
      <c r="AA2187" s="1" t="s">
        <v>4341</v>
      </c>
      <c r="AB2187" s="1"/>
      <c r="AC2187" s="1"/>
      <c r="AD2187" s="1"/>
      <c r="AE2187" s="1"/>
      <c r="AG2187" s="2" t="str">
        <f>"006091307X"</f>
        <v>006091307X</v>
      </c>
      <c r="AH2187" s="2" t="str">
        <f>"9780060913076"</f>
        <v>9780060913076</v>
      </c>
      <c r="AI2187" s="1">
        <v>0.0</v>
      </c>
      <c r="AJ2187" s="1">
        <v>3.69</v>
      </c>
      <c r="AK2187" s="1" t="s">
        <v>1031</v>
      </c>
      <c r="AL2187" s="1" t="s">
        <v>28</v>
      </c>
      <c r="AM2187" s="1">
        <v>152.0</v>
      </c>
      <c r="AN2187" s="1">
        <v>2006.0</v>
      </c>
      <c r="AO2187" s="1">
        <v>1966.0</v>
      </c>
      <c r="AQ2187" s="3">
        <v>42129.0</v>
      </c>
      <c r="AR2187" s="1" t="s">
        <v>31</v>
      </c>
      <c r="AS2187" s="1" t="s">
        <v>9440</v>
      </c>
      <c r="AT2187" s="1" t="s">
        <v>31</v>
      </c>
      <c r="AX2187" s="1">
        <v>0.0</v>
      </c>
      <c r="AY2187" s="1">
        <v>0.0</v>
      </c>
    </row>
    <row r="2188" spans="20:51" ht="15.75" hidden="1">
      <c r="T2188" s="1">
        <v>32585.0</v>
      </c>
      <c r="U2188" s="1"/>
      <c r="V2188" s="1"/>
      <c r="W2188" s="1"/>
      <c r="X2188" s="1"/>
      <c r="Y2188" s="1" t="s">
        <v>9441</v>
      </c>
      <c r="Z2188" s="1" t="s">
        <v>9191</v>
      </c>
      <c r="AA2188" s="1" t="s">
        <v>9192</v>
      </c>
      <c r="AB2188" s="1"/>
      <c r="AC2188" s="1"/>
      <c r="AD2188" s="1"/>
      <c r="AE2188" s="1"/>
      <c r="AG2188" s="2" t="str">
        <f>"0486431681"</f>
        <v>0486431681</v>
      </c>
      <c r="AH2188" s="2" t="str">
        <f>"9780486431680"</f>
        <v>9780486431680</v>
      </c>
      <c r="AI2188" s="1">
        <v>0.0</v>
      </c>
      <c r="AJ2188" s="1">
        <v>4.06</v>
      </c>
      <c r="AK2188" s="1" t="s">
        <v>540</v>
      </c>
      <c r="AL2188" s="1" t="s">
        <v>28</v>
      </c>
      <c r="AM2188" s="1">
        <v>134.0</v>
      </c>
      <c r="AN2188" s="1">
        <v>2003.0</v>
      </c>
      <c r="AO2188" s="1">
        <v>1890.0</v>
      </c>
      <c r="AQ2188" s="3">
        <v>42107.0</v>
      </c>
      <c r="AR2188" s="1" t="s">
        <v>31</v>
      </c>
      <c r="AS2188" s="1" t="s">
        <v>9442</v>
      </c>
      <c r="AT2188" s="1" t="s">
        <v>31</v>
      </c>
      <c r="AX2188" s="1">
        <v>0.0</v>
      </c>
      <c r="AY2188" s="1">
        <v>0.0</v>
      </c>
    </row>
    <row r="2189" spans="20:51" ht="15.75" hidden="1">
      <c r="T2189" s="1">
        <v>2.1491527E7</v>
      </c>
      <c r="U2189" s="1"/>
      <c r="V2189" s="1"/>
      <c r="W2189" s="1"/>
      <c r="X2189" s="1"/>
      <c r="Y2189" s="1" t="s">
        <v>9443</v>
      </c>
      <c r="Z2189" s="1" t="s">
        <v>9444</v>
      </c>
      <c r="AA2189" s="1" t="s">
        <v>9445</v>
      </c>
      <c r="AB2189" s="1"/>
      <c r="AC2189" s="1"/>
      <c r="AD2189" s="1"/>
      <c r="AE2189" s="1"/>
      <c r="AG2189" s="2" t="str">
        <f>"0062359835"</f>
        <v>0062359835</v>
      </c>
      <c r="AH2189" s="2" t="str">
        <f>"9780062359834"</f>
        <v>9780062359834</v>
      </c>
      <c r="AI2189" s="1">
        <v>2.0</v>
      </c>
      <c r="AJ2189" s="1">
        <v>3.7</v>
      </c>
      <c r="AK2189" s="1" t="s">
        <v>474</v>
      </c>
      <c r="AL2189" s="1" t="s">
        <v>28</v>
      </c>
      <c r="AM2189" s="1">
        <v>352.0</v>
      </c>
      <c r="AN2189" s="1">
        <v>2014.0</v>
      </c>
      <c r="AO2189" s="1">
        <v>2009.0</v>
      </c>
      <c r="AP2189" s="3">
        <v>42100.0</v>
      </c>
      <c r="AQ2189" s="3">
        <v>42067.0</v>
      </c>
      <c r="AT2189" s="1" t="s">
        <v>127</v>
      </c>
      <c r="AX2189" s="1">
        <v>1.0</v>
      </c>
      <c r="AY2189" s="1">
        <v>0.0</v>
      </c>
    </row>
    <row r="2190" spans="20:51" ht="15.75" hidden="1">
      <c r="T2190" s="1">
        <v>1118668.0</v>
      </c>
      <c r="U2190" s="1"/>
      <c r="V2190" s="1"/>
      <c r="W2190" s="1"/>
      <c r="X2190" s="1"/>
      <c r="Y2190" s="1" t="s">
        <v>9446</v>
      </c>
      <c r="Z2190" s="1" t="s">
        <v>9447</v>
      </c>
      <c r="AA2190" s="1" t="s">
        <v>9448</v>
      </c>
      <c r="AB2190" s="1"/>
      <c r="AC2190" s="1"/>
      <c r="AD2190" s="1"/>
      <c r="AE2190" s="1"/>
      <c r="AG2190" s="2" t="str">
        <f t="shared" si="177" ref="AG2190:AH2190">""</f>
        <v/>
      </c>
      <c r="AH2190" s="2" t="str">
        <f t="shared" si="177"/>
        <v/>
      </c>
      <c r="AI2190" s="1">
        <v>5.0</v>
      </c>
      <c r="AJ2190" s="1">
        <v>4.39</v>
      </c>
      <c r="AK2190" s="1" t="s">
        <v>1736</v>
      </c>
      <c r="AL2190" s="1" t="s">
        <v>28</v>
      </c>
      <c r="AM2190" s="1">
        <v>550.0</v>
      </c>
      <c r="AN2190" s="1">
        <v>2007.0</v>
      </c>
      <c r="AO2190" s="1">
        <v>2005.0</v>
      </c>
      <c r="AQ2190" s="3">
        <v>41171.0</v>
      </c>
      <c r="AT2190" s="1" t="s">
        <v>127</v>
      </c>
      <c r="AU2190" s="1" t="s">
        <v>9449</v>
      </c>
      <c r="AX2190" s="1">
        <v>1.0</v>
      </c>
      <c r="AY2190" s="1">
        <v>0.0</v>
      </c>
    </row>
    <row r="2191" spans="20:51" ht="15.75" hidden="1">
      <c r="T2191" s="1">
        <v>6116947.0</v>
      </c>
      <c r="U2191" s="1"/>
      <c r="V2191" s="1"/>
      <c r="W2191" s="1"/>
      <c r="X2191" s="1"/>
      <c r="Y2191" s="1" t="s">
        <v>9450</v>
      </c>
      <c r="Z2191" s="1" t="s">
        <v>9451</v>
      </c>
      <c r="AA2191" s="1" t="s">
        <v>9452</v>
      </c>
      <c r="AB2191" s="1"/>
      <c r="AC2191" s="1"/>
      <c r="AD2191" s="1"/>
      <c r="AE2191" s="1"/>
      <c r="AG2191" s="2" t="str">
        <f>"0758231369"</f>
        <v>0758231369</v>
      </c>
      <c r="AH2191" s="2" t="str">
        <f>"9780758231369"</f>
        <v>9780758231369</v>
      </c>
      <c r="AI2191" s="1">
        <v>0.0</v>
      </c>
      <c r="AJ2191" s="1">
        <v>3.65</v>
      </c>
      <c r="AK2191" s="1" t="s">
        <v>9453</v>
      </c>
      <c r="AL2191" s="1" t="s">
        <v>28</v>
      </c>
      <c r="AM2191" s="1">
        <v>276.0</v>
      </c>
      <c r="AN2191" s="1">
        <v>2009.0</v>
      </c>
      <c r="AO2191" s="1">
        <v>2009.0</v>
      </c>
      <c r="AQ2191" s="3">
        <v>42039.0</v>
      </c>
      <c r="AR2191" s="1" t="s">
        <v>31</v>
      </c>
      <c r="AS2191" s="1" t="s">
        <v>9454</v>
      </c>
      <c r="AT2191" s="1" t="s">
        <v>31</v>
      </c>
      <c r="AX2191" s="1">
        <v>0.0</v>
      </c>
      <c r="AY2191" s="1">
        <v>0.0</v>
      </c>
    </row>
    <row r="2192" spans="20:51" ht="15.75" hidden="1">
      <c r="T2192" s="1">
        <v>480294.0</v>
      </c>
      <c r="U2192" s="1"/>
      <c r="V2192" s="1"/>
      <c r="W2192" s="1"/>
      <c r="X2192" s="1"/>
      <c r="Y2192" s="1" t="s">
        <v>9455</v>
      </c>
      <c r="Z2192" s="1" t="s">
        <v>9456</v>
      </c>
      <c r="AA2192" s="1" t="s">
        <v>9457</v>
      </c>
      <c r="AB2192" s="1"/>
      <c r="AC2192" s="1"/>
      <c r="AD2192" s="1"/>
      <c r="AE2192" s="1"/>
      <c r="AG2192" s="2" t="str">
        <f>"0446670111"</f>
        <v>0446670111</v>
      </c>
      <c r="AH2192" s="2" t="str">
        <f>"9780446670111"</f>
        <v>9780446670111</v>
      </c>
      <c r="AI2192" s="1">
        <v>0.0</v>
      </c>
      <c r="AJ2192" s="1">
        <v>4.07</v>
      </c>
      <c r="AK2192" s="1" t="s">
        <v>9458</v>
      </c>
      <c r="AL2192" s="1" t="s">
        <v>28</v>
      </c>
      <c r="AM2192" s="1">
        <v>179.0</v>
      </c>
      <c r="AN2192" s="1">
        <v>1994.0</v>
      </c>
      <c r="AO2192" s="1">
        <v>1992.0</v>
      </c>
      <c r="AP2192" s="3">
        <v>41323.0</v>
      </c>
      <c r="AQ2192" s="3">
        <v>41306.0</v>
      </c>
      <c r="AT2192" s="1" t="s">
        <v>127</v>
      </c>
      <c r="AX2192" s="1">
        <v>1.0</v>
      </c>
      <c r="AY2192" s="1">
        <v>0.0</v>
      </c>
    </row>
    <row r="2193" spans="20:51" ht="15.75" hidden="1">
      <c r="T2193" s="1">
        <v>25148.0</v>
      </c>
      <c r="U2193" s="1"/>
      <c r="V2193" s="1"/>
      <c r="W2193" s="1"/>
      <c r="X2193" s="1"/>
      <c r="Y2193" s="1" t="s">
        <v>9459</v>
      </c>
      <c r="Z2193" s="1" t="s">
        <v>9460</v>
      </c>
      <c r="AA2193" s="1" t="s">
        <v>9461</v>
      </c>
      <c r="AB2193" s="1"/>
      <c r="AC2193" s="1"/>
      <c r="AD2193" s="1"/>
      <c r="AE2193" s="1"/>
      <c r="AG2193" s="2" t="str">
        <f>"0671027638"</f>
        <v>0671027638</v>
      </c>
      <c r="AH2193" s="2" t="str">
        <f>"9780671027636"</f>
        <v>9780671027636</v>
      </c>
      <c r="AI2193" s="1">
        <v>0.0</v>
      </c>
      <c r="AJ2193" s="1">
        <v>3.58</v>
      </c>
      <c r="AK2193" s="1" t="s">
        <v>9462</v>
      </c>
      <c r="AL2193" s="1" t="s">
        <v>28</v>
      </c>
      <c r="AM2193" s="1">
        <v>304.0</v>
      </c>
      <c r="AN2193" s="1">
        <v>1999.0</v>
      </c>
      <c r="AO2193" s="1">
        <v>1997.0</v>
      </c>
      <c r="AQ2193" s="3">
        <v>41802.0</v>
      </c>
      <c r="AR2193" s="1" t="s">
        <v>31</v>
      </c>
      <c r="AS2193" s="1" t="s">
        <v>9463</v>
      </c>
      <c r="AT2193" s="1" t="s">
        <v>31</v>
      </c>
      <c r="AX2193" s="1">
        <v>0.0</v>
      </c>
      <c r="AY2193" s="1">
        <v>0.0</v>
      </c>
    </row>
    <row r="2194" spans="20:51" ht="15.75" hidden="1">
      <c r="T2194" s="1">
        <v>48180.0</v>
      </c>
      <c r="U2194" s="1"/>
      <c r="V2194" s="1"/>
      <c r="W2194" s="1"/>
      <c r="X2194" s="1"/>
      <c r="Y2194" s="1" t="s">
        <v>6176</v>
      </c>
      <c r="Z2194" s="1" t="s">
        <v>9464</v>
      </c>
      <c r="AA2194" s="1" t="s">
        <v>9465</v>
      </c>
      <c r="AB2194" s="1"/>
      <c r="AC2194" s="1"/>
      <c r="AD2194" s="1"/>
      <c r="AE2194" s="1"/>
      <c r="AF2194" s="1" t="s">
        <v>9466</v>
      </c>
      <c r="AG2194" s="2" t="str">
        <f>"1885983018"</f>
        <v>1885983018</v>
      </c>
      <c r="AH2194" s="2" t="str">
        <f>"9781885983015"</f>
        <v>9781885983015</v>
      </c>
      <c r="AI2194" s="1">
        <v>0.0</v>
      </c>
      <c r="AJ2194" s="1">
        <v>3.6</v>
      </c>
      <c r="AK2194" s="1" t="s">
        <v>9467</v>
      </c>
      <c r="AL2194" s="1" t="s">
        <v>28</v>
      </c>
      <c r="AM2194" s="1">
        <v>255.0</v>
      </c>
      <c r="AN2194" s="1">
        <v>1995.0</v>
      </c>
      <c r="AO2194" s="1">
        <v>1908.0</v>
      </c>
      <c r="AQ2194" s="3">
        <v>41763.0</v>
      </c>
      <c r="AR2194" s="1" t="s">
        <v>31</v>
      </c>
      <c r="AS2194" s="1" t="s">
        <v>9468</v>
      </c>
      <c r="AT2194" s="1" t="s">
        <v>31</v>
      </c>
      <c r="AX2194" s="1">
        <v>0.0</v>
      </c>
      <c r="AY2194" s="1">
        <v>0.0</v>
      </c>
    </row>
    <row r="2195" spans="20:51" ht="15.75" hidden="1">
      <c r="T2195" s="1">
        <v>211855.0</v>
      </c>
      <c r="U2195" s="1"/>
      <c r="V2195" s="1"/>
      <c r="W2195" s="1"/>
      <c r="X2195" s="1"/>
      <c r="Y2195" s="1" t="s">
        <v>9469</v>
      </c>
      <c r="Z2195" s="1" t="s">
        <v>9470</v>
      </c>
      <c r="AA2195" s="1" t="s">
        <v>9471</v>
      </c>
      <c r="AB2195" s="1"/>
      <c r="AC2195" s="1"/>
      <c r="AD2195" s="1"/>
      <c r="AE2195" s="1"/>
      <c r="AG2195" s="2" t="str">
        <f>"0715632752"</f>
        <v>0715632752</v>
      </c>
      <c r="AH2195" s="2" t="str">
        <f>"9780715632758"</f>
        <v>9780715632758</v>
      </c>
      <c r="AI2195" s="1">
        <v>0.0</v>
      </c>
      <c r="AJ2195" s="1">
        <v>3.88</v>
      </c>
      <c r="AK2195" s="1" t="s">
        <v>9472</v>
      </c>
      <c r="AL2195" s="1" t="s">
        <v>28</v>
      </c>
      <c r="AM2195" s="1">
        <v>121.0</v>
      </c>
      <c r="AN2195" s="1">
        <v>2004.0</v>
      </c>
      <c r="AO2195" s="1">
        <v>1938.0</v>
      </c>
      <c r="AQ2195" s="3">
        <v>41763.0</v>
      </c>
      <c r="AR2195" s="1" t="s">
        <v>31</v>
      </c>
      <c r="AS2195" s="1" t="s">
        <v>9473</v>
      </c>
      <c r="AT2195" s="1" t="s">
        <v>31</v>
      </c>
      <c r="AX2195" s="1">
        <v>0.0</v>
      </c>
      <c r="AY2195" s="1">
        <v>0.0</v>
      </c>
    </row>
    <row r="2196" spans="20:51" ht="15.75" hidden="1">
      <c r="T2196" s="1">
        <v>1.1601988E7</v>
      </c>
      <c r="U2196" s="1"/>
      <c r="V2196" s="1"/>
      <c r="W2196" s="1"/>
      <c r="X2196" s="1"/>
      <c r="Y2196" s="1" t="s">
        <v>9474</v>
      </c>
      <c r="Z2196" s="1" t="s">
        <v>9475</v>
      </c>
      <c r="AA2196" s="1" t="s">
        <v>9476</v>
      </c>
      <c r="AB2196" s="1"/>
      <c r="AC2196" s="1"/>
      <c r="AD2196" s="1"/>
      <c r="AE2196" s="1"/>
      <c r="AF2196" s="1" t="s">
        <v>9477</v>
      </c>
      <c r="AG2196" s="2" t="str">
        <f>"0345532864"</f>
        <v>0345532864</v>
      </c>
      <c r="AH2196" s="2" t="str">
        <f>"9780345532861"</f>
        <v>9780345532861</v>
      </c>
      <c r="AI2196" s="1">
        <v>0.0</v>
      </c>
      <c r="AJ2196" s="1">
        <v>4.11</v>
      </c>
      <c r="AK2196" s="1" t="s">
        <v>321</v>
      </c>
      <c r="AL2196" s="1" t="s">
        <v>41</v>
      </c>
      <c r="AM2196" s="1">
        <v>192.0</v>
      </c>
      <c r="AN2196" s="1">
        <v>2011.0</v>
      </c>
      <c r="AO2196" s="1">
        <v>2011.0</v>
      </c>
      <c r="AQ2196" s="3">
        <v>41696.0</v>
      </c>
      <c r="AR2196" s="1" t="s">
        <v>31</v>
      </c>
      <c r="AS2196" s="1" t="s">
        <v>9478</v>
      </c>
      <c r="AT2196" s="1" t="s">
        <v>31</v>
      </c>
      <c r="AX2196" s="1">
        <v>0.0</v>
      </c>
      <c r="AY2196" s="1">
        <v>0.0</v>
      </c>
    </row>
    <row r="2197" spans="20:51" ht="15.75" hidden="1">
      <c r="T2197" s="1">
        <v>43945.0</v>
      </c>
      <c r="U2197" s="1"/>
      <c r="V2197" s="1"/>
      <c r="W2197" s="1"/>
      <c r="X2197" s="1"/>
      <c r="Y2197" s="1" t="s">
        <v>9479</v>
      </c>
      <c r="Z2197" s="1" t="s">
        <v>9480</v>
      </c>
      <c r="AA2197" s="1" t="s">
        <v>9481</v>
      </c>
      <c r="AB2197" s="1"/>
      <c r="AC2197" s="1"/>
      <c r="AD2197" s="1"/>
      <c r="AE2197" s="1"/>
      <c r="AG2197" s="2" t="str">
        <f t="shared" si="178" ref="AG2197:AH2197">""</f>
        <v/>
      </c>
      <c r="AH2197" s="2" t="str">
        <f t="shared" si="178"/>
        <v/>
      </c>
      <c r="AI2197" s="1">
        <v>0.0</v>
      </c>
      <c r="AJ2197" s="1">
        <v>3.7</v>
      </c>
      <c r="AK2197" s="1" t="s">
        <v>83</v>
      </c>
      <c r="AL2197" s="1" t="s">
        <v>28</v>
      </c>
      <c r="AM2197" s="1">
        <v>274.0</v>
      </c>
      <c r="AN2197" s="1">
        <v>1995.0</v>
      </c>
      <c r="AO2197" s="1">
        <v>1969.0</v>
      </c>
      <c r="AQ2197" s="3">
        <v>41667.0</v>
      </c>
      <c r="AR2197" s="1" t="s">
        <v>31</v>
      </c>
      <c r="AS2197" s="1" t="s">
        <v>9482</v>
      </c>
      <c r="AT2197" s="1" t="s">
        <v>31</v>
      </c>
      <c r="AX2197" s="1">
        <v>0.0</v>
      </c>
      <c r="AY2197" s="1">
        <v>0.0</v>
      </c>
    </row>
    <row r="2198" spans="20:51" ht="15.75" hidden="1">
      <c r="T2198" s="1">
        <v>144800.0</v>
      </c>
      <c r="U2198" s="1"/>
      <c r="V2198" s="1"/>
      <c r="W2198" s="1"/>
      <c r="X2198" s="1"/>
      <c r="Y2198" s="1" t="s">
        <v>9483</v>
      </c>
      <c r="Z2198" s="1" t="s">
        <v>9484</v>
      </c>
      <c r="AA2198" s="1" t="s">
        <v>9485</v>
      </c>
      <c r="AB2198" s="1"/>
      <c r="AC2198" s="1"/>
      <c r="AD2198" s="1"/>
      <c r="AE2198" s="1"/>
      <c r="AG2198" s="2" t="str">
        <f>"1841959111"</f>
        <v>1841959111</v>
      </c>
      <c r="AH2198" s="2" t="str">
        <f>"9781841959115"</f>
        <v>9781841959115</v>
      </c>
      <c r="AI2198" s="1">
        <v>0.0</v>
      </c>
      <c r="AJ2198" s="1">
        <v>3.82</v>
      </c>
      <c r="AK2198" s="1" t="s">
        <v>1374</v>
      </c>
      <c r="AL2198" s="1" t="s">
        <v>41</v>
      </c>
      <c r="AM2198" s="1">
        <v>427.0</v>
      </c>
      <c r="AN2198" s="1">
        <v>2007.0</v>
      </c>
      <c r="AO2198" s="1">
        <v>2007.0</v>
      </c>
      <c r="AQ2198" s="3">
        <v>41663.0</v>
      </c>
      <c r="AR2198" s="1" t="s">
        <v>31</v>
      </c>
      <c r="AS2198" s="1" t="s">
        <v>9486</v>
      </c>
      <c r="AT2198" s="1" t="s">
        <v>31</v>
      </c>
      <c r="AX2198" s="1">
        <v>0.0</v>
      </c>
      <c r="AY2198" s="1">
        <v>0.0</v>
      </c>
    </row>
    <row r="2199" spans="20:51" ht="15.75" hidden="1">
      <c r="T2199" s="1">
        <v>1.3531832E7</v>
      </c>
      <c r="U2199" s="1"/>
      <c r="V2199" s="1"/>
      <c r="W2199" s="1"/>
      <c r="X2199" s="1"/>
      <c r="Y2199" s="1" t="s">
        <v>9487</v>
      </c>
      <c r="Z2199" s="1" t="s">
        <v>9488</v>
      </c>
      <c r="AA2199" s="1" t="s">
        <v>9489</v>
      </c>
      <c r="AB2199" s="1"/>
      <c r="AC2199" s="1"/>
      <c r="AD2199" s="1"/>
      <c r="AE2199" s="1"/>
      <c r="AG2199" s="2" t="str">
        <f>"0307957233"</f>
        <v>0307957233</v>
      </c>
      <c r="AH2199" s="2" t="str">
        <f>"9780307957238"</f>
        <v>9780307957238</v>
      </c>
      <c r="AI2199" s="1">
        <v>0.0</v>
      </c>
      <c r="AJ2199" s="1">
        <v>3.68</v>
      </c>
      <c r="AK2199" s="1" t="s">
        <v>634</v>
      </c>
      <c r="AL2199" s="1" t="s">
        <v>41</v>
      </c>
      <c r="AM2199" s="1">
        <v>243.0</v>
      </c>
      <c r="AN2199" s="1">
        <v>2013.0</v>
      </c>
      <c r="AO2199" s="1">
        <v>2013.0</v>
      </c>
      <c r="AQ2199" s="3">
        <v>41653.0</v>
      </c>
      <c r="AR2199" s="1" t="s">
        <v>31</v>
      </c>
      <c r="AS2199" s="1" t="s">
        <v>9490</v>
      </c>
      <c r="AT2199" s="1" t="s">
        <v>31</v>
      </c>
      <c r="AX2199" s="1">
        <v>0.0</v>
      </c>
      <c r="AY2199" s="1">
        <v>0.0</v>
      </c>
    </row>
    <row r="2200" spans="20:51" ht="15.75" hidden="1">
      <c r="T2200" s="1">
        <v>1.5811545E7</v>
      </c>
      <c r="U2200" s="1"/>
      <c r="V2200" s="1"/>
      <c r="W2200" s="1"/>
      <c r="X2200" s="1"/>
      <c r="Y2200" s="1" t="s">
        <v>9491</v>
      </c>
      <c r="Z2200" s="1" t="s">
        <v>9492</v>
      </c>
      <c r="AA2200" s="1" t="s">
        <v>9493</v>
      </c>
      <c r="AB2200" s="1"/>
      <c r="AC2200" s="1"/>
      <c r="AD2200" s="1"/>
      <c r="AE2200" s="1"/>
      <c r="AG2200" s="2" t="str">
        <f>"0670026638"</f>
        <v>0670026638</v>
      </c>
      <c r="AH2200" s="2" t="str">
        <f>"9780670026630"</f>
        <v>9780670026630</v>
      </c>
      <c r="AI2200" s="1">
        <v>0.0</v>
      </c>
      <c r="AJ2200" s="1">
        <v>4.05</v>
      </c>
      <c r="AK2200" s="1" t="s">
        <v>2179</v>
      </c>
      <c r="AL2200" s="1" t="s">
        <v>41</v>
      </c>
      <c r="AM2200" s="1">
        <v>432.0</v>
      </c>
      <c r="AN2200" s="1">
        <v>2013.0</v>
      </c>
      <c r="AO2200" s="1">
        <v>2013.0</v>
      </c>
      <c r="AQ2200" s="3">
        <v>41647.0</v>
      </c>
      <c r="AR2200" s="1" t="s">
        <v>31</v>
      </c>
      <c r="AS2200" s="1" t="s">
        <v>9494</v>
      </c>
      <c r="AT2200" s="1" t="s">
        <v>31</v>
      </c>
      <c r="AX2200" s="1">
        <v>0.0</v>
      </c>
      <c r="AY2200" s="1">
        <v>0.0</v>
      </c>
    </row>
    <row r="2201" spans="20:51" ht="15.75" hidden="1">
      <c r="T2201" s="1">
        <v>1.1658328E7</v>
      </c>
      <c r="U2201" s="1"/>
      <c r="V2201" s="1"/>
      <c r="W2201" s="1"/>
      <c r="X2201" s="1"/>
      <c r="Y2201" s="1" t="s">
        <v>9495</v>
      </c>
      <c r="Z2201" s="1" t="s">
        <v>9496</v>
      </c>
      <c r="AA2201" s="1" t="s">
        <v>9497</v>
      </c>
      <c r="AB2201" s="1"/>
      <c r="AC2201" s="1"/>
      <c r="AD2201" s="1"/>
      <c r="AE2201" s="1"/>
      <c r="AG2201" s="2" t="str">
        <f>"1846682703"</f>
        <v>1846682703</v>
      </c>
      <c r="AH2201" s="2" t="str">
        <f>"9781846682704"</f>
        <v>9781846682704</v>
      </c>
      <c r="AI2201" s="1">
        <v>0.0</v>
      </c>
      <c r="AJ2201" s="1">
        <v>3.51</v>
      </c>
      <c r="AK2201" s="1" t="s">
        <v>9498</v>
      </c>
      <c r="AL2201" s="1" t="s">
        <v>41</v>
      </c>
      <c r="AM2201" s="1">
        <v>256.0</v>
      </c>
      <c r="AN2201" s="1">
        <v>2012.0</v>
      </c>
      <c r="AO2201" s="1">
        <v>2011.0</v>
      </c>
      <c r="AQ2201" s="3">
        <v>41647.0</v>
      </c>
      <c r="AR2201" s="1" t="s">
        <v>31</v>
      </c>
      <c r="AS2201" s="1" t="s">
        <v>9499</v>
      </c>
      <c r="AT2201" s="1" t="s">
        <v>31</v>
      </c>
      <c r="AX2201" s="1">
        <v>0.0</v>
      </c>
      <c r="AY2201" s="1">
        <v>0.0</v>
      </c>
    </row>
    <row r="2202" spans="20:51" ht="15.75" hidden="1">
      <c r="T2202" s="1">
        <v>1.7316555E7</v>
      </c>
      <c r="U2202" s="1"/>
      <c r="V2202" s="1"/>
      <c r="W2202" s="1"/>
      <c r="X2202" s="1"/>
      <c r="Y2202" s="1" t="s">
        <v>9500</v>
      </c>
      <c r="Z2202" s="1" t="s">
        <v>9501</v>
      </c>
      <c r="AA2202" s="1" t="s">
        <v>9502</v>
      </c>
      <c r="AB2202" s="1"/>
      <c r="AC2202" s="1"/>
      <c r="AD2202" s="1"/>
      <c r="AE2202" s="1"/>
      <c r="AG2202" s="2" t="str">
        <f>"1590516389"</f>
        <v>1590516389</v>
      </c>
      <c r="AH2202" s="2" t="str">
        <f>"9781590516386"</f>
        <v>9781590516386</v>
      </c>
      <c r="AI2202" s="1">
        <v>0.0</v>
      </c>
      <c r="AJ2202" s="1">
        <v>3.22</v>
      </c>
      <c r="AK2202" s="1" t="s">
        <v>9503</v>
      </c>
      <c r="AL2202" s="1" t="s">
        <v>28</v>
      </c>
      <c r="AM2202" s="1">
        <v>256.0</v>
      </c>
      <c r="AN2202" s="1">
        <v>2013.0</v>
      </c>
      <c r="AO2202" s="1">
        <v>2013.0</v>
      </c>
      <c r="AQ2202" s="3">
        <v>41647.0</v>
      </c>
      <c r="AR2202" s="1" t="s">
        <v>31</v>
      </c>
      <c r="AS2202" s="1" t="s">
        <v>9504</v>
      </c>
      <c r="AT2202" s="1" t="s">
        <v>31</v>
      </c>
      <c r="AX2202" s="1">
        <v>0.0</v>
      </c>
      <c r="AY2202" s="1">
        <v>0.0</v>
      </c>
    </row>
    <row r="2203" spans="20:51" ht="15.75" hidden="1">
      <c r="T2203" s="1">
        <v>46199.0</v>
      </c>
      <c r="U2203" s="1"/>
      <c r="V2203" s="1"/>
      <c r="W2203" s="1"/>
      <c r="X2203" s="1"/>
      <c r="Y2203" s="1" t="s">
        <v>9505</v>
      </c>
      <c r="Z2203" s="1" t="s">
        <v>4055</v>
      </c>
      <c r="AA2203" s="1" t="s">
        <v>4056</v>
      </c>
      <c r="AB2203" s="1"/>
      <c r="AC2203" s="1"/>
      <c r="AD2203" s="1"/>
      <c r="AE2203" s="1"/>
      <c r="AF2203" s="1" t="s">
        <v>9506</v>
      </c>
      <c r="AG2203" s="2" t="str">
        <f>"0486422453"</f>
        <v>0486422453</v>
      </c>
      <c r="AH2203" s="2" t="str">
        <f>"9780486422459"</f>
        <v>9780486422459</v>
      </c>
      <c r="AI2203" s="1">
        <v>0.0</v>
      </c>
      <c r="AJ2203" s="1">
        <v>4.3</v>
      </c>
      <c r="AK2203" s="1" t="s">
        <v>540</v>
      </c>
      <c r="AL2203" s="1" t="s">
        <v>28</v>
      </c>
      <c r="AM2203" s="1">
        <v>80.0</v>
      </c>
      <c r="AN2203" s="1">
        <v>2002.0</v>
      </c>
      <c r="AO2203" s="1">
        <v>1929.0</v>
      </c>
      <c r="AQ2203" s="4">
        <v>41635.0</v>
      </c>
      <c r="AR2203" s="1" t="s">
        <v>31</v>
      </c>
      <c r="AS2203" s="1" t="s">
        <v>9507</v>
      </c>
      <c r="AT2203" s="1" t="s">
        <v>31</v>
      </c>
      <c r="AX2203" s="1">
        <v>0.0</v>
      </c>
      <c r="AY2203" s="1">
        <v>0.0</v>
      </c>
    </row>
    <row r="2204" spans="20:51" ht="15.75" hidden="1">
      <c r="T2204" s="1">
        <v>7026738.0</v>
      </c>
      <c r="U2204" s="1"/>
      <c r="V2204" s="1"/>
      <c r="W2204" s="1"/>
      <c r="X2204" s="1"/>
      <c r="Y2204" s="1" t="s">
        <v>2232</v>
      </c>
      <c r="Z2204" s="1" t="s">
        <v>2233</v>
      </c>
      <c r="AA2204" s="1" t="s">
        <v>2234</v>
      </c>
      <c r="AB2204" s="1"/>
      <c r="AC2204" s="1"/>
      <c r="AD2204" s="1"/>
      <c r="AE2204" s="1"/>
      <c r="AG2204" s="2" t="str">
        <f>"0879976241"</f>
        <v>0879976241</v>
      </c>
      <c r="AH2204" s="2" t="str">
        <f>"9780879976248"</f>
        <v>9780879976248</v>
      </c>
      <c r="AI2204" s="1">
        <v>0.0</v>
      </c>
      <c r="AJ2204" s="1">
        <v>3.92</v>
      </c>
      <c r="AK2204" s="1" t="s">
        <v>9508</v>
      </c>
      <c r="AL2204" s="1" t="s">
        <v>315</v>
      </c>
      <c r="AM2204" s="1">
        <v>208.0</v>
      </c>
      <c r="AN2204" s="1">
        <v>1981.0</v>
      </c>
      <c r="AO2204" s="1">
        <v>1974.0</v>
      </c>
      <c r="AQ2204" s="4">
        <v>41635.0</v>
      </c>
      <c r="AR2204" s="1" t="s">
        <v>31</v>
      </c>
      <c r="AS2204" s="1" t="s">
        <v>9509</v>
      </c>
      <c r="AT2204" s="1" t="s">
        <v>31</v>
      </c>
      <c r="AX2204" s="1">
        <v>0.0</v>
      </c>
      <c r="AY2204" s="1">
        <v>0.0</v>
      </c>
    </row>
    <row r="2205" spans="20:51" ht="15.75" hidden="1">
      <c r="T2205" s="1">
        <v>7048800.0</v>
      </c>
      <c r="U2205" s="1"/>
      <c r="V2205" s="1"/>
      <c r="W2205" s="1"/>
      <c r="X2205" s="1"/>
      <c r="Y2205" s="1" t="s">
        <v>9510</v>
      </c>
      <c r="Z2205" s="1" t="s">
        <v>9511</v>
      </c>
      <c r="AA2205" s="1" t="s">
        <v>9512</v>
      </c>
      <c r="AB2205" s="1"/>
      <c r="AC2205" s="1"/>
      <c r="AD2205" s="1"/>
      <c r="AE2205" s="1"/>
      <c r="AG2205" s="2" t="str">
        <f>"0385501129"</f>
        <v>0385501129</v>
      </c>
      <c r="AH2205" s="2" t="str">
        <f>"9780385501125"</f>
        <v>9780385501125</v>
      </c>
      <c r="AI2205" s="1">
        <v>0.0</v>
      </c>
      <c r="AJ2205" s="1">
        <v>3.24</v>
      </c>
      <c r="AK2205" s="1" t="s">
        <v>4974</v>
      </c>
      <c r="AL2205" s="1" t="s">
        <v>41</v>
      </c>
      <c r="AM2205" s="1">
        <v>292.0</v>
      </c>
      <c r="AN2205" s="1">
        <v>2010.0</v>
      </c>
      <c r="AO2205" s="1">
        <v>2010.0</v>
      </c>
      <c r="AQ2205" s="4">
        <v>41627.0</v>
      </c>
      <c r="AR2205" s="1" t="s">
        <v>31</v>
      </c>
      <c r="AS2205" s="1" t="s">
        <v>9513</v>
      </c>
      <c r="AT2205" s="1" t="s">
        <v>31</v>
      </c>
      <c r="AX2205" s="1">
        <v>0.0</v>
      </c>
      <c r="AY2205" s="1">
        <v>0.0</v>
      </c>
    </row>
    <row r="2206" spans="20:51" ht="15.75" hidden="1">
      <c r="T2206" s="1">
        <v>1.7847528E7</v>
      </c>
      <c r="U2206" s="1"/>
      <c r="V2206" s="1"/>
      <c r="W2206" s="1"/>
      <c r="X2206" s="1"/>
      <c r="Y2206" s="1" t="s">
        <v>9514</v>
      </c>
      <c r="Z2206" s="1" t="s">
        <v>9515</v>
      </c>
      <c r="AA2206" s="1" t="s">
        <v>9516</v>
      </c>
      <c r="AB2206" s="1"/>
      <c r="AC2206" s="1"/>
      <c r="AD2206" s="1"/>
      <c r="AE2206" s="1"/>
      <c r="AG2206" s="2" t="str">
        <f>"0199957975"</f>
        <v>0199957975</v>
      </c>
      <c r="AH2206" s="2" t="str">
        <f>"9780199957972"</f>
        <v>9780199957972</v>
      </c>
      <c r="AI2206" s="1">
        <v>0.0</v>
      </c>
      <c r="AJ2206" s="1">
        <v>3.86</v>
      </c>
      <c r="AK2206" s="1" t="s">
        <v>214</v>
      </c>
      <c r="AL2206" s="1" t="s">
        <v>41</v>
      </c>
      <c r="AM2206" s="1">
        <v>376.0</v>
      </c>
      <c r="AN2206" s="1">
        <v>2013.0</v>
      </c>
      <c r="AO2206" s="1">
        <v>2013.0</v>
      </c>
      <c r="AQ2206" s="4">
        <v>41623.0</v>
      </c>
      <c r="AR2206" s="1" t="s">
        <v>31</v>
      </c>
      <c r="AS2206" s="1" t="s">
        <v>9517</v>
      </c>
      <c r="AT2206" s="1" t="s">
        <v>31</v>
      </c>
      <c r="AX2206" s="1">
        <v>0.0</v>
      </c>
      <c r="AY2206" s="1">
        <v>0.0</v>
      </c>
    </row>
    <row r="2207" spans="20:51" ht="15.75" hidden="1">
      <c r="T2207" s="1">
        <v>3381.0</v>
      </c>
      <c r="U2207" s="1"/>
      <c r="V2207" s="1"/>
      <c r="W2207" s="1"/>
      <c r="X2207" s="1"/>
      <c r="Y2207" s="1" t="s">
        <v>9518</v>
      </c>
      <c r="Z2207" s="1" t="s">
        <v>9519</v>
      </c>
      <c r="AA2207" s="1" t="s">
        <v>9520</v>
      </c>
      <c r="AB2207" s="1"/>
      <c r="AC2207" s="1"/>
      <c r="AD2207" s="1"/>
      <c r="AE2207" s="1"/>
      <c r="AG2207" s="2" t="str">
        <f>"1582344159"</f>
        <v>1582344159</v>
      </c>
      <c r="AH2207" s="2" t="str">
        <f>"9781582344157"</f>
        <v>9781582344157</v>
      </c>
      <c r="AI2207" s="1">
        <v>0.0</v>
      </c>
      <c r="AJ2207" s="1">
        <v>3.73</v>
      </c>
      <c r="AK2207" s="1" t="s">
        <v>851</v>
      </c>
      <c r="AL2207" s="1" t="s">
        <v>28</v>
      </c>
      <c r="AM2207" s="1">
        <v>244.0</v>
      </c>
      <c r="AN2207" s="1">
        <v>2004.0</v>
      </c>
      <c r="AO2207" s="1">
        <v>2003.0</v>
      </c>
      <c r="AQ2207" s="4">
        <v>41601.0</v>
      </c>
      <c r="AR2207" s="1" t="s">
        <v>31</v>
      </c>
      <c r="AS2207" s="1" t="s">
        <v>9521</v>
      </c>
      <c r="AT2207" s="1" t="s">
        <v>31</v>
      </c>
      <c r="AX2207" s="1">
        <v>0.0</v>
      </c>
      <c r="AY2207" s="1">
        <v>0.0</v>
      </c>
    </row>
    <row r="2208" spans="20:51" ht="15.75" hidden="1">
      <c r="T2208" s="1">
        <v>1.2031532E7</v>
      </c>
      <c r="U2208" s="1"/>
      <c r="V2208" s="1"/>
      <c r="W2208" s="1"/>
      <c r="X2208" s="1"/>
      <c r="Y2208" s="1" t="s">
        <v>9522</v>
      </c>
      <c r="Z2208" s="1" t="s">
        <v>9523</v>
      </c>
      <c r="AA2208" s="1" t="s">
        <v>9524</v>
      </c>
      <c r="AB2208" s="1"/>
      <c r="AC2208" s="1"/>
      <c r="AD2208" s="1"/>
      <c r="AE2208" s="1"/>
      <c r="AG2208" s="2" t="str">
        <f>"1905802498"</f>
        <v>1905802498</v>
      </c>
      <c r="AH2208" s="2" t="str">
        <f>"9781905802494"</f>
        <v>9781905802494</v>
      </c>
      <c r="AI2208" s="1">
        <v>0.0</v>
      </c>
      <c r="AJ2208" s="1">
        <v>4.13</v>
      </c>
      <c r="AK2208" s="1" t="s">
        <v>9525</v>
      </c>
      <c r="AL2208" s="1" t="s">
        <v>41</v>
      </c>
      <c r="AM2208" s="1">
        <v>448.0</v>
      </c>
      <c r="AN2208" s="1">
        <v>2011.0</v>
      </c>
      <c r="AO2208" s="1">
        <v>2011.0</v>
      </c>
      <c r="AQ2208" s="4">
        <v>41601.0</v>
      </c>
      <c r="AR2208" s="1" t="s">
        <v>31</v>
      </c>
      <c r="AS2208" s="1" t="s">
        <v>9526</v>
      </c>
      <c r="AT2208" s="1" t="s">
        <v>31</v>
      </c>
      <c r="AX2208" s="1">
        <v>0.0</v>
      </c>
      <c r="AY2208" s="1">
        <v>0.0</v>
      </c>
    </row>
    <row r="2209" spans="20:51" ht="15.75" hidden="1">
      <c r="T2209" s="1">
        <v>440777.0</v>
      </c>
      <c r="U2209" s="1"/>
      <c r="V2209" s="1"/>
      <c r="W2209" s="1"/>
      <c r="X2209" s="1"/>
      <c r="Y2209" s="1" t="s">
        <v>9527</v>
      </c>
      <c r="Z2209" s="1" t="s">
        <v>9528</v>
      </c>
      <c r="AA2209" s="1" t="s">
        <v>9529</v>
      </c>
      <c r="AB2209" s="1"/>
      <c r="AC2209" s="1"/>
      <c r="AD2209" s="1"/>
      <c r="AE2209" s="1"/>
      <c r="AG2209" s="2" t="str">
        <f>"0312273231"</f>
        <v>0312273231</v>
      </c>
      <c r="AH2209" s="2" t="str">
        <f>"9780312273231"</f>
        <v>9780312273231</v>
      </c>
      <c r="AI2209" s="1">
        <v>0.0</v>
      </c>
      <c r="AJ2209" s="1">
        <v>3.85</v>
      </c>
      <c r="AK2209" s="1" t="s">
        <v>9530</v>
      </c>
      <c r="AL2209" s="1" t="s">
        <v>28</v>
      </c>
      <c r="AM2209" s="1">
        <v>256.0</v>
      </c>
      <c r="AN2209" s="1">
        <v>2001.0</v>
      </c>
      <c r="AO2209" s="1">
        <v>2000.0</v>
      </c>
      <c r="AQ2209" s="3">
        <v>41585.0</v>
      </c>
      <c r="AR2209" s="1" t="s">
        <v>31</v>
      </c>
      <c r="AS2209" s="1" t="s">
        <v>9531</v>
      </c>
      <c r="AT2209" s="1" t="s">
        <v>31</v>
      </c>
      <c r="AX2209" s="1">
        <v>0.0</v>
      </c>
      <c r="AY2209" s="1">
        <v>0.0</v>
      </c>
    </row>
    <row r="2210" spans="20:51" ht="15.75" hidden="1">
      <c r="T2210" s="1">
        <v>46182.0</v>
      </c>
      <c r="U2210" s="1"/>
      <c r="V2210" s="1"/>
      <c r="W2210" s="1"/>
      <c r="X2210" s="1"/>
      <c r="Y2210" s="1" t="s">
        <v>9532</v>
      </c>
      <c r="Z2210" s="1" t="s">
        <v>9533</v>
      </c>
      <c r="AA2210" s="1" t="s">
        <v>9534</v>
      </c>
      <c r="AB2210" s="1"/>
      <c r="AC2210" s="1"/>
      <c r="AD2210" s="1"/>
      <c r="AE2210" s="1"/>
      <c r="AG2210" s="2" t="str">
        <f>"0099437597"</f>
        <v>0099437597</v>
      </c>
      <c r="AH2210" s="2" t="str">
        <f>"9780099437598"</f>
        <v>9780099437598</v>
      </c>
      <c r="AI2210" s="1">
        <v>0.0</v>
      </c>
      <c r="AJ2210" s="1">
        <v>3.8</v>
      </c>
      <c r="AK2210" s="1" t="s">
        <v>9535</v>
      </c>
      <c r="AL2210" s="1" t="s">
        <v>28</v>
      </c>
      <c r="AM2210" s="1">
        <v>144.0</v>
      </c>
      <c r="AN2210" s="1">
        <v>2002.0</v>
      </c>
      <c r="AO2210" s="1">
        <v>1968.0</v>
      </c>
      <c r="AQ2210" s="4">
        <v>41575.0</v>
      </c>
      <c r="AR2210" s="1" t="s">
        <v>31</v>
      </c>
      <c r="AS2210" s="1" t="s">
        <v>9536</v>
      </c>
      <c r="AT2210" s="1" t="s">
        <v>31</v>
      </c>
      <c r="AX2210" s="1">
        <v>0.0</v>
      </c>
      <c r="AY2210" s="1">
        <v>0.0</v>
      </c>
    </row>
    <row r="2211" spans="20:51" ht="15.75" hidden="1">
      <c r="T2211" s="1">
        <v>1.2480602E7</v>
      </c>
      <c r="U2211" s="1"/>
      <c r="V2211" s="1"/>
      <c r="W2211" s="1"/>
      <c r="X2211" s="1"/>
      <c r="Y2211" s="1" t="s">
        <v>9537</v>
      </c>
      <c r="Z2211" s="1" t="s">
        <v>9538</v>
      </c>
      <c r="AA2211" s="1" t="s">
        <v>9539</v>
      </c>
      <c r="AB2211" s="1"/>
      <c r="AC2211" s="1"/>
      <c r="AD2211" s="1"/>
      <c r="AE2211" s="1"/>
      <c r="AG2211" s="2" t="str">
        <f>"0983864403"</f>
        <v>0983864403</v>
      </c>
      <c r="AH2211" s="2" t="str">
        <f>"9780983864400"</f>
        <v>9780983864400</v>
      </c>
      <c r="AI2211" s="1">
        <v>0.0</v>
      </c>
      <c r="AJ2211" s="1">
        <v>3.66</v>
      </c>
      <c r="AK2211" s="1" t="s">
        <v>9540</v>
      </c>
      <c r="AL2211" s="1" t="s">
        <v>3470</v>
      </c>
      <c r="AM2211" s="1">
        <v>369.0</v>
      </c>
      <c r="AN2211" s="1">
        <v>2011.0</v>
      </c>
      <c r="AO2211" s="1">
        <v>2012.0</v>
      </c>
      <c r="AQ2211" s="4">
        <v>41571.0</v>
      </c>
      <c r="AR2211" s="1" t="s">
        <v>31</v>
      </c>
      <c r="AS2211" s="1" t="s">
        <v>9541</v>
      </c>
      <c r="AT2211" s="1" t="s">
        <v>31</v>
      </c>
      <c r="AX2211" s="1">
        <v>0.0</v>
      </c>
      <c r="AY2211" s="1">
        <v>0.0</v>
      </c>
    </row>
    <row r="2212" spans="20:51" ht="15.75" hidden="1">
      <c r="T2212" s="1">
        <v>1.72621E7</v>
      </c>
      <c r="U2212" s="1"/>
      <c r="V2212" s="1"/>
      <c r="W2212" s="1"/>
      <c r="X2212" s="1"/>
      <c r="Y2212" s="1" t="s">
        <v>9542</v>
      </c>
      <c r="Z2212" s="1" t="s">
        <v>9543</v>
      </c>
      <c r="AA2212" s="1" t="s">
        <v>9544</v>
      </c>
      <c r="AB2212" s="1"/>
      <c r="AC2212" s="1"/>
      <c r="AD2212" s="1"/>
      <c r="AE2212" s="1"/>
      <c r="AG2212" s="2" t="str">
        <f>"0307265749"</f>
        <v>0307265749</v>
      </c>
      <c r="AH2212" s="2" t="str">
        <f>"9780307265746"</f>
        <v>9780307265746</v>
      </c>
      <c r="AI2212" s="1">
        <v>0.0</v>
      </c>
      <c r="AJ2212" s="1">
        <v>3.87</v>
      </c>
      <c r="AK2212" s="1" t="s">
        <v>634</v>
      </c>
      <c r="AL2212" s="1" t="s">
        <v>41</v>
      </c>
      <c r="AM2212" s="1">
        <v>340.0</v>
      </c>
      <c r="AN2212" s="1">
        <v>2013.0</v>
      </c>
      <c r="AO2212" s="1">
        <v>2013.0</v>
      </c>
      <c r="AQ2212" s="4">
        <v>41567.0</v>
      </c>
      <c r="AR2212" s="1" t="s">
        <v>31</v>
      </c>
      <c r="AS2212" s="1" t="s">
        <v>9545</v>
      </c>
      <c r="AT2212" s="1" t="s">
        <v>31</v>
      </c>
      <c r="AX2212" s="1">
        <v>0.0</v>
      </c>
      <c r="AY2212" s="1">
        <v>0.0</v>
      </c>
    </row>
    <row r="2213" spans="20:51" ht="15.75" hidden="1">
      <c r="T2213" s="1">
        <v>6316343.0</v>
      </c>
      <c r="U2213" s="1"/>
      <c r="V2213" s="1"/>
      <c r="W2213" s="1"/>
      <c r="X2213" s="1"/>
      <c r="Y2213" s="1" t="s">
        <v>9546</v>
      </c>
      <c r="Z2213" s="1" t="s">
        <v>9547</v>
      </c>
      <c r="AA2213" s="1" t="s">
        <v>9548</v>
      </c>
      <c r="AB2213" s="1"/>
      <c r="AC2213" s="1"/>
      <c r="AD2213" s="1"/>
      <c r="AE2213" s="1"/>
      <c r="AG2213" s="2" t="str">
        <f>"0979755425"</f>
        <v>0979755425</v>
      </c>
      <c r="AH2213" s="2" t="str">
        <f>"9780979755422"</f>
        <v>9780979755422</v>
      </c>
      <c r="AI2213" s="1">
        <v>0.0</v>
      </c>
      <c r="AJ2213" s="1">
        <v>3.97</v>
      </c>
      <c r="AK2213" s="1" t="s">
        <v>9549</v>
      </c>
      <c r="AL2213" s="1" t="s">
        <v>28</v>
      </c>
      <c r="AM2213" s="1">
        <v>508.0</v>
      </c>
      <c r="AN2213" s="1">
        <v>2008.0</v>
      </c>
      <c r="AO2213" s="1">
        <v>2007.0</v>
      </c>
      <c r="AQ2213" s="4">
        <v>41562.0</v>
      </c>
      <c r="AR2213" s="1" t="s">
        <v>31</v>
      </c>
      <c r="AS2213" s="1" t="s">
        <v>9550</v>
      </c>
      <c r="AT2213" s="1" t="s">
        <v>31</v>
      </c>
      <c r="AX2213" s="1">
        <v>0.0</v>
      </c>
      <c r="AY2213" s="1">
        <v>0.0</v>
      </c>
    </row>
    <row r="2214" spans="20:51" ht="15.75" hidden="1">
      <c r="T2214" s="1">
        <v>1.6178093E7</v>
      </c>
      <c r="U2214" s="1"/>
      <c r="V2214" s="1"/>
      <c r="W2214" s="1"/>
      <c r="X2214" s="1"/>
      <c r="Y2214" s="1" t="s">
        <v>9551</v>
      </c>
      <c r="Z2214" s="1" t="s">
        <v>9552</v>
      </c>
      <c r="AA2214" s="1" t="s">
        <v>9553</v>
      </c>
      <c r="AB2214" s="1"/>
      <c r="AC2214" s="1"/>
      <c r="AD2214" s="1"/>
      <c r="AE2214" s="1"/>
      <c r="AG2214" s="2" t="str">
        <f>"0091944317"</f>
        <v>0091944317</v>
      </c>
      <c r="AH2214" s="2" t="str">
        <f>"9780091944315"</f>
        <v>9780091944315</v>
      </c>
      <c r="AI2214" s="1">
        <v>0.0</v>
      </c>
      <c r="AJ2214" s="1">
        <v>3.43</v>
      </c>
      <c r="AK2214" s="1" t="s">
        <v>9554</v>
      </c>
      <c r="AL2214" s="1" t="s">
        <v>28</v>
      </c>
      <c r="AM2214" s="1">
        <v>288.0</v>
      </c>
      <c r="AN2214" s="1">
        <v>2012.0</v>
      </c>
      <c r="AO2214" s="1">
        <v>2011.0</v>
      </c>
      <c r="AQ2214" s="3">
        <v>41545.0</v>
      </c>
      <c r="AR2214" s="1" t="s">
        <v>31</v>
      </c>
      <c r="AS2214" s="1" t="s">
        <v>9555</v>
      </c>
      <c r="AT2214" s="1" t="s">
        <v>31</v>
      </c>
      <c r="AX2214" s="1">
        <v>0.0</v>
      </c>
      <c r="AY2214" s="1">
        <v>0.0</v>
      </c>
    </row>
    <row r="2215" spans="20:51" ht="15.75" hidden="1">
      <c r="T2215" s="1">
        <v>1.3255419E7</v>
      </c>
      <c r="U2215" s="1"/>
      <c r="V2215" s="1"/>
      <c r="W2215" s="1"/>
      <c r="X2215" s="1"/>
      <c r="Y2215" s="1" t="s">
        <v>9556</v>
      </c>
      <c r="Z2215" s="1" t="s">
        <v>9557</v>
      </c>
      <c r="AA2215" s="1" t="s">
        <v>9558</v>
      </c>
      <c r="AB2215" s="1"/>
      <c r="AC2215" s="1"/>
      <c r="AD2215" s="1"/>
      <c r="AE2215" s="1"/>
      <c r="AG2215" s="2" t="str">
        <f>"0340998423"</f>
        <v>0340998423</v>
      </c>
      <c r="AH2215" s="2" t="str">
        <f>"9780340998427"</f>
        <v>9780340998427</v>
      </c>
      <c r="AI2215" s="1">
        <v>0.0</v>
      </c>
      <c r="AJ2215" s="1">
        <v>3.43</v>
      </c>
      <c r="AK2215" s="1" t="s">
        <v>6451</v>
      </c>
      <c r="AL2215" s="1" t="s">
        <v>41</v>
      </c>
      <c r="AM2215" s="1">
        <v>357.0</v>
      </c>
      <c r="AN2215" s="1">
        <v>2012.0</v>
      </c>
      <c r="AO2215" s="1">
        <v>2012.0</v>
      </c>
      <c r="AQ2215" s="3">
        <v>41545.0</v>
      </c>
      <c r="AR2215" s="1" t="s">
        <v>31</v>
      </c>
      <c r="AS2215" s="1" t="s">
        <v>9559</v>
      </c>
      <c r="AT2215" s="1" t="s">
        <v>31</v>
      </c>
      <c r="AX2215" s="1">
        <v>0.0</v>
      </c>
      <c r="AY2215" s="1">
        <v>0.0</v>
      </c>
    </row>
    <row r="2216" spans="20:51" ht="15.75" hidden="1">
      <c r="T2216" s="1">
        <v>79090.0</v>
      </c>
      <c r="U2216" s="1"/>
      <c r="V2216" s="1"/>
      <c r="W2216" s="1"/>
      <c r="X2216" s="1"/>
      <c r="Y2216" s="1" t="s">
        <v>9560</v>
      </c>
      <c r="Z2216" s="1" t="s">
        <v>9561</v>
      </c>
      <c r="AA2216" s="1" t="s">
        <v>9562</v>
      </c>
      <c r="AB2216" s="1"/>
      <c r="AC2216" s="1"/>
      <c r="AD2216" s="1"/>
      <c r="AE2216" s="1"/>
      <c r="AG2216" s="2" t="str">
        <f>"0743259823"</f>
        <v>0743259823</v>
      </c>
      <c r="AH2216" s="2" t="str">
        <f>"9780743259828"</f>
        <v>9780743259828</v>
      </c>
      <c r="AI2216" s="1">
        <v>0.0</v>
      </c>
      <c r="AJ2216" s="1">
        <v>4.08</v>
      </c>
      <c r="AK2216" s="1" t="s">
        <v>345</v>
      </c>
      <c r="AL2216" s="1" t="s">
        <v>28</v>
      </c>
      <c r="AM2216" s="1">
        <v>287.0</v>
      </c>
      <c r="AN2216" s="1">
        <v>2003.0</v>
      </c>
      <c r="AO2216" s="1">
        <v>1999.0</v>
      </c>
      <c r="AQ2216" s="3">
        <v>41545.0</v>
      </c>
      <c r="AR2216" s="1" t="s">
        <v>31</v>
      </c>
      <c r="AS2216" s="1" t="s">
        <v>9563</v>
      </c>
      <c r="AT2216" s="1" t="s">
        <v>31</v>
      </c>
      <c r="AX2216" s="1">
        <v>0.0</v>
      </c>
      <c r="AY2216" s="1">
        <v>0.0</v>
      </c>
    </row>
    <row r="2217" spans="20:51" ht="15.75" hidden="1">
      <c r="T2217" s="1">
        <v>1.6041828E7</v>
      </c>
      <c r="U2217" s="1"/>
      <c r="V2217" s="1"/>
      <c r="W2217" s="1"/>
      <c r="X2217" s="1"/>
      <c r="Y2217" s="1" t="s">
        <v>9564</v>
      </c>
      <c r="Z2217" s="1" t="s">
        <v>9565</v>
      </c>
      <c r="AA2217" s="1" t="s">
        <v>9566</v>
      </c>
      <c r="AB2217" s="1"/>
      <c r="AC2217" s="1"/>
      <c r="AD2217" s="1"/>
      <c r="AE2217" s="1"/>
      <c r="AG2217" s="2" t="str">
        <f>"0307950174"</f>
        <v>0307950174</v>
      </c>
      <c r="AH2217" s="2" t="str">
        <f>"9780307950178"</f>
        <v>9780307950178</v>
      </c>
      <c r="AI2217" s="1">
        <v>0.0</v>
      </c>
      <c r="AJ2217" s="1">
        <v>3.33</v>
      </c>
      <c r="AK2217" s="1" t="s">
        <v>83</v>
      </c>
      <c r="AL2217" s="1" t="s">
        <v>28</v>
      </c>
      <c r="AM2217" s="1">
        <v>248.0</v>
      </c>
      <c r="AN2217" s="1">
        <v>2013.0</v>
      </c>
      <c r="AO2217" s="1">
        <v>2013.0</v>
      </c>
      <c r="AQ2217" s="3">
        <v>41515.0</v>
      </c>
      <c r="AR2217" s="1" t="s">
        <v>31</v>
      </c>
      <c r="AS2217" s="1" t="s">
        <v>9567</v>
      </c>
      <c r="AT2217" s="1" t="s">
        <v>31</v>
      </c>
      <c r="AX2217" s="1">
        <v>0.0</v>
      </c>
      <c r="AY2217" s="1">
        <v>0.0</v>
      </c>
    </row>
    <row r="2218" spans="20:51" ht="15.75" hidden="1">
      <c r="T2218" s="1">
        <v>1.5018308E7</v>
      </c>
      <c r="U2218" s="1"/>
      <c r="V2218" s="1"/>
      <c r="W2218" s="1"/>
      <c r="X2218" s="1"/>
      <c r="Y2218" s="1" t="s">
        <v>9568</v>
      </c>
      <c r="Z2218" s="1" t="s">
        <v>9569</v>
      </c>
      <c r="AA2218" s="1" t="s">
        <v>9570</v>
      </c>
      <c r="AB2218" s="1"/>
      <c r="AC2218" s="1"/>
      <c r="AD2218" s="1"/>
      <c r="AE2218" s="1"/>
      <c r="AG2218" s="2" t="str">
        <f>"0982848935"</f>
        <v>0982848935</v>
      </c>
      <c r="AH2218" s="2" t="str">
        <f>"9780982848937"</f>
        <v>9780982848937</v>
      </c>
      <c r="AI2218" s="1">
        <v>0.0</v>
      </c>
      <c r="AJ2218" s="1">
        <v>3.0</v>
      </c>
      <c r="AK2218" s="1" t="s">
        <v>9571</v>
      </c>
      <c r="AL2218" s="1" t="s">
        <v>28</v>
      </c>
      <c r="AM2218" s="1">
        <v>510.0</v>
      </c>
      <c r="AN2218" s="1">
        <v>2012.0</v>
      </c>
      <c r="AO2218" s="1">
        <v>2012.0</v>
      </c>
      <c r="AQ2218" s="3">
        <v>41515.0</v>
      </c>
      <c r="AR2218" s="1" t="s">
        <v>31</v>
      </c>
      <c r="AS2218" s="1" t="s">
        <v>9572</v>
      </c>
      <c r="AT2218" s="1" t="s">
        <v>31</v>
      </c>
      <c r="AX2218" s="1">
        <v>0.0</v>
      </c>
      <c r="AY2218" s="1">
        <v>0.0</v>
      </c>
    </row>
    <row r="2219" spans="20:51" ht="15.75" hidden="1">
      <c r="T2219" s="1">
        <v>4789658.0</v>
      </c>
      <c r="U2219" s="1"/>
      <c r="V2219" s="1"/>
      <c r="W2219" s="1"/>
      <c r="X2219" s="1"/>
      <c r="Y2219" s="1" t="s">
        <v>9573</v>
      </c>
      <c r="Z2219" s="1" t="s">
        <v>9428</v>
      </c>
      <c r="AA2219" s="1" t="s">
        <v>9429</v>
      </c>
      <c r="AB2219" s="1"/>
      <c r="AC2219" s="1"/>
      <c r="AD2219" s="1"/>
      <c r="AE2219" s="1"/>
      <c r="AG2219" s="2" t="str">
        <f>"0307387461"</f>
        <v>0307387461</v>
      </c>
      <c r="AH2219" s="2" t="str">
        <f>"9780307387462"</f>
        <v>9780307387462</v>
      </c>
      <c r="AI2219" s="1">
        <v>0.0</v>
      </c>
      <c r="AJ2219" s="1">
        <v>3.8</v>
      </c>
      <c r="AK2219" s="1" t="s">
        <v>83</v>
      </c>
      <c r="AL2219" s="1" t="s">
        <v>28</v>
      </c>
      <c r="AM2219" s="1">
        <v>240.0</v>
      </c>
      <c r="AN2219" s="1">
        <v>2009.0</v>
      </c>
      <c r="AO2219" s="1">
        <v>2009.0</v>
      </c>
      <c r="AQ2219" s="3">
        <v>41466.0</v>
      </c>
      <c r="AR2219" s="1" t="s">
        <v>31</v>
      </c>
      <c r="AS2219" s="1" t="s">
        <v>9574</v>
      </c>
      <c r="AT2219" s="1" t="s">
        <v>31</v>
      </c>
      <c r="AX2219" s="1">
        <v>0.0</v>
      </c>
      <c r="AY2219" s="1">
        <v>0.0</v>
      </c>
    </row>
    <row r="2220" spans="20:51" ht="15.75" hidden="1">
      <c r="T2220" s="1">
        <v>65285.0</v>
      </c>
      <c r="U2220" s="1"/>
      <c r="V2220" s="1"/>
      <c r="W2220" s="1"/>
      <c r="X2220" s="1"/>
      <c r="Y2220" s="1" t="s">
        <v>9575</v>
      </c>
      <c r="Z2220" s="1" t="s">
        <v>9576</v>
      </c>
      <c r="AA2220" s="1" t="s">
        <v>9577</v>
      </c>
      <c r="AB2220" s="1"/>
      <c r="AC2220" s="1"/>
      <c r="AD2220" s="1"/>
      <c r="AE2220" s="1"/>
      <c r="AG2220" s="2" t="str">
        <f>"006000438X"</f>
        <v>006000438X</v>
      </c>
      <c r="AH2220" s="2" t="str">
        <f>"9780060004385"</f>
        <v>9780060004385</v>
      </c>
      <c r="AI2220" s="1">
        <v>0.0</v>
      </c>
      <c r="AJ2220" s="1">
        <v>3.61</v>
      </c>
      <c r="AK2220" s="1" t="s">
        <v>474</v>
      </c>
      <c r="AL2220" s="1" t="s">
        <v>28</v>
      </c>
      <c r="AM2220" s="1">
        <v>301.0</v>
      </c>
      <c r="AN2220" s="1">
        <v>2002.0</v>
      </c>
      <c r="AO2220" s="1">
        <v>2001.0</v>
      </c>
      <c r="AQ2220" s="3">
        <v>41402.0</v>
      </c>
      <c r="AR2220" s="1" t="s">
        <v>31</v>
      </c>
      <c r="AS2220" s="1" t="s">
        <v>9578</v>
      </c>
      <c r="AT2220" s="1" t="s">
        <v>31</v>
      </c>
      <c r="AX2220" s="1">
        <v>0.0</v>
      </c>
      <c r="AY2220" s="1">
        <v>0.0</v>
      </c>
    </row>
    <row r="2221" spans="20:51" ht="15.75" hidden="1">
      <c r="T2221" s="1">
        <v>92365.0</v>
      </c>
      <c r="U2221" s="1"/>
      <c r="V2221" s="1"/>
      <c r="W2221" s="1"/>
      <c r="X2221" s="1"/>
      <c r="Y2221" s="1" t="s">
        <v>9579</v>
      </c>
      <c r="Z2221" s="1" t="s">
        <v>9580</v>
      </c>
      <c r="AA2221" s="1" t="s">
        <v>9581</v>
      </c>
      <c r="AB2221" s="1"/>
      <c r="AC2221" s="1"/>
      <c r="AD2221" s="1"/>
      <c r="AE2221" s="1"/>
      <c r="AG2221" s="2" t="str">
        <f>"0060841699"</f>
        <v>0060841699</v>
      </c>
      <c r="AH2221" s="2" t="str">
        <f>"9780060841690"</f>
        <v>9780060841690</v>
      </c>
      <c r="AI2221" s="1">
        <v>0.0</v>
      </c>
      <c r="AJ2221" s="1">
        <v>4.12</v>
      </c>
      <c r="AK2221" s="1" t="s">
        <v>474</v>
      </c>
      <c r="AL2221" s="1" t="s">
        <v>28</v>
      </c>
      <c r="AM2221" s="1">
        <v>292.0</v>
      </c>
      <c r="AN2221" s="1">
        <v>2005.0</v>
      </c>
      <c r="AO2221" s="1">
        <v>1995.0</v>
      </c>
      <c r="AQ2221" s="3">
        <v>41364.0</v>
      </c>
      <c r="AR2221" s="1" t="s">
        <v>31</v>
      </c>
      <c r="AS2221" s="1" t="s">
        <v>9582</v>
      </c>
      <c r="AT2221" s="1" t="s">
        <v>31</v>
      </c>
      <c r="AX2221" s="1">
        <v>0.0</v>
      </c>
      <c r="AY2221" s="1">
        <v>0.0</v>
      </c>
    </row>
    <row r="2222" spans="20:51" ht="15.75" hidden="1">
      <c r="T2222" s="1">
        <v>6642715.0</v>
      </c>
      <c r="U2222" s="1"/>
      <c r="V2222" s="1"/>
      <c r="W2222" s="1"/>
      <c r="X2222" s="1"/>
      <c r="Y2222" s="1" t="s">
        <v>9583</v>
      </c>
      <c r="Z2222" s="1" t="s">
        <v>9584</v>
      </c>
      <c r="AA2222" s="1" t="s">
        <v>9585</v>
      </c>
      <c r="AB2222" s="1"/>
      <c r="AC2222" s="1"/>
      <c r="AD2222" s="1"/>
      <c r="AE2222" s="1"/>
      <c r="AG2222" s="2" t="str">
        <f t="shared" si="179" ref="AG2222:AH2222">""</f>
        <v/>
      </c>
      <c r="AH2222" s="2" t="str">
        <f t="shared" si="179"/>
        <v/>
      </c>
      <c r="AI2222" s="1">
        <v>0.0</v>
      </c>
      <c r="AJ2222" s="1">
        <v>4.13</v>
      </c>
      <c r="AK2222" s="1" t="s">
        <v>2179</v>
      </c>
      <c r="AL2222" s="1" t="s">
        <v>41</v>
      </c>
      <c r="AM2222" s="1">
        <v>354.0</v>
      </c>
      <c r="AN2222" s="1">
        <v>2010.0</v>
      </c>
      <c r="AO2222" s="1">
        <v>2009.0</v>
      </c>
      <c r="AQ2222" s="3">
        <v>41358.0</v>
      </c>
      <c r="AR2222" s="1" t="s">
        <v>31</v>
      </c>
      <c r="AS2222" s="1" t="s">
        <v>9586</v>
      </c>
      <c r="AT2222" s="1" t="s">
        <v>31</v>
      </c>
      <c r="AX2222" s="1">
        <v>0.0</v>
      </c>
      <c r="AY2222" s="1">
        <v>0.0</v>
      </c>
    </row>
    <row r="2223" spans="20:51" ht="15.75" hidden="1">
      <c r="T2223" s="1">
        <v>156427.0</v>
      </c>
      <c r="U2223" s="1"/>
      <c r="V2223" s="1"/>
      <c r="W2223" s="1"/>
      <c r="X2223" s="1"/>
      <c r="Y2223" s="1" t="s">
        <v>9587</v>
      </c>
      <c r="Z2223" s="1" t="s">
        <v>9588</v>
      </c>
      <c r="AA2223" s="1" t="s">
        <v>9589</v>
      </c>
      <c r="AB2223" s="1"/>
      <c r="AC2223" s="1"/>
      <c r="AD2223" s="1"/>
      <c r="AE2223" s="1"/>
      <c r="AG2223" s="2" t="str">
        <f>"0747545251"</f>
        <v>0747545251</v>
      </c>
      <c r="AH2223" s="2" t="str">
        <f>"9780747545255"</f>
        <v>9780747545255</v>
      </c>
      <c r="AI2223" s="1">
        <v>0.0</v>
      </c>
      <c r="AJ2223" s="1">
        <v>4.12</v>
      </c>
      <c r="AK2223" s="1" t="s">
        <v>1813</v>
      </c>
      <c r="AL2223" s="1" t="s">
        <v>28</v>
      </c>
      <c r="AM2223" s="1">
        <v>208.0</v>
      </c>
      <c r="AN2223" s="1">
        <v>1999.0</v>
      </c>
      <c r="AO2223" s="1">
        <v>1959.0</v>
      </c>
      <c r="AQ2223" s="3">
        <v>41348.0</v>
      </c>
      <c r="AR2223" s="1" t="s">
        <v>31</v>
      </c>
      <c r="AS2223" s="1" t="s">
        <v>9590</v>
      </c>
      <c r="AT2223" s="1" t="s">
        <v>31</v>
      </c>
      <c r="AX2223" s="1">
        <v>0.0</v>
      </c>
      <c r="AY2223" s="1">
        <v>0.0</v>
      </c>
    </row>
    <row r="2224" spans="20:51" ht="15.75" hidden="1">
      <c r="T2224" s="1">
        <v>80660.0</v>
      </c>
      <c r="U2224" s="1"/>
      <c r="V2224" s="1"/>
      <c r="W2224" s="1"/>
      <c r="X2224" s="1"/>
      <c r="Y2224" s="1" t="s">
        <v>9591</v>
      </c>
      <c r="Z2224" s="1" t="s">
        <v>9592</v>
      </c>
      <c r="AA2224" s="1" t="s">
        <v>9593</v>
      </c>
      <c r="AB2224" s="1"/>
      <c r="AC2224" s="1"/>
      <c r="AD2224" s="1"/>
      <c r="AE2224" s="1"/>
      <c r="AG2224" s="2" t="str">
        <f>"006112429X"</f>
        <v>006112429X</v>
      </c>
      <c r="AH2224" s="2" t="str">
        <f>"9780061124297"</f>
        <v>9780061124297</v>
      </c>
      <c r="AI2224" s="1">
        <v>0.0</v>
      </c>
      <c r="AJ2224" s="1">
        <v>4.08</v>
      </c>
      <c r="AK2224" s="1" t="s">
        <v>474</v>
      </c>
      <c r="AL2224" s="1" t="s">
        <v>28</v>
      </c>
      <c r="AM2224" s="1">
        <v>400.0</v>
      </c>
      <c r="AN2224" s="1">
        <v>2006.0</v>
      </c>
      <c r="AO2224" s="1">
        <v>2003.0</v>
      </c>
      <c r="AQ2224" s="3">
        <v>41341.0</v>
      </c>
      <c r="AR2224" s="1" t="s">
        <v>31</v>
      </c>
      <c r="AS2224" s="1" t="s">
        <v>9594</v>
      </c>
      <c r="AT2224" s="1" t="s">
        <v>31</v>
      </c>
      <c r="AX2224" s="1">
        <v>0.0</v>
      </c>
      <c r="AY2224" s="1">
        <v>0.0</v>
      </c>
    </row>
    <row r="2225" spans="20:51" ht="15.75" hidden="1">
      <c r="T2225" s="1">
        <v>2657.0</v>
      </c>
      <c r="U2225" s="1"/>
      <c r="V2225" s="1"/>
      <c r="W2225" s="1"/>
      <c r="X2225" s="1"/>
      <c r="Y2225" s="1" t="s">
        <v>4741</v>
      </c>
      <c r="Z2225" s="1" t="s">
        <v>4742</v>
      </c>
      <c r="AA2225" s="1" t="s">
        <v>4743</v>
      </c>
      <c r="AB2225" s="1"/>
      <c r="AC2225" s="1"/>
      <c r="AD2225" s="1"/>
      <c r="AE2225" s="1"/>
      <c r="AG2225" s="2" t="str">
        <f t="shared" si="180" ref="AG2225:AH2225">""</f>
        <v/>
      </c>
      <c r="AH2225" s="2" t="str">
        <f t="shared" si="180"/>
        <v/>
      </c>
      <c r="AI2225" s="1">
        <v>5.0</v>
      </c>
      <c r="AJ2225" s="1">
        <v>4.26</v>
      </c>
      <c r="AK2225" s="1" t="s">
        <v>1031</v>
      </c>
      <c r="AL2225" s="1" t="s">
        <v>28</v>
      </c>
      <c r="AM2225" s="1">
        <v>323.0</v>
      </c>
      <c r="AN2225" s="1">
        <v>2006.0</v>
      </c>
      <c r="AO2225" s="1">
        <v>1960.0</v>
      </c>
      <c r="AP2225" s="3">
        <v>41323.0</v>
      </c>
      <c r="AQ2225" s="3">
        <v>41310.0</v>
      </c>
      <c r="AT2225" s="1" t="s">
        <v>127</v>
      </c>
      <c r="AX2225" s="1">
        <v>1.0</v>
      </c>
      <c r="AY2225" s="1">
        <v>0.0</v>
      </c>
    </row>
    <row r="2226" spans="20:51" ht="15.75" hidden="1">
      <c r="T2226" s="1">
        <v>430560.0</v>
      </c>
      <c r="U2226" s="1"/>
      <c r="V2226" s="1"/>
      <c r="W2226" s="1"/>
      <c r="X2226" s="1"/>
      <c r="Y2226" s="1" t="s">
        <v>9595</v>
      </c>
      <c r="Z2226" s="1" t="s">
        <v>9596</v>
      </c>
      <c r="AA2226" s="1" t="s">
        <v>9597</v>
      </c>
      <c r="AB2226" s="1"/>
      <c r="AC2226" s="1"/>
      <c r="AD2226" s="1"/>
      <c r="AE2226" s="1"/>
      <c r="AF2226" s="1" t="s">
        <v>9598</v>
      </c>
      <c r="AG2226" s="2" t="str">
        <f>"0312190867"</f>
        <v>0312190867</v>
      </c>
      <c r="AH2226" s="2" t="str">
        <f>"9780312190866"</f>
        <v>9780312190866</v>
      </c>
      <c r="AI2226" s="1">
        <v>0.0</v>
      </c>
      <c r="AJ2226" s="1">
        <v>4.35</v>
      </c>
      <c r="AK2226" s="1" t="s">
        <v>1998</v>
      </c>
      <c r="AL2226" s="1" t="s">
        <v>41</v>
      </c>
      <c r="AM2226" s="1">
        <v>96.0</v>
      </c>
      <c r="AN2226" s="1">
        <v>1998.0</v>
      </c>
      <c r="AP2226" s="3">
        <v>41290.0</v>
      </c>
      <c r="AQ2226" s="4">
        <v>41266.0</v>
      </c>
      <c r="AT2226" s="1" t="s">
        <v>127</v>
      </c>
      <c r="AX2226" s="1">
        <v>1.0</v>
      </c>
      <c r="AY2226" s="1">
        <v>0.0</v>
      </c>
    </row>
    <row r="2227" spans="20:51" ht="15.75" hidden="1">
      <c r="T2227" s="1">
        <v>1.315551E7</v>
      </c>
      <c r="U2227" s="1"/>
      <c r="V2227" s="1"/>
      <c r="W2227" s="1"/>
      <c r="X2227" s="1"/>
      <c r="Y2227" s="1" t="s">
        <v>9599</v>
      </c>
      <c r="Z2227" s="1" t="s">
        <v>8007</v>
      </c>
      <c r="AA2227" s="1" t="s">
        <v>8008</v>
      </c>
      <c r="AB2227" s="1"/>
      <c r="AC2227" s="1"/>
      <c r="AD2227" s="1"/>
      <c r="AE2227" s="1"/>
      <c r="AF2227" s="1" t="s">
        <v>9600</v>
      </c>
      <c r="AG2227" s="2" t="str">
        <f>"1570617783"</f>
        <v>1570617783</v>
      </c>
      <c r="AH2227" s="2" t="str">
        <f>"9781570617782"</f>
        <v>9781570617782</v>
      </c>
      <c r="AI2227" s="1">
        <v>4.0</v>
      </c>
      <c r="AJ2227" s="1">
        <v>3.37</v>
      </c>
      <c r="AK2227" s="1" t="s">
        <v>9601</v>
      </c>
      <c r="AL2227" s="1" t="s">
        <v>28</v>
      </c>
      <c r="AM2227" s="1">
        <v>272.0</v>
      </c>
      <c r="AN2227" s="1">
        <v>2012.0</v>
      </c>
      <c r="AO2227" s="1">
        <v>2012.0</v>
      </c>
      <c r="AQ2227" s="3">
        <v>41280.0</v>
      </c>
      <c r="AT2227" s="1" t="s">
        <v>127</v>
      </c>
      <c r="AX2227" s="1">
        <v>1.0</v>
      </c>
      <c r="AY2227" s="1">
        <v>0.0</v>
      </c>
    </row>
    <row r="2228" spans="20:51" ht="15.75" hidden="1">
      <c r="T2228" s="1">
        <v>6753.0</v>
      </c>
      <c r="U2228" s="1"/>
      <c r="V2228" s="1"/>
      <c r="W2228" s="1"/>
      <c r="X2228" s="1"/>
      <c r="Y2228" s="1" t="s">
        <v>9602</v>
      </c>
      <c r="Z2228" s="1" t="s">
        <v>2296</v>
      </c>
      <c r="AA2228" s="1" t="s">
        <v>2297</v>
      </c>
      <c r="AB2228" s="1"/>
      <c r="AC2228" s="1"/>
      <c r="AD2228" s="1"/>
      <c r="AE2228" s="1"/>
      <c r="AG2228" s="2" t="str">
        <f>"034911188X"</f>
        <v>034911188X</v>
      </c>
      <c r="AH2228" s="2" t="str">
        <f>"9780349111889"</f>
        <v>9780349111889</v>
      </c>
      <c r="AI2228" s="1">
        <v>0.0</v>
      </c>
      <c r="AJ2228" s="1">
        <v>3.84</v>
      </c>
      <c r="AK2228" s="1" t="s">
        <v>1595</v>
      </c>
      <c r="AL2228" s="1" t="s">
        <v>28</v>
      </c>
      <c r="AM2228" s="1">
        <v>273.0</v>
      </c>
      <c r="AN2228" s="1">
        <v>2000.0</v>
      </c>
      <c r="AO2228" s="1">
        <v>1999.0</v>
      </c>
      <c r="AQ2228" s="4">
        <v>41268.0</v>
      </c>
      <c r="AR2228" s="1" t="s">
        <v>31</v>
      </c>
      <c r="AS2228" s="1" t="s">
        <v>9603</v>
      </c>
      <c r="AT2228" s="1" t="s">
        <v>31</v>
      </c>
      <c r="AX2228" s="1">
        <v>0.0</v>
      </c>
      <c r="AY2228" s="1">
        <v>0.0</v>
      </c>
    </row>
    <row r="2229" spans="20:51" ht="15.75" hidden="1">
      <c r="T2229" s="1">
        <v>8909.0</v>
      </c>
      <c r="U2229" s="1"/>
      <c r="V2229" s="1"/>
      <c r="W2229" s="1"/>
      <c r="X2229" s="1"/>
      <c r="Y2229" s="1" t="s">
        <v>9604</v>
      </c>
      <c r="Z2229" s="1" t="s">
        <v>4797</v>
      </c>
      <c r="AA2229" s="1" t="s">
        <v>4798</v>
      </c>
      <c r="AB2229" s="1"/>
      <c r="AC2229" s="1"/>
      <c r="AD2229" s="1"/>
      <c r="AE2229" s="1"/>
      <c r="AF2229" s="1" t="s">
        <v>9605</v>
      </c>
      <c r="AG2229" s="2" t="str">
        <f>"0375759239"</f>
        <v>0375759239</v>
      </c>
      <c r="AH2229" s="2" t="str">
        <f>"9780375759239"</f>
        <v>9780375759239</v>
      </c>
      <c r="AI2229" s="1">
        <v>0.0</v>
      </c>
      <c r="AJ2229" s="1">
        <v>3.83</v>
      </c>
      <c r="AK2229" s="1" t="s">
        <v>522</v>
      </c>
      <c r="AL2229" s="1" t="s">
        <v>28</v>
      </c>
      <c r="AM2229" s="1">
        <v>192.0</v>
      </c>
      <c r="AN2229" s="1">
        <v>2002.0</v>
      </c>
      <c r="AO2229" s="1">
        <v>1897.0</v>
      </c>
      <c r="AQ2229" s="4">
        <v>41231.0</v>
      </c>
      <c r="AR2229" s="1" t="s">
        <v>31</v>
      </c>
      <c r="AS2229" s="1" t="s">
        <v>9606</v>
      </c>
      <c r="AT2229" s="1" t="s">
        <v>31</v>
      </c>
      <c r="AX2229" s="1">
        <v>0.0</v>
      </c>
      <c r="AY2229" s="1">
        <v>0.0</v>
      </c>
    </row>
    <row r="2230" spans="20:51" ht="15.75" hidden="1">
      <c r="T2230" s="1">
        <v>1.354718E7</v>
      </c>
      <c r="U2230" s="1"/>
      <c r="V2230" s="1"/>
      <c r="W2230" s="1"/>
      <c r="X2230" s="1"/>
      <c r="Y2230" s="1" t="s">
        <v>9607</v>
      </c>
      <c r="Z2230" s="1" t="s">
        <v>9608</v>
      </c>
      <c r="AA2230" s="1" t="s">
        <v>9609</v>
      </c>
      <c r="AB2230" s="1"/>
      <c r="AC2230" s="1"/>
      <c r="AD2230" s="1"/>
      <c r="AE2230" s="1"/>
      <c r="AG2230" s="2" t="str">
        <f>"145162137X"</f>
        <v>145162137X</v>
      </c>
      <c r="AH2230" s="2" t="str">
        <f>"9781451621372"</f>
        <v>9781451621372</v>
      </c>
      <c r="AI2230" s="1">
        <v>0.0</v>
      </c>
      <c r="AJ2230" s="1">
        <v>4.08</v>
      </c>
      <c r="AK2230" s="1" t="s">
        <v>280</v>
      </c>
      <c r="AL2230" s="1" t="s">
        <v>41</v>
      </c>
      <c r="AM2230" s="1">
        <v>250.0</v>
      </c>
      <c r="AN2230" s="1">
        <v>2012.0</v>
      </c>
      <c r="AO2230" s="1">
        <v>2012.0</v>
      </c>
      <c r="AQ2230" s="4">
        <v>41231.0</v>
      </c>
      <c r="AR2230" s="1" t="s">
        <v>31</v>
      </c>
      <c r="AS2230" s="1" t="s">
        <v>9610</v>
      </c>
      <c r="AT2230" s="1" t="s">
        <v>31</v>
      </c>
      <c r="AX2230" s="1">
        <v>0.0</v>
      </c>
      <c r="AY2230" s="1">
        <v>0.0</v>
      </c>
    </row>
    <row r="2231" spans="20:51" ht="15.75" hidden="1">
      <c r="T2231" s="1">
        <v>65605.0</v>
      </c>
      <c r="U2231" s="1"/>
      <c r="V2231" s="1"/>
      <c r="W2231" s="1"/>
      <c r="X2231" s="1"/>
      <c r="Y2231" s="1" t="s">
        <v>9611</v>
      </c>
      <c r="Z2231" s="1" t="s">
        <v>1578</v>
      </c>
      <c r="AA2231" s="1" t="s">
        <v>1579</v>
      </c>
      <c r="AB2231" s="1"/>
      <c r="AC2231" s="1"/>
      <c r="AD2231" s="1"/>
      <c r="AE2231" s="1"/>
      <c r="AG2231" s="2" t="str">
        <f>"0060764902"</f>
        <v>0060764902</v>
      </c>
      <c r="AH2231" s="2" t="str">
        <f>"9780060764906"</f>
        <v>9780060764906</v>
      </c>
      <c r="AI2231" s="1">
        <v>5.0</v>
      </c>
      <c r="AJ2231" s="1">
        <v>4.05</v>
      </c>
      <c r="AK2231" s="1" t="s">
        <v>9612</v>
      </c>
      <c r="AL2231" s="1" t="s">
        <v>315</v>
      </c>
      <c r="AM2231" s="1">
        <v>221.0</v>
      </c>
      <c r="AN2231" s="1">
        <v>2005.0</v>
      </c>
      <c r="AO2231" s="1">
        <v>1955.0</v>
      </c>
      <c r="AQ2231" s="3">
        <v>41139.0</v>
      </c>
      <c r="AT2231" s="1" t="s">
        <v>127</v>
      </c>
      <c r="AX2231" s="1">
        <v>1.0</v>
      </c>
      <c r="AY2231" s="1">
        <v>0.0</v>
      </c>
    </row>
    <row r="2232" spans="20:51" ht="15.75" hidden="1">
      <c r="T2232" s="1">
        <v>1.0954979E7</v>
      </c>
      <c r="U2232" s="1"/>
      <c r="V2232" s="1"/>
      <c r="W2232" s="1"/>
      <c r="X2232" s="1"/>
      <c r="Y2232" s="1" t="s">
        <v>9613</v>
      </c>
      <c r="Z2232" s="1" t="s">
        <v>9614</v>
      </c>
      <c r="AA2232" s="1" t="s">
        <v>9615</v>
      </c>
      <c r="AB2232" s="1"/>
      <c r="AC2232" s="1"/>
      <c r="AD2232" s="1"/>
      <c r="AE2232" s="1"/>
      <c r="AG2232" s="2" t="str">
        <f>"0393064476"</f>
        <v>0393064476</v>
      </c>
      <c r="AH2232" s="2" t="str">
        <f>"9780393064476"</f>
        <v>9780393064476</v>
      </c>
      <c r="AI2232" s="1">
        <v>0.0</v>
      </c>
      <c r="AJ2232" s="1">
        <v>3.86</v>
      </c>
      <c r="AK2232" s="1" t="s">
        <v>113</v>
      </c>
      <c r="AL2232" s="1" t="s">
        <v>41</v>
      </c>
      <c r="AM2232" s="1">
        <v>356.0</v>
      </c>
      <c r="AN2232" s="1">
        <v>2011.0</v>
      </c>
      <c r="AO2232" s="1">
        <v>2011.0</v>
      </c>
      <c r="AQ2232" s="3">
        <v>41053.0</v>
      </c>
      <c r="AR2232" s="1" t="s">
        <v>31</v>
      </c>
      <c r="AS2232" s="1" t="s">
        <v>9616</v>
      </c>
      <c r="AT2232" s="1" t="s">
        <v>31</v>
      </c>
      <c r="AX2232" s="1">
        <v>0.0</v>
      </c>
      <c r="AY2232" s="1">
        <v>0.0</v>
      </c>
    </row>
    <row r="2233" spans="20:51" ht="15.75" hidden="1">
      <c r="T2233" s="1">
        <v>227265.0</v>
      </c>
      <c r="U2233" s="1"/>
      <c r="V2233" s="1"/>
      <c r="W2233" s="1"/>
      <c r="X2233" s="1"/>
      <c r="Y2233" s="1" t="s">
        <v>9617</v>
      </c>
      <c r="Z2233" s="1" t="s">
        <v>9618</v>
      </c>
      <c r="AA2233" s="1" t="s">
        <v>9619</v>
      </c>
      <c r="AB2233" s="1"/>
      <c r="AC2233" s="1"/>
      <c r="AD2233" s="1"/>
      <c r="AE2233" s="1"/>
      <c r="AG2233" s="2" t="str">
        <f>"0553375407"</f>
        <v>0553375407</v>
      </c>
      <c r="AH2233" s="2" t="str">
        <f>"9780553375404"</f>
        <v>9780553375404</v>
      </c>
      <c r="AI2233" s="1">
        <v>0.0</v>
      </c>
      <c r="AJ2233" s="1">
        <v>4.0</v>
      </c>
      <c r="AK2233" s="1" t="s">
        <v>1883</v>
      </c>
      <c r="AL2233" s="1" t="s">
        <v>28</v>
      </c>
      <c r="AM2233" s="1">
        <v>266.0</v>
      </c>
      <c r="AN2233" s="1">
        <v>1995.0</v>
      </c>
      <c r="AO2233" s="1">
        <v>1992.0</v>
      </c>
      <c r="AQ2233" s="3">
        <v>41053.0</v>
      </c>
      <c r="AR2233" s="1" t="s">
        <v>31</v>
      </c>
      <c r="AS2233" s="1" t="s">
        <v>9620</v>
      </c>
      <c r="AT2233" s="1" t="s">
        <v>31</v>
      </c>
      <c r="AX2233" s="1">
        <v>0.0</v>
      </c>
      <c r="AY2233" s="1">
        <v>0.0</v>
      </c>
    </row>
    <row r="2234" spans="20:51" ht="15.75" hidden="1">
      <c r="T2234" s="1">
        <v>1078.0</v>
      </c>
      <c r="U2234" s="1"/>
      <c r="V2234" s="1"/>
      <c r="W2234" s="1"/>
      <c r="X2234" s="1"/>
      <c r="Y2234" s="1" t="s">
        <v>9621</v>
      </c>
      <c r="Z2234" s="1" t="s">
        <v>9622</v>
      </c>
      <c r="AA2234" s="1" t="s">
        <v>9623</v>
      </c>
      <c r="AB2234" s="1"/>
      <c r="AC2234" s="1"/>
      <c r="AD2234" s="1"/>
      <c r="AE2234" s="1"/>
      <c r="AF2234" s="1" t="s">
        <v>9624</v>
      </c>
      <c r="AG2234" s="2" t="str">
        <f>"1416500189"</f>
        <v>1416500189</v>
      </c>
      <c r="AH2234" s="2" t="str">
        <f>"9781416500186"</f>
        <v>9781416500186</v>
      </c>
      <c r="AI2234" s="1">
        <v>0.0</v>
      </c>
      <c r="AJ2234" s="1">
        <v>4.0</v>
      </c>
      <c r="AK2234" s="1" t="s">
        <v>9625</v>
      </c>
      <c r="AL2234" s="1" t="s">
        <v>28</v>
      </c>
      <c r="AM2234" s="1">
        <v>418.0</v>
      </c>
      <c r="AN2234" s="1">
        <v>2005.0</v>
      </c>
      <c r="AO2234" s="1">
        <v>1931.0</v>
      </c>
      <c r="AQ2234" s="3">
        <v>41018.0</v>
      </c>
      <c r="AT2234" s="1" t="s">
        <v>127</v>
      </c>
      <c r="AX2234" s="1">
        <v>1.0</v>
      </c>
      <c r="AY2234" s="1">
        <v>0.0</v>
      </c>
    </row>
    <row r="2235" spans="20:51" ht="15.75" hidden="1">
      <c r="T2235" s="1">
        <v>9915.0</v>
      </c>
      <c r="U2235" s="1"/>
      <c r="V2235" s="1"/>
      <c r="W2235" s="1"/>
      <c r="X2235" s="1"/>
      <c r="Y2235" s="1" t="s">
        <v>3903</v>
      </c>
      <c r="Z2235" s="1" t="s">
        <v>3904</v>
      </c>
      <c r="AA2235" s="1" t="s">
        <v>3905</v>
      </c>
      <c r="AB2235" s="1"/>
      <c r="AC2235" s="1"/>
      <c r="AD2235" s="1"/>
      <c r="AE2235" s="1"/>
      <c r="AG2235" s="2" t="str">
        <f t="shared" si="181" ref="AG2235:AH2235">""</f>
        <v/>
      </c>
      <c r="AH2235" s="2" t="str">
        <f t="shared" si="181"/>
        <v/>
      </c>
      <c r="AI2235" s="1">
        <v>0.0</v>
      </c>
      <c r="AJ2235" s="1">
        <v>3.6</v>
      </c>
      <c r="AK2235" s="1" t="s">
        <v>263</v>
      </c>
      <c r="AL2235" s="1" t="s">
        <v>28</v>
      </c>
      <c r="AM2235" s="1">
        <v>208.0</v>
      </c>
      <c r="AN2235" s="1">
        <v>2010.0</v>
      </c>
      <c r="AO2235" s="1">
        <v>1985.0</v>
      </c>
      <c r="AQ2235" s="3">
        <v>40971.0</v>
      </c>
      <c r="AT2235" s="1" t="s">
        <v>127</v>
      </c>
      <c r="AX2235" s="1">
        <v>1.0</v>
      </c>
      <c r="AY2235" s="1">
        <v>0.0</v>
      </c>
    </row>
    <row r="2236" spans="20:51" ht="15.75" hidden="1">
      <c r="T2236" s="1">
        <v>17184.0</v>
      </c>
      <c r="U2236" s="1"/>
      <c r="V2236" s="1"/>
      <c r="W2236" s="1"/>
      <c r="X2236" s="1"/>
      <c r="Y2236" s="1" t="s">
        <v>9626</v>
      </c>
      <c r="Z2236" s="1" t="s">
        <v>4797</v>
      </c>
      <c r="AA2236" s="1" t="s">
        <v>4798</v>
      </c>
      <c r="AB2236" s="1"/>
      <c r="AC2236" s="1"/>
      <c r="AD2236" s="1"/>
      <c r="AE2236" s="1"/>
      <c r="AF2236" s="1" t="s">
        <v>9627</v>
      </c>
      <c r="AG2236" s="2" t="str">
        <f>"0451528522"</f>
        <v>0451528522</v>
      </c>
      <c r="AH2236" s="2" t="str">
        <f>"9780451528520"</f>
        <v>9780451528520</v>
      </c>
      <c r="AI2236" s="1">
        <v>0.0</v>
      </c>
      <c r="AJ2236" s="1">
        <v>3.64</v>
      </c>
      <c r="AK2236" s="1" t="s">
        <v>9628</v>
      </c>
      <c r="AL2236" s="1" t="s">
        <v>315</v>
      </c>
      <c r="AM2236" s="1">
        <v>192.0</v>
      </c>
      <c r="AN2236" s="1">
        <v>2002.0</v>
      </c>
      <c r="AO2236" s="1">
        <v>1897.0</v>
      </c>
      <c r="AQ2236" s="3">
        <v>40964.0</v>
      </c>
      <c r="AT2236" s="1" t="s">
        <v>127</v>
      </c>
      <c r="AX2236" s="1">
        <v>1.0</v>
      </c>
      <c r="AY2236" s="1">
        <v>0.0</v>
      </c>
    </row>
    <row r="2237" spans="20:51" ht="15.75" hidden="1">
      <c r="T2237" s="1">
        <v>774963.0</v>
      </c>
      <c r="U2237" s="1"/>
      <c r="V2237" s="1"/>
      <c r="W2237" s="1"/>
      <c r="X2237" s="1"/>
      <c r="Y2237" s="1" t="s">
        <v>9629</v>
      </c>
      <c r="Z2237" s="1" t="s">
        <v>9630</v>
      </c>
      <c r="AA2237" s="1" t="s">
        <v>9631</v>
      </c>
      <c r="AB2237" s="1"/>
      <c r="AC2237" s="1"/>
      <c r="AD2237" s="1"/>
      <c r="AE2237" s="1"/>
      <c r="AG2237" s="2" t="str">
        <f>"0393315819"</f>
        <v>0393315819</v>
      </c>
      <c r="AH2237" s="2" t="str">
        <f>"9780393315813"</f>
        <v>9780393315813</v>
      </c>
      <c r="AI2237" s="1">
        <v>0.0</v>
      </c>
      <c r="AJ2237" s="1">
        <v>3.6</v>
      </c>
      <c r="AK2237" s="1" t="s">
        <v>113</v>
      </c>
      <c r="AL2237" s="1" t="s">
        <v>28</v>
      </c>
      <c r="AM2237" s="1">
        <v>290.0</v>
      </c>
      <c r="AN2237" s="1">
        <v>1996.0</v>
      </c>
      <c r="AO2237" s="1">
        <v>1996.0</v>
      </c>
      <c r="AQ2237" s="3">
        <v>41035.0</v>
      </c>
      <c r="AR2237" s="1" t="s">
        <v>31</v>
      </c>
      <c r="AS2237" s="1" t="s">
        <v>9632</v>
      </c>
      <c r="AT2237" s="1" t="s">
        <v>31</v>
      </c>
      <c r="AX2237" s="1">
        <v>0.0</v>
      </c>
      <c r="AY2237" s="1">
        <v>0.0</v>
      </c>
    </row>
    <row r="2238" spans="20:51" ht="15.75" hidden="1">
      <c r="T2238" s="1">
        <v>23940.0</v>
      </c>
      <c r="U2238" s="1"/>
      <c r="V2238" s="1"/>
      <c r="W2238" s="1"/>
      <c r="X2238" s="1"/>
      <c r="Y2238" s="1" t="s">
        <v>9633</v>
      </c>
      <c r="Z2238" s="1" t="s">
        <v>4352</v>
      </c>
      <c r="AA2238" s="1" t="s">
        <v>4353</v>
      </c>
      <c r="AB2238" s="1"/>
      <c r="AC2238" s="1"/>
      <c r="AD2238" s="1"/>
      <c r="AE2238" s="1"/>
      <c r="AF2238" s="1" t="s">
        <v>9634</v>
      </c>
      <c r="AG2238" s="2" t="str">
        <f>"0142003166"</f>
        <v>0142003166</v>
      </c>
      <c r="AH2238" s="2" t="str">
        <f>"9780142003169"</f>
        <v>9780142003169</v>
      </c>
      <c r="AI2238" s="1">
        <v>0.0</v>
      </c>
      <c r="AJ2238" s="1">
        <v>3.85</v>
      </c>
      <c r="AK2238" s="1" t="s">
        <v>151</v>
      </c>
      <c r="AL2238" s="1" t="s">
        <v>28</v>
      </c>
      <c r="AM2238" s="1">
        <v>166.0</v>
      </c>
      <c r="AN2238" s="1">
        <v>2003.0</v>
      </c>
      <c r="AO2238" s="1">
        <v>1953.0</v>
      </c>
      <c r="AQ2238" s="3">
        <v>41035.0</v>
      </c>
      <c r="AR2238" s="1" t="s">
        <v>31</v>
      </c>
      <c r="AS2238" s="1" t="s">
        <v>9635</v>
      </c>
      <c r="AT2238" s="1" t="s">
        <v>31</v>
      </c>
      <c r="AX2238" s="1">
        <v>0.0</v>
      </c>
      <c r="AY2238" s="1">
        <v>0.0</v>
      </c>
    </row>
    <row r="2239" spans="20:51" ht="15.75" hidden="1">
      <c r="T2239" s="1">
        <v>29488.0</v>
      </c>
      <c r="U2239" s="1"/>
      <c r="V2239" s="1"/>
      <c r="W2239" s="1"/>
      <c r="X2239" s="1"/>
      <c r="Y2239" s="1" t="s">
        <v>9636</v>
      </c>
      <c r="Z2239" s="1" t="s">
        <v>9637</v>
      </c>
      <c r="AA2239" s="1" t="s">
        <v>9638</v>
      </c>
      <c r="AB2239" s="1"/>
      <c r="AC2239" s="1"/>
      <c r="AD2239" s="1"/>
      <c r="AE2239" s="1"/>
      <c r="AG2239" s="2" t="str">
        <f>"0345423879"</f>
        <v>0345423879</v>
      </c>
      <c r="AH2239" s="2" t="str">
        <f>"9780345423870"</f>
        <v>9780345423870</v>
      </c>
      <c r="AI2239" s="1">
        <v>0.0</v>
      </c>
      <c r="AJ2239" s="1">
        <v>4.12</v>
      </c>
      <c r="AK2239" s="1" t="s">
        <v>321</v>
      </c>
      <c r="AL2239" s="1" t="s">
        <v>28</v>
      </c>
      <c r="AM2239" s="1">
        <v>304.0</v>
      </c>
      <c r="AN2239" s="1">
        <v>1998.0</v>
      </c>
      <c r="AO2239" s="1">
        <v>1997.0</v>
      </c>
      <c r="AQ2239" s="3">
        <v>41035.0</v>
      </c>
      <c r="AR2239" s="1" t="s">
        <v>31</v>
      </c>
      <c r="AS2239" s="1" t="s">
        <v>9639</v>
      </c>
      <c r="AT2239" s="1" t="s">
        <v>31</v>
      </c>
      <c r="AX2239" s="1">
        <v>0.0</v>
      </c>
      <c r="AY2239" s="1">
        <v>0.0</v>
      </c>
    </row>
    <row r="2240" spans="20:51" ht="15.75" hidden="1">
      <c r="T2240" s="1">
        <v>1241.0</v>
      </c>
      <c r="U2240" s="1"/>
      <c r="V2240" s="1"/>
      <c r="W2240" s="1"/>
      <c r="X2240" s="1"/>
      <c r="Y2240" s="1" t="s">
        <v>9640</v>
      </c>
      <c r="Z2240" s="1" t="s">
        <v>9641</v>
      </c>
      <c r="AA2240" s="1" t="s">
        <v>9642</v>
      </c>
      <c r="AB2240" s="1"/>
      <c r="AC2240" s="1"/>
      <c r="AD2240" s="1"/>
      <c r="AE2240" s="1"/>
      <c r="AG2240" s="2" t="str">
        <f>"0307276902"</f>
        <v>0307276902</v>
      </c>
      <c r="AH2240" s="2" t="str">
        <f>"9780307276902"</f>
        <v>9780307276902</v>
      </c>
      <c r="AI2240" s="1">
        <v>0.0</v>
      </c>
      <c r="AJ2240" s="1">
        <v>3.68</v>
      </c>
      <c r="AK2240" s="1" t="s">
        <v>4553</v>
      </c>
      <c r="AL2240" s="1" t="s">
        <v>28</v>
      </c>
      <c r="AM2240" s="1">
        <v>515.0</v>
      </c>
      <c r="AN2240" s="1">
        <v>2005.0</v>
      </c>
      <c r="AO2240" s="1">
        <v>2003.0</v>
      </c>
      <c r="AQ2240" s="3">
        <v>41035.0</v>
      </c>
      <c r="AR2240" s="1" t="s">
        <v>31</v>
      </c>
      <c r="AS2240" s="1" t="s">
        <v>9643</v>
      </c>
      <c r="AT2240" s="1" t="s">
        <v>31</v>
      </c>
      <c r="AX2240" s="1">
        <v>0.0</v>
      </c>
      <c r="AY2240" s="1">
        <v>0.0</v>
      </c>
    </row>
    <row r="2241" spans="20:51" ht="15.75" hidden="1">
      <c r="T2241" s="1">
        <v>527869.0</v>
      </c>
      <c r="U2241" s="1"/>
      <c r="V2241" s="1"/>
      <c r="W2241" s="1"/>
      <c r="X2241" s="1"/>
      <c r="Y2241" s="1" t="s">
        <v>9644</v>
      </c>
      <c r="Z2241" s="1" t="s">
        <v>9630</v>
      </c>
      <c r="AA2241" s="1" t="s">
        <v>9631</v>
      </c>
      <c r="AB2241" s="1"/>
      <c r="AC2241" s="1"/>
      <c r="AD2241" s="1"/>
      <c r="AE2241" s="1"/>
      <c r="AG2241" s="2" t="str">
        <f>"0393314804"</f>
        <v>0393314804</v>
      </c>
      <c r="AH2241" s="2" t="str">
        <f>"9780393314809"</f>
        <v>9780393314809</v>
      </c>
      <c r="AI2241" s="1">
        <v>0.0</v>
      </c>
      <c r="AJ2241" s="1">
        <v>4.1</v>
      </c>
      <c r="AK2241" s="1" t="s">
        <v>113</v>
      </c>
      <c r="AL2241" s="1" t="s">
        <v>28</v>
      </c>
      <c r="AM2241" s="1">
        <v>349.0</v>
      </c>
      <c r="AN2241" s="1">
        <v>1996.0</v>
      </c>
      <c r="AO2241" s="1">
        <v>1993.0</v>
      </c>
      <c r="AQ2241" s="3">
        <v>41035.0</v>
      </c>
      <c r="AR2241" s="1" t="s">
        <v>31</v>
      </c>
      <c r="AS2241" s="1" t="s">
        <v>9645</v>
      </c>
      <c r="AT2241" s="1" t="s">
        <v>31</v>
      </c>
      <c r="AX2241" s="1">
        <v>0.0</v>
      </c>
      <c r="AY2241" s="1">
        <v>0.0</v>
      </c>
    </row>
    <row r="2242" spans="20:51" ht="15.75" hidden="1">
      <c r="T2242" s="1">
        <v>358725.0</v>
      </c>
      <c r="U2242" s="1"/>
      <c r="V2242" s="1"/>
      <c r="W2242" s="1"/>
      <c r="X2242" s="1"/>
      <c r="Y2242" s="1" t="s">
        <v>9646</v>
      </c>
      <c r="Z2242" s="1" t="s">
        <v>9647</v>
      </c>
      <c r="AA2242" s="1" t="s">
        <v>9648</v>
      </c>
      <c r="AB2242" s="1"/>
      <c r="AC2242" s="1"/>
      <c r="AD2242" s="1"/>
      <c r="AE2242" s="1"/>
      <c r="AG2242" s="2" t="str">
        <f>"1400066050"</f>
        <v>1400066050</v>
      </c>
      <c r="AH2242" s="2" t="str">
        <f>"9781400066056"</f>
        <v>9781400066056</v>
      </c>
      <c r="AI2242" s="1">
        <v>4.0</v>
      </c>
      <c r="AJ2242" s="1">
        <v>3.27</v>
      </c>
      <c r="AK2242" s="1" t="s">
        <v>988</v>
      </c>
      <c r="AL2242" s="1" t="s">
        <v>41</v>
      </c>
      <c r="AM2242" s="1">
        <v>240.0</v>
      </c>
      <c r="AN2242" s="1">
        <v>2007.0</v>
      </c>
      <c r="AO2242" s="1">
        <v>2007.0</v>
      </c>
      <c r="AP2242" s="3">
        <v>41021.0</v>
      </c>
      <c r="AQ2242" s="3">
        <v>41018.0</v>
      </c>
      <c r="AT2242" s="1" t="s">
        <v>127</v>
      </c>
      <c r="AX2242" s="1">
        <v>1.0</v>
      </c>
      <c r="AY2242" s="1">
        <v>0.0</v>
      </c>
    </row>
    <row r="2243" spans="20:51" ht="15.75" hidden="1">
      <c r="T2243" s="1">
        <v>52036.0</v>
      </c>
      <c r="U2243" s="1"/>
      <c r="V2243" s="1"/>
      <c r="W2243" s="1"/>
      <c r="X2243" s="1"/>
      <c r="Y2243" s="1" t="s">
        <v>9649</v>
      </c>
      <c r="Z2243" s="1" t="s">
        <v>8105</v>
      </c>
      <c r="AA2243" s="1" t="s">
        <v>8106</v>
      </c>
      <c r="AB2243" s="1"/>
      <c r="AC2243" s="1"/>
      <c r="AD2243" s="1"/>
      <c r="AE2243" s="1"/>
      <c r="AF2243" s="1" t="s">
        <v>9650</v>
      </c>
      <c r="AG2243" s="2" t="str">
        <f t="shared" si="182" ref="AG2243:AH2243">""</f>
        <v/>
      </c>
      <c r="AH2243" s="2" t="str">
        <f t="shared" si="182"/>
        <v/>
      </c>
      <c r="AI2243" s="1">
        <v>0.0</v>
      </c>
      <c r="AJ2243" s="1">
        <v>4.06</v>
      </c>
      <c r="AK2243" s="1" t="s">
        <v>1922</v>
      </c>
      <c r="AL2243" s="1" t="s">
        <v>315</v>
      </c>
      <c r="AM2243" s="1">
        <v>152.0</v>
      </c>
      <c r="AN2243" s="1">
        <v>1981.0</v>
      </c>
      <c r="AO2243" s="1">
        <v>1922.0</v>
      </c>
      <c r="AQ2243" s="3">
        <v>41020.0</v>
      </c>
      <c r="AR2243" s="1" t="s">
        <v>31</v>
      </c>
      <c r="AS2243" s="1" t="s">
        <v>9651</v>
      </c>
      <c r="AT2243" s="1" t="s">
        <v>31</v>
      </c>
      <c r="AX2243" s="1">
        <v>0.0</v>
      </c>
      <c r="AY2243" s="1">
        <v>0.0</v>
      </c>
    </row>
    <row r="2244" spans="20:51" ht="15.75" hidden="1">
      <c r="T2244" s="1">
        <v>16631.0</v>
      </c>
      <c r="U2244" s="1"/>
      <c r="V2244" s="1"/>
      <c r="W2244" s="1"/>
      <c r="X2244" s="1"/>
      <c r="Y2244" s="1" t="s">
        <v>9652</v>
      </c>
      <c r="Z2244" s="1" t="s">
        <v>8105</v>
      </c>
      <c r="AA2244" s="1" t="s">
        <v>8106</v>
      </c>
      <c r="AB2244" s="1"/>
      <c r="AC2244" s="1"/>
      <c r="AD2244" s="1"/>
      <c r="AE2244" s="1"/>
      <c r="AF2244" s="1" t="s">
        <v>9653</v>
      </c>
      <c r="AG2244" s="2" t="str">
        <f>"0140282580"</f>
        <v>0140282580</v>
      </c>
      <c r="AH2244" s="2" t="str">
        <f>"9780140282580"</f>
        <v>9780140282580</v>
      </c>
      <c r="AI2244" s="1">
        <v>0.0</v>
      </c>
      <c r="AJ2244" s="1">
        <v>4.13</v>
      </c>
      <c r="AK2244" s="1" t="s">
        <v>151</v>
      </c>
      <c r="AL2244" s="1" t="s">
        <v>28</v>
      </c>
      <c r="AM2244" s="1">
        <v>256.0</v>
      </c>
      <c r="AN2244" s="1">
        <v>1999.0</v>
      </c>
      <c r="AO2244" s="1">
        <v>1927.0</v>
      </c>
      <c r="AQ2244" s="3">
        <v>41020.0</v>
      </c>
      <c r="AR2244" s="1" t="s">
        <v>31</v>
      </c>
      <c r="AS2244" s="1" t="s">
        <v>9654</v>
      </c>
      <c r="AT2244" s="1" t="s">
        <v>31</v>
      </c>
      <c r="AX2244" s="1">
        <v>0.0</v>
      </c>
      <c r="AY2244" s="1">
        <v>0.0</v>
      </c>
    </row>
    <row r="2245" spans="20:51" ht="15.75" hidden="1">
      <c r="T2245" s="1">
        <v>7745.0</v>
      </c>
      <c r="U2245" s="1"/>
      <c r="V2245" s="1"/>
      <c r="W2245" s="1"/>
      <c r="X2245" s="1"/>
      <c r="Y2245" s="1" t="s">
        <v>9655</v>
      </c>
      <c r="Z2245" s="1" t="s">
        <v>9656</v>
      </c>
      <c r="AA2245" s="1" t="s">
        <v>9657</v>
      </c>
      <c r="AB2245" s="1"/>
      <c r="AC2245" s="1"/>
      <c r="AD2245" s="1"/>
      <c r="AE2245" s="1"/>
      <c r="AF2245" s="1" t="s">
        <v>9658</v>
      </c>
      <c r="AG2245" s="2" t="str">
        <f>"0679785892"</f>
        <v>0679785892</v>
      </c>
      <c r="AH2245" s="2" t="str">
        <f>"9780679785897"</f>
        <v>9780679785897</v>
      </c>
      <c r="AI2245" s="1">
        <v>0.0</v>
      </c>
      <c r="AJ2245" s="1">
        <v>4.07</v>
      </c>
      <c r="AK2245" s="1" t="s">
        <v>263</v>
      </c>
      <c r="AL2245" s="1" t="s">
        <v>28</v>
      </c>
      <c r="AM2245" s="1">
        <v>204.0</v>
      </c>
      <c r="AN2245" s="1">
        <v>1998.0</v>
      </c>
      <c r="AO2245" s="1">
        <v>1971.0</v>
      </c>
      <c r="AQ2245" s="3">
        <v>41020.0</v>
      </c>
      <c r="AR2245" s="1" t="s">
        <v>31</v>
      </c>
      <c r="AS2245" s="1" t="s">
        <v>9659</v>
      </c>
      <c r="AT2245" s="1" t="s">
        <v>31</v>
      </c>
      <c r="AX2245" s="1">
        <v>0.0</v>
      </c>
      <c r="AY2245" s="1">
        <v>0.0</v>
      </c>
    </row>
    <row r="2246" spans="20:51" ht="15.75" hidden="1">
      <c r="T2246" s="1">
        <v>128453.0</v>
      </c>
      <c r="U2246" s="1"/>
      <c r="V2246" s="1"/>
      <c r="W2246" s="1"/>
      <c r="X2246" s="1"/>
      <c r="Y2246" s="1" t="s">
        <v>9660</v>
      </c>
      <c r="Z2246" s="1" t="s">
        <v>7656</v>
      </c>
      <c r="AA2246" s="1" t="s">
        <v>7657</v>
      </c>
      <c r="AB2246" s="1"/>
      <c r="AC2246" s="1"/>
      <c r="AD2246" s="1"/>
      <c r="AE2246" s="1"/>
      <c r="AF2246" s="1" t="s">
        <v>9661</v>
      </c>
      <c r="AG2246" s="2" t="str">
        <f>"0060955503"</f>
        <v>0060955503</v>
      </c>
      <c r="AH2246" s="2" t="str">
        <f>"9780060955502"</f>
        <v>9780060955502</v>
      </c>
      <c r="AI2246" s="1">
        <v>0.0</v>
      </c>
      <c r="AJ2246" s="1">
        <v>4.41</v>
      </c>
      <c r="AK2246" s="1" t="s">
        <v>9662</v>
      </c>
      <c r="AL2246" s="1" t="s">
        <v>28</v>
      </c>
      <c r="AM2246" s="1">
        <v>384.0</v>
      </c>
      <c r="AN2246" s="1">
        <v>2000.0</v>
      </c>
      <c r="AO2246" s="1">
        <v>1870.0</v>
      </c>
      <c r="AQ2246" s="3">
        <v>41020.0</v>
      </c>
      <c r="AR2246" s="1" t="s">
        <v>31</v>
      </c>
      <c r="AS2246" s="1" t="s">
        <v>9663</v>
      </c>
      <c r="AT2246" s="1" t="s">
        <v>31</v>
      </c>
      <c r="AX2246" s="1">
        <v>0.0</v>
      </c>
      <c r="AY2246" s="1">
        <v>0.0</v>
      </c>
    </row>
    <row r="2247" spans="20:51" ht="15.75" hidden="1">
      <c r="T2247" s="1">
        <v>22628.0</v>
      </c>
      <c r="U2247" s="1"/>
      <c r="V2247" s="1"/>
      <c r="W2247" s="1"/>
      <c r="X2247" s="1"/>
      <c r="Y2247" s="1" t="s">
        <v>4525</v>
      </c>
      <c r="Z2247" s="1" t="s">
        <v>4526</v>
      </c>
      <c r="AA2247" s="1" t="s">
        <v>4527</v>
      </c>
      <c r="AB2247" s="1"/>
      <c r="AC2247" s="1"/>
      <c r="AD2247" s="1"/>
      <c r="AE2247" s="1"/>
      <c r="AG2247" s="2" t="str">
        <f t="shared" si="183" ref="AG2247:AH2247">""</f>
        <v/>
      </c>
      <c r="AH2247" s="2" t="str">
        <f t="shared" si="183"/>
        <v/>
      </c>
      <c r="AI2247" s="1">
        <v>5.0</v>
      </c>
      <c r="AJ2247" s="1">
        <v>4.23</v>
      </c>
      <c r="AK2247" s="1" t="s">
        <v>4528</v>
      </c>
      <c r="AL2247" s="1" t="s">
        <v>28</v>
      </c>
      <c r="AM2247" s="1">
        <v>213.0</v>
      </c>
      <c r="AN2247" s="1">
        <v>1999.0</v>
      </c>
      <c r="AO2247" s="1">
        <v>1999.0</v>
      </c>
      <c r="AP2247" s="3">
        <v>40981.0</v>
      </c>
      <c r="AQ2247" s="4">
        <v>40894.0</v>
      </c>
      <c r="AT2247" s="1" t="s">
        <v>127</v>
      </c>
      <c r="AX2247" s="1">
        <v>1.0</v>
      </c>
      <c r="AY2247" s="1">
        <v>0.0</v>
      </c>
    </row>
    <row r="2248" spans="20:51" ht="15.75" hidden="1">
      <c r="T2248" s="1">
        <v>2493.0</v>
      </c>
      <c r="U2248" s="1"/>
      <c r="V2248" s="1"/>
      <c r="W2248" s="1"/>
      <c r="X2248" s="1"/>
      <c r="Y2248" s="1" t="s">
        <v>9664</v>
      </c>
      <c r="Z2248" s="1" t="s">
        <v>4797</v>
      </c>
      <c r="AA2248" s="1" t="s">
        <v>4798</v>
      </c>
      <c r="AB2248" s="1"/>
      <c r="AC2248" s="1"/>
      <c r="AD2248" s="1"/>
      <c r="AE2248" s="1"/>
      <c r="AF2248" s="1" t="s">
        <v>9665</v>
      </c>
      <c r="AG2248" s="2" t="str">
        <f t="shared" si="184" ref="AG2248:AH2248">""</f>
        <v/>
      </c>
      <c r="AH2248" s="2" t="str">
        <f t="shared" si="184"/>
        <v/>
      </c>
      <c r="AI2248" s="1">
        <v>5.0</v>
      </c>
      <c r="AJ2248" s="1">
        <v>3.9</v>
      </c>
      <c r="AK2248" s="1" t="s">
        <v>9666</v>
      </c>
      <c r="AL2248" s="1" t="s">
        <v>28</v>
      </c>
      <c r="AM2248" s="1">
        <v>118.0</v>
      </c>
      <c r="AN2248" s="1">
        <v>2002.0</v>
      </c>
      <c r="AO2248" s="1">
        <v>1895.0</v>
      </c>
      <c r="AP2248" s="3">
        <v>40964.0</v>
      </c>
      <c r="AQ2248" s="3">
        <v>40952.0</v>
      </c>
      <c r="AT2248" s="1" t="s">
        <v>127</v>
      </c>
      <c r="AX2248" s="1">
        <v>1.0</v>
      </c>
      <c r="AY2248" s="1">
        <v>0.0</v>
      </c>
    </row>
    <row r="2249" spans="20:51" ht="15.75" hidden="1">
      <c r="T2249" s="1">
        <v>2813153.0</v>
      </c>
      <c r="U2249" s="1"/>
      <c r="V2249" s="1"/>
      <c r="W2249" s="1"/>
      <c r="X2249" s="1"/>
      <c r="Y2249" s="1" t="s">
        <v>9667</v>
      </c>
      <c r="Z2249" s="1" t="s">
        <v>9668</v>
      </c>
      <c r="AA2249" s="1" t="s">
        <v>9669</v>
      </c>
      <c r="AB2249" s="1"/>
      <c r="AC2249" s="1"/>
      <c r="AD2249" s="1"/>
      <c r="AE2249" s="1"/>
      <c r="AG2249" s="2" t="str">
        <f>"159514188X"</f>
        <v>159514188X</v>
      </c>
      <c r="AH2249" s="2" t="str">
        <f>"9781595141880"</f>
        <v>9781595141880</v>
      </c>
      <c r="AI2249" s="1">
        <v>5.0</v>
      </c>
      <c r="AJ2249" s="1">
        <v>3.85</v>
      </c>
      <c r="AK2249" s="1" t="s">
        <v>9670</v>
      </c>
      <c r="AL2249" s="1" t="s">
        <v>28</v>
      </c>
      <c r="AM2249" s="1">
        <v>288.0</v>
      </c>
      <c r="AN2249" s="1">
        <v>2011.0</v>
      </c>
      <c r="AO2249" s="1">
        <v>2007.0</v>
      </c>
      <c r="AP2249" s="3">
        <v>40915.0</v>
      </c>
      <c r="AQ2249" s="4">
        <v>40894.0</v>
      </c>
      <c r="AT2249" s="1" t="s">
        <v>127</v>
      </c>
      <c r="AX2249" s="1">
        <v>1.0</v>
      </c>
      <c r="AY2249" s="1">
        <v>0.0</v>
      </c>
    </row>
  </sheetData>
  <autoFilter ref="T1:AY2249">
    <filterColumn colId="24">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AK174" r:id="rId1" display="Olympiapress.com"/>
    <hyperlink ref="AK626" r:id="rId2" display="e-reads.com"/>
    <hyperlink ref="AK929" r:id="rId3" display="YogaVidya.com"/>
    <hyperlink ref="AK1282" r:id="rId4"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22124e-eedf-4460-8aa6-5f70f69680c3}">
  <dimension ref="A1:D5"/>
  <sheetViews>
    <sheetView workbookViewId="0" topLeftCell="A1"/>
  </sheetViews>
  <sheetFormatPr defaultRowHeight="12.75"/>
  <sheetData>
    <row r="1" spans="1:3" ht="12.75"/>
    <row r="5" spans="4:4" ht="23.25" customHeight="1">
      <c r="D5" s="8" t="s">
        <v>9671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11cbde7-b7c1-4f53-9b65-af35a6045a75}">
  <dimension ref="A5"/>
  <sheetViews>
    <sheetView workbookViewId="0" topLeftCell="A1"/>
  </sheetViews>
  <sheetFormatPr defaultRowHeight="12.75"/>
  <sheetData>
    <row r="5" spans="1:1" ht="23.25" customHeight="1">
      <c r="A5" s="9" t="s">
        <v>9671</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e8cc855-622b-4c3d-885e-757636d07194}">
  <dimension ref="A5"/>
  <sheetViews>
    <sheetView workbookViewId="0" topLeftCell="A1"/>
  </sheetViews>
  <sheetFormatPr defaultRowHeight="12.75"/>
  <sheetData>
    <row r="5" spans="1:1" ht="23.25" customHeight="1">
      <c r="A5" s="10" t="s">
        <v>9671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8f61efd-4118-453b-a1fe-15e017d5d08b}">
  <dimension ref="A5"/>
  <sheetViews>
    <sheetView workbookViewId="0" topLeftCell="A1"/>
  </sheetViews>
  <sheetFormatPr defaultRowHeight="12.75"/>
  <sheetData>
    <row r="5" spans="1:1" ht="23.25" customHeight="1">
      <c r="A5" s="11" t="s">
        <v>9671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bf8a48e-7c29-41be-b13f-cd8092f2e8bb}">
  <dimension ref="A5"/>
  <sheetViews>
    <sheetView tabSelected="1" workbookViewId="0" topLeftCell="A1"/>
  </sheetViews>
  <sheetFormatPr defaultRowHeight="12.75"/>
  <sheetData>
    <row r="5" spans="1:1" ht="23.25" customHeight="1">
      <c r="A5" s="12" t="s">
        <v>9671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6</vt:i4>
      </vt:variant>
    </vt:vector>
  </HeadingPairs>
  <TitlesOfParts>
    <vt:vector size="6" baseType="lpstr">
      <vt:lpstr>goodreads_library_export (7)</vt:lpstr>
      <vt:lpstr>Evaluation Warning</vt:lpstr>
      <vt:lpstr>Evaluation Warning (1)</vt:lpstr>
      <vt:lpstr>Evaluation Warning (2)</vt:lpstr>
      <vt:lpstr>Evaluation Warning (3)</vt:lpstr>
      <vt:lpstr>Evaluation Warning (4)</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