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MAIN_TEST_DATA"/>
    <sheet r:id="rId2" sheetId="2" name="Evaluation Warning"/>
  </sheets>
  <definedNames>
    <definedName name="_xlnm._FilterDatabase" localSheetId="0">MAIN_TEST_DATA!$A$1:$BE$2249</definedName>
  </definedNames>
  <calcPr fullCalcOnLoad="1"/>
</workbook>
</file>

<file path=xl/sharedStrings.xml><?xml version="1.0" encoding="utf-8"?>
<sst xmlns="http://schemas.openxmlformats.org/spreadsheetml/2006/main" count="18714" uniqueCount="9698">
  <si>
    <t>Evaluation Only. Created with Aspose.Cells for Java.Copyright 2003 - 2021 Aspose Pty Ltd.</t>
  </si>
  <si>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</si>
  <si>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</si>
  <si>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</si>
  <si>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</si>
  <si>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</si>
  <si>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</si>
  <si>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</si>
  <si>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</si>
  <si>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</si>
  <si>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</si>
  <si>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</si>
  <si>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</si>
  <si>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</si>
  <si>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</si>
  <si>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</si>
  <si>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</si>
  <si>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0</t>
  </si>
  <si>
    <t>9-art</t>
  </si>
  <si>
    <t>9-favorites</t>
  </si>
  <si>
    <t>9-queer-gender-etc</t>
  </si>
  <si>
    <t>9-tech</t>
  </si>
  <si>
    <t>9-tech-photography</t>
  </si>
  <si>
    <t>Bookshelves</t>
  </si>
  <si>
    <t>currently-reading</t>
  </si>
  <si>
    <t>greeks-romans-etc</t>
  </si>
  <si>
    <t>mythology</t>
  </si>
  <si>
    <t>nonfiction</t>
  </si>
  <si>
    <t>nonfiction-bio-etc</t>
  </si>
  <si>
    <t>nonfiction-essays</t>
  </si>
  <si>
    <t>nonfiction-history</t>
  </si>
  <si>
    <t>nonfiction-psychology</t>
  </si>
  <si>
    <t>novels</t>
  </si>
  <si>
    <t>philosophy</t>
  </si>
  <si>
    <t>plays</t>
  </si>
  <si>
    <t>poetry</t>
  </si>
  <si>
    <t>short-stories</t>
  </si>
  <si>
    <t>tarot</t>
  </si>
  <si>
    <t>to-read</t>
  </si>
  <si>
    <t>z-2023</t>
  </si>
  <si>
    <t>z-awards-man-booker-prize-winners</t>
  </si>
  <si>
    <t>z-biblio-noonday-demon</t>
  </si>
  <si>
    <t>z-books-about-books</t>
  </si>
  <si>
    <t>z-books-about-labyrinths</t>
  </si>
  <si>
    <t>z-books-about-pain</t>
  </si>
  <si>
    <t>z-books-about-war</t>
  </si>
  <si>
    <t>z-books-from-twitter</t>
  </si>
  <si>
    <t>z-dictionaries-and-encyclopedias</t>
  </si>
  <si>
    <t>z-fuck-this-book</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</si>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</sst>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m d yy"/>
    <numFmt numFmtId="165" formatCode="yyyy/mm/dd"/>
    <numFmt numFmtId="166" formatCode="yyyy/m/d"/>
  </numFmts>
  <fonts count="6" x14ac:knownFonts="1">
    <font>
      <sz val="11"/>
      <color theme="1"/>
      <name val="Calibri"/>
      <family val="2"/>
      <scheme val="minor"/>
    </font>
    <font>
      <b/>
      <i/>
      <sz val="18"/>
      <color rgb="FF0000ff"/>
      <name val="Arial"/>
      <family val="2"/>
    </font>
    <font>
      <sz val="10"/>
      <color rgb="FF000000"/>
      <name val="Arial"/>
      <family val="2"/>
    </font>
    <font>
      <sz val="10"/>
      <color rgb="FF000000"/>
      <name val="Courier New"/>
      <family val="2"/>
    </font>
    <font>
      <sz val="11"/>
      <color theme="1"/>
      <name val="Calibri"/>
      <family val="2"/>
    </font>
    <font>
      <u/>
      <sz val="10"/>
      <color rgb="FF0000ff"/>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7">
    <xf xfId="0" numFmtId="0" borderId="0" fontId="0" fillId="0"/>
    <xf xfId="0" numFmtId="0" borderId="0" fontId="0" fillId="0" applyAlignment="1">
      <alignment horizontal="left"/>
    </xf>
    <xf xfId="0" numFmtId="0" borderId="1" applyBorder="1" fontId="1" applyFont="1" fillId="0" applyAlignment="1">
      <alignment horizontal="left"/>
    </xf>
    <xf xfId="0" numFmtId="0" borderId="0" fontId="0" fillId="0" applyAlignment="1">
      <alignment horizontal="left"/>
    </xf>
    <xf xfId="0" numFmtId="3" applyNumberFormat="1" borderId="1" applyBorder="1" fontId="2" applyFont="1" fillId="0" applyAlignment="1">
      <alignment horizontal="left"/>
    </xf>
    <xf xfId="0" numFmtId="0" borderId="1" applyBorder="1" fontId="2" applyFont="1" fillId="0" applyAlignment="1">
      <alignment horizontal="left"/>
    </xf>
    <xf xfId="0" numFmtId="4" applyNumberFormat="1" borderId="1" applyBorder="1" fontId="2" applyFont="1" fillId="0" applyAlignment="1">
      <alignment horizontal="left"/>
    </xf>
    <xf xfId="0" numFmtId="164" applyNumberFormat="1" borderId="1" applyBorder="1" fontId="2" applyFont="1" fillId="0" applyAlignment="1">
      <alignment horizontal="left"/>
    </xf>
    <xf xfId="0" numFmtId="165" applyNumberFormat="1" borderId="1" applyBorder="1" fontId="2" applyFont="1" fillId="0" applyAlignment="1">
      <alignment horizontal="left"/>
    </xf>
    <xf xfId="0" numFmtId="166" applyNumberFormat="1" borderId="1" applyBorder="1" fontId="2" applyFont="1" fillId="0" applyAlignment="1">
      <alignment horizontal="left"/>
    </xf>
    <xf xfId="0" numFmtId="0" borderId="1" applyBorder="1" fontId="3" applyFont="1" fillId="0" applyAlignment="1">
      <alignment horizontal="left"/>
    </xf>
    <xf xfId="0" numFmtId="3" applyNumberFormat="1" borderId="1" applyBorder="1" fontId="2" applyFont="1" fillId="0" applyAlignment="1">
      <alignment horizontal="right"/>
    </xf>
    <xf xfId="0" numFmtId="0" borderId="0" fontId="0" fillId="0" applyAlignment="1">
      <alignment horizontal="general"/>
    </xf>
    <xf xfId="0" numFmtId="0" borderId="1" applyBorder="1" fontId="2" applyFont="1" fillId="0" applyAlignment="1">
      <alignment horizontal="left"/>
    </xf>
    <xf xfId="0" numFmtId="4" applyNumberFormat="1" borderId="1" applyBorder="1" fontId="2" applyFont="1" fillId="0" applyAlignment="1">
      <alignment horizontal="right"/>
    </xf>
    <xf xfId="0" numFmtId="165" applyNumberFormat="1" borderId="1" applyBorder="1" fontId="4" applyFont="1" fillId="0" applyAlignment="1">
      <alignment horizontal="left"/>
    </xf>
    <xf xfId="0" numFmtId="3" applyNumberFormat="1" borderId="1" applyBorder="1" fontId="4" applyFont="1" fillId="0" applyAlignment="1">
      <alignment horizontal="right"/>
    </xf>
    <xf xfId="0" numFmtId="164" applyNumberFormat="1" borderId="1" applyBorder="1" fontId="5" applyFont="1" fillId="0" applyAlignment="1">
      <alignment horizontal="left"/>
    </xf>
    <xf xfId="0" numFmtId="164" applyNumberFormat="1" borderId="1" applyBorder="1" fontId="4" applyFont="1" fillId="0" applyAlignment="1">
      <alignment horizontal="left"/>
    </xf>
    <xf xfId="0" numFmtId="3" applyNumberFormat="1" borderId="0" fontId="0" fillId="0" applyAlignment="1">
      <alignment horizontal="right"/>
    </xf>
    <xf xfId="0" numFmtId="3" applyNumberFormat="1" borderId="0" fontId="0" fillId="0" applyAlignment="1">
      <alignment horizontal="left"/>
    </xf>
    <xf xfId="0" numFmtId="0" borderId="0" fontId="0" fillId="0" applyAlignment="1">
      <alignment horizontal="general"/>
    </xf>
    <xf xfId="0" numFmtId="4" applyNumberFormat="1" borderId="0" fontId="0" fillId="0" applyAlignment="1">
      <alignment horizontal="right"/>
    </xf>
    <xf xfId="0" numFmtId="164" applyNumberFormat="1" borderId="0" fontId="0" fillId="0" applyAlignment="1">
      <alignment horizontal="left"/>
    </xf>
    <xf xfId="0" numFmtId="165" applyNumberFormat="1" borderId="0" fontId="0" fillId="0" applyAlignment="1">
      <alignment horizontal="left"/>
    </xf>
    <xf xfId="0" numFmtId="166" applyNumberFormat="1" borderId="0" fontId="0" fillId="0" applyAlignment="1">
      <alignment horizontal="lef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E2249"/>
  <sheetViews>
    <sheetView workbookViewId="0" tabSelected="1"/>
  </sheetViews>
  <sheetFormatPr defaultRowHeight="15" x14ac:dyDescent="0.25"/>
  <cols>
    <col min="1" max="1" style="19" width="12.43357142857143" customWidth="1" bestFit="1"/>
    <col min="2" max="2" style="20" width="12.43357142857143" customWidth="1" bestFit="1"/>
    <col min="3" max="3" style="3" width="12.43357142857143" customWidth="1" bestFit="1"/>
    <col min="4" max="4" style="3" width="12.43357142857143" customWidth="1" bestFit="1"/>
    <col min="5" max="5" style="21" width="12.43357142857143" customWidth="1" bestFit="1"/>
    <col min="6" max="6" style="3" width="12.43357142857143" customWidth="1" bestFit="1"/>
    <col min="7" max="7" style="3" width="12.43357142857143" customWidth="1" bestFit="1"/>
    <col min="8" max="8" style="19" width="12.43357142857143" customWidth="1" bestFit="1"/>
    <col min="9" max="9" style="22" width="12.43357142857143" customWidth="1" bestFit="1"/>
    <col min="10" max="10" style="23" width="12.43357142857143" customWidth="1" bestFit="1"/>
    <col min="11" max="11" style="3" width="12.43357142857143" customWidth="1" bestFit="1"/>
    <col min="12" max="12" style="19" width="12.43357142857143" customWidth="1" bestFit="1"/>
    <col min="13" max="13" style="19" width="12.43357142857143" customWidth="1" bestFit="1"/>
    <col min="14" max="14" style="19" width="12.43357142857143" customWidth="1" bestFit="1"/>
    <col min="15" max="15" style="24" width="12.43357142857143" customWidth="1" bestFit="1"/>
    <col min="16" max="16" style="25" width="12.43357142857143" customWidth="1" bestFit="1"/>
    <col min="17" max="17" style="3" width="12.43357142857143" customWidth="1" bestFit="1"/>
    <col min="18" max="18" style="3" width="12.43357142857143" customWidth="1" bestFit="1"/>
    <col min="19" max="19" style="3" width="12.43357142857143" customWidth="1" bestFit="1"/>
    <col min="20" max="20" style="3" width="12.43357142857143" customWidth="1" bestFit="1"/>
    <col min="21" max="21" style="3" width="12.43357142857143" customWidth="1" bestFit="1"/>
    <col min="22" max="22" style="3" width="12.43357142857143" customWidth="1" bestFit="1"/>
    <col min="23" max="23" style="3" width="12.43357142857143" customWidth="1" bestFit="1"/>
    <col min="24" max="24" style="3" width="12.43357142857143" customWidth="1" bestFit="1"/>
    <col min="25" max="25" style="3" width="12.43357142857143" customWidth="1" bestFit="1"/>
    <col min="26" max="26" style="3" width="12.43357142857143" customWidth="1" bestFit="1"/>
    <col min="27" max="27" style="3" width="12.43357142857143" customWidth="1" bestFit="1"/>
    <col min="28" max="28" style="3" width="12.43357142857143" customWidth="1" bestFit="1"/>
    <col min="29" max="29" style="3" width="12.43357142857143" customWidth="1" bestFit="1"/>
    <col min="30" max="30" style="3" width="12.43357142857143" customWidth="1" bestFit="1"/>
    <col min="31" max="31" style="3" width="12.43357142857143" customWidth="1" bestFit="1"/>
    <col min="32" max="32" style="3" width="12.43357142857143" customWidth="1" bestFit="1"/>
    <col min="33" max="33" style="3" width="12.43357142857143" customWidth="1" bestFit="1"/>
    <col min="34" max="34" style="3" width="12.43357142857143" customWidth="1" bestFit="1"/>
    <col min="35" max="35" style="3" width="12.43357142857143" customWidth="1" bestFit="1"/>
    <col min="36" max="36" style="3" width="12.43357142857143" customWidth="1" bestFit="1"/>
    <col min="37" max="37" style="3" width="12.43357142857143" customWidth="1" bestFit="1"/>
    <col min="38" max="38" style="3" width="12.43357142857143" customWidth="1" bestFit="1"/>
    <col min="39" max="39" style="3" width="12.43357142857143" customWidth="1" bestFit="1"/>
    <col min="40" max="40" style="3" width="12.43357142857143" customWidth="1" bestFit="1"/>
    <col min="41" max="41" style="3" width="12.43357142857143" customWidth="1" bestFit="1"/>
    <col min="42" max="42" style="3" width="12.43357142857143" customWidth="1" bestFit="1"/>
    <col min="43" max="43" style="3" width="12.43357142857143" customWidth="1" bestFit="1"/>
    <col min="44" max="44" style="3" width="12.43357142857143" customWidth="1" bestFit="1"/>
    <col min="45" max="45" style="3" width="12.43357142857143" customWidth="1" bestFit="1"/>
    <col min="46" max="46" style="3" width="12.43357142857143" customWidth="1" bestFit="1"/>
    <col min="47" max="47" style="3" width="12.43357142857143" customWidth="1" bestFit="1"/>
    <col min="48" max="48" style="3" width="12.43357142857143" customWidth="1" bestFit="1"/>
    <col min="49" max="49" style="3" width="12.43357142857143" customWidth="1" bestFit="1"/>
    <col min="50" max="50" style="26" width="50.005" customWidth="1" bestFit="1"/>
    <col min="51" max="51" style="21" width="12.43357142857143" customWidth="1" bestFit="1"/>
    <col min="52" max="52" style="3" width="12.43357142857143" customWidth="1" bestFit="1"/>
    <col min="53" max="53" style="21" width="12.43357142857143" customWidth="1" bestFit="1"/>
    <col min="54" max="54" style="21" width="12.43357142857143" customWidth="1" bestFit="1"/>
    <col min="55" max="55" style="21" width="12.43357142857143" customWidth="1" bestFit="1"/>
    <col min="56" max="56" style="19" width="12.43357142857143" customWidth="1" bestFit="1"/>
    <col min="57" max="57" style="19" width="12.43357142857143" customWidth="1" bestFit="1"/>
  </cols>
  <sheetData>
    <row x14ac:dyDescent="0.25" r="1" customHeight="1" ht="18">
      <c r="A1" s="4" t="s">
        <v>1</v>
      </c>
      <c r="B1" s="4" t="s">
        <v>2</v>
      </c>
      <c r="C1" s="5" t="s">
        <v>3</v>
      </c>
      <c r="D1" s="5" t="s">
        <v>4</v>
      </c>
      <c r="E1" s="5" t="s">
        <v>5</v>
      </c>
      <c r="F1" s="5" t="s">
        <v>6</v>
      </c>
      <c r="G1" s="5" t="s">
        <v>7</v>
      </c>
      <c r="H1" s="4" t="s">
        <v>8</v>
      </c>
      <c r="I1" s="6" t="s">
        <v>9</v>
      </c>
      <c r="J1" s="7" t="s">
        <v>10</v>
      </c>
      <c r="K1" s="5" t="s">
        <v>11</v>
      </c>
      <c r="L1" s="4" t="s">
        <v>12</v>
      </c>
      <c r="M1" s="4" t="s">
        <v>13</v>
      </c>
      <c r="N1" s="4" t="s">
        <v>14</v>
      </c>
      <c r="O1" s="8" t="s">
        <v>15</v>
      </c>
      <c r="P1" s="9" t="s">
        <v>16</v>
      </c>
      <c r="Q1" s="10"/>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36</v>
      </c>
      <c r="AL1" s="10" t="s">
        <v>37</v>
      </c>
      <c r="AM1" s="10" t="s">
        <v>38</v>
      </c>
      <c r="AN1" s="10" t="s">
        <v>39</v>
      </c>
      <c r="AO1" s="10" t="s">
        <v>40</v>
      </c>
      <c r="AP1" s="10" t="s">
        <v>41</v>
      </c>
      <c r="AQ1" s="10" t="s">
        <v>42</v>
      </c>
      <c r="AR1" s="10" t="s">
        <v>43</v>
      </c>
      <c r="AS1" s="10" t="s">
        <v>44</v>
      </c>
      <c r="AT1" s="10" t="s">
        <v>45</v>
      </c>
      <c r="AU1" s="10" t="s">
        <v>46</v>
      </c>
      <c r="AV1" s="10" t="s">
        <v>47</v>
      </c>
      <c r="AW1" s="10" t="s">
        <v>48</v>
      </c>
      <c r="AX1" s="4" t="s">
        <v>23</v>
      </c>
      <c r="AY1" s="5" t="s">
        <v>49</v>
      </c>
      <c r="AZ1" s="5" t="s">
        <v>50</v>
      </c>
      <c r="BA1" s="5" t="s">
        <v>51</v>
      </c>
      <c r="BB1" s="5" t="s">
        <v>52</v>
      </c>
      <c r="BC1" s="5" t="s">
        <v>53</v>
      </c>
      <c r="BD1" s="4" t="s">
        <v>54</v>
      </c>
      <c r="BE1" s="4" t="s">
        <v>55</v>
      </c>
    </row>
    <row x14ac:dyDescent="0.25" r="2" customHeight="1" ht="18">
      <c r="A2" s="11">
        <v>888888</v>
      </c>
      <c r="B2" s="4" t="s">
        <v>56</v>
      </c>
      <c r="C2" s="5" t="s">
        <v>57</v>
      </c>
      <c r="D2" s="5" t="s">
        <v>58</v>
      </c>
      <c r="E2" s="12"/>
      <c r="F2" s="13">
        <f>"1564780236"</f>
      </c>
      <c r="G2" s="13">
        <f>"9781564780232"</f>
      </c>
      <c r="H2" s="11">
        <v>0</v>
      </c>
      <c r="I2" s="14">
        <v>4.09</v>
      </c>
      <c r="J2" s="7" t="s">
        <v>59</v>
      </c>
      <c r="K2" s="5" t="s">
        <v>60</v>
      </c>
      <c r="L2" s="11">
        <v>1192</v>
      </c>
      <c r="M2" s="11">
        <v>1993</v>
      </c>
      <c r="N2" s="11">
        <v>1987</v>
      </c>
      <c r="O2" s="15"/>
      <c r="P2" s="8">
        <v>45003</v>
      </c>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4" t="s">
        <v>61</v>
      </c>
      <c r="AY2" s="5" t="s">
        <v>62</v>
      </c>
      <c r="AZ2" s="5" t="s">
        <v>38</v>
      </c>
      <c r="BA2" s="12"/>
      <c r="BB2" s="12"/>
      <c r="BC2" s="12"/>
      <c r="BD2" s="11">
        <v>0</v>
      </c>
      <c r="BE2" s="11">
        <v>0</v>
      </c>
    </row>
    <row x14ac:dyDescent="0.25" r="3" customHeight="1" ht="18">
      <c r="A3" s="11">
        <v>156198</v>
      </c>
      <c r="B3" s="4" t="s">
        <v>63</v>
      </c>
      <c r="C3" s="5" t="s">
        <v>64</v>
      </c>
      <c r="D3" s="5" t="s">
        <v>65</v>
      </c>
      <c r="E3" s="12"/>
      <c r="F3" s="13">
        <f>"0802135277"</f>
      </c>
      <c r="G3" s="13">
        <f>"9780802135278"</f>
      </c>
      <c r="H3" s="11">
        <v>0</v>
      </c>
      <c r="I3" s="14">
        <v>4.02</v>
      </c>
      <c r="J3" s="7" t="s">
        <v>66</v>
      </c>
      <c r="K3" s="5" t="s">
        <v>60</v>
      </c>
      <c r="L3" s="11">
        <v>544</v>
      </c>
      <c r="M3" s="11">
        <v>1998</v>
      </c>
      <c r="N3" s="11">
        <v>1977</v>
      </c>
      <c r="O3" s="15"/>
      <c r="P3" s="8">
        <v>45129</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4" t="s">
        <v>61</v>
      </c>
      <c r="AY3" s="5" t="s">
        <v>67</v>
      </c>
      <c r="AZ3" s="5" t="s">
        <v>38</v>
      </c>
      <c r="BA3" s="12"/>
      <c r="BB3" s="12"/>
      <c r="BC3" s="12"/>
      <c r="BD3" s="11">
        <v>0</v>
      </c>
      <c r="BE3" s="11">
        <v>0</v>
      </c>
    </row>
    <row x14ac:dyDescent="0.25" r="4" customHeight="1" ht="18">
      <c r="A4" s="11">
        <v>611084</v>
      </c>
      <c r="B4" s="4" t="s">
        <v>68</v>
      </c>
      <c r="C4" s="5" t="s">
        <v>69</v>
      </c>
      <c r="D4" s="5" t="s">
        <v>70</v>
      </c>
      <c r="E4" s="12"/>
      <c r="F4" s="13">
        <f>"3434530088"</f>
      </c>
      <c r="G4" s="13">
        <f>"9783434530084"</f>
      </c>
      <c r="H4" s="11">
        <v>0</v>
      </c>
      <c r="I4" s="14">
        <v>3.92</v>
      </c>
      <c r="J4" s="7" t="s">
        <v>71</v>
      </c>
      <c r="K4" s="5" t="s">
        <v>72</v>
      </c>
      <c r="L4" s="11">
        <v>449</v>
      </c>
      <c r="M4" s="11">
        <v>2000</v>
      </c>
      <c r="N4" s="11">
        <v>1975</v>
      </c>
      <c r="O4" s="15"/>
      <c r="P4" s="8">
        <v>45129</v>
      </c>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4" t="s">
        <v>61</v>
      </c>
      <c r="AY4" s="5" t="s">
        <v>73</v>
      </c>
      <c r="AZ4" s="5" t="s">
        <v>38</v>
      </c>
      <c r="BA4" s="12"/>
      <c r="BB4" s="12"/>
      <c r="BC4" s="12"/>
      <c r="BD4" s="11">
        <v>0</v>
      </c>
      <c r="BE4" s="11">
        <v>0</v>
      </c>
    </row>
    <row x14ac:dyDescent="0.25" r="5" customHeight="1" ht="18">
      <c r="A5" s="11">
        <v>25159057</v>
      </c>
      <c r="B5" s="4" t="s">
        <v>74</v>
      </c>
      <c r="C5" s="5" t="s">
        <v>75</v>
      </c>
      <c r="D5" s="5" t="s">
        <v>76</v>
      </c>
      <c r="E5" s="12"/>
      <c r="F5" s="13">
        <f>"0465059732"</f>
      </c>
      <c r="G5" s="13">
        <f>"9780465059737"</f>
      </c>
      <c r="H5" s="11">
        <v>0</v>
      </c>
      <c r="I5" s="14">
        <v>4.4</v>
      </c>
      <c r="J5" s="7" t="s">
        <v>77</v>
      </c>
      <c r="K5" s="5" t="s">
        <v>72</v>
      </c>
      <c r="L5" s="11">
        <v>296</v>
      </c>
      <c r="M5" s="11">
        <v>2015</v>
      </c>
      <c r="N5" s="11">
        <v>2015</v>
      </c>
      <c r="O5" s="15"/>
      <c r="P5" s="8">
        <v>45129</v>
      </c>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4" t="s">
        <v>78</v>
      </c>
      <c r="AY5" s="5" t="s">
        <v>79</v>
      </c>
      <c r="AZ5" s="5" t="s">
        <v>38</v>
      </c>
      <c r="BA5" s="12"/>
      <c r="BB5" s="12"/>
      <c r="BC5" s="12"/>
      <c r="BD5" s="11">
        <v>0</v>
      </c>
      <c r="BE5" s="11">
        <v>0</v>
      </c>
    </row>
    <row x14ac:dyDescent="0.25" r="6" customHeight="1" ht="18">
      <c r="A6" s="11">
        <v>59415292</v>
      </c>
      <c r="B6" s="4" t="s">
        <v>80</v>
      </c>
      <c r="C6" s="5" t="s">
        <v>81</v>
      </c>
      <c r="D6" s="5" t="s">
        <v>82</v>
      </c>
      <c r="E6" s="5" t="s">
        <v>83</v>
      </c>
      <c r="F6" s="13">
        <f>"1909526827"</f>
      </c>
      <c r="G6" s="13">
        <f>"9781909526822"</f>
      </c>
      <c r="H6" s="11">
        <v>0</v>
      </c>
      <c r="I6" s="14">
        <v>4.34</v>
      </c>
      <c r="J6" s="7" t="s">
        <v>84</v>
      </c>
      <c r="K6" s="5" t="s">
        <v>72</v>
      </c>
      <c r="L6" s="11">
        <v>224</v>
      </c>
      <c r="M6" s="11">
        <v>2021</v>
      </c>
      <c r="N6" s="16"/>
      <c r="O6" s="15"/>
      <c r="P6" s="8">
        <v>45129</v>
      </c>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4" t="s">
        <v>78</v>
      </c>
      <c r="AY6" s="5" t="s">
        <v>85</v>
      </c>
      <c r="AZ6" s="5" t="s">
        <v>38</v>
      </c>
      <c r="BA6" s="12"/>
      <c r="BB6" s="12"/>
      <c r="BC6" s="12"/>
      <c r="BD6" s="11">
        <v>0</v>
      </c>
      <c r="BE6" s="11">
        <v>0</v>
      </c>
    </row>
    <row x14ac:dyDescent="0.25" r="7" customHeight="1" ht="18">
      <c r="A7" s="11">
        <v>36511814</v>
      </c>
      <c r="B7" s="4" t="s">
        <v>86</v>
      </c>
      <c r="C7" s="5" t="s">
        <v>87</v>
      </c>
      <c r="D7" s="5" t="s">
        <v>88</v>
      </c>
      <c r="E7" s="12"/>
      <c r="F7" s="13">
        <f>""</f>
      </c>
      <c r="G7" s="13">
        <f>""</f>
      </c>
      <c r="H7" s="11">
        <v>0</v>
      </c>
      <c r="I7" s="14">
        <v>4.17</v>
      </c>
      <c r="J7" s="7" t="s">
        <v>89</v>
      </c>
      <c r="K7" s="5" t="s">
        <v>90</v>
      </c>
      <c r="L7" s="11">
        <v>885</v>
      </c>
      <c r="M7" s="11">
        <v>2012</v>
      </c>
      <c r="N7" s="11">
        <v>1960</v>
      </c>
      <c r="O7" s="15"/>
      <c r="P7" s="8">
        <v>45135</v>
      </c>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4" t="s">
        <v>61</v>
      </c>
      <c r="AY7" s="5" t="s">
        <v>91</v>
      </c>
      <c r="AZ7" s="5" t="s">
        <v>38</v>
      </c>
      <c r="BA7" s="12"/>
      <c r="BB7" s="12"/>
      <c r="BC7" s="12"/>
      <c r="BD7" s="11">
        <v>0</v>
      </c>
      <c r="BE7" s="11">
        <v>0</v>
      </c>
    </row>
    <row x14ac:dyDescent="0.25" r="8" customHeight="1" ht="18">
      <c r="A8" s="11">
        <v>59202644</v>
      </c>
      <c r="B8" s="4" t="s">
        <v>92</v>
      </c>
      <c r="C8" s="5" t="s">
        <v>93</v>
      </c>
      <c r="D8" s="5" t="s">
        <v>94</v>
      </c>
      <c r="E8" s="5" t="s">
        <v>95</v>
      </c>
      <c r="F8" s="13">
        <f>"1628974125"</f>
      </c>
      <c r="G8" s="13">
        <f>"9781628974126"</f>
      </c>
      <c r="H8" s="11">
        <v>0</v>
      </c>
      <c r="I8" s="14">
        <v>3.32</v>
      </c>
      <c r="J8" s="7" t="s">
        <v>59</v>
      </c>
      <c r="K8" s="5" t="s">
        <v>96</v>
      </c>
      <c r="L8" s="11">
        <v>204</v>
      </c>
      <c r="M8" s="11">
        <v>2022</v>
      </c>
      <c r="N8" s="11">
        <v>1997</v>
      </c>
      <c r="O8" s="15"/>
      <c r="P8" s="8">
        <v>45174</v>
      </c>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4" t="s">
        <v>61</v>
      </c>
      <c r="AY8" s="5" t="s">
        <v>97</v>
      </c>
      <c r="AZ8" s="5" t="s">
        <v>38</v>
      </c>
      <c r="BA8" s="12"/>
      <c r="BB8" s="12"/>
      <c r="BC8" s="12"/>
      <c r="BD8" s="11">
        <v>0</v>
      </c>
      <c r="BE8" s="11">
        <v>0</v>
      </c>
    </row>
    <row x14ac:dyDescent="0.25" r="9" customHeight="1" ht="18">
      <c r="A9" s="11">
        <v>25362962</v>
      </c>
      <c r="B9" s="4" t="s">
        <v>98</v>
      </c>
      <c r="C9" s="5" t="s">
        <v>99</v>
      </c>
      <c r="D9" s="5" t="s">
        <v>100</v>
      </c>
      <c r="E9" s="5" t="s">
        <v>101</v>
      </c>
      <c r="F9" s="13">
        <f>"1925052141"</f>
      </c>
      <c r="G9" s="13">
        <f>"9781925052145"</f>
      </c>
      <c r="H9" s="11">
        <v>0</v>
      </c>
      <c r="I9" s="14">
        <v>4.09</v>
      </c>
      <c r="J9" s="7" t="s">
        <v>102</v>
      </c>
      <c r="K9" s="5" t="s">
        <v>60</v>
      </c>
      <c r="L9" s="11">
        <v>130</v>
      </c>
      <c r="M9" s="11">
        <v>2015</v>
      </c>
      <c r="N9" s="11">
        <v>2015</v>
      </c>
      <c r="O9" s="15"/>
      <c r="P9" s="8">
        <v>45187</v>
      </c>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4" t="s">
        <v>61</v>
      </c>
      <c r="AY9" s="5" t="s">
        <v>103</v>
      </c>
      <c r="AZ9" s="5" t="s">
        <v>38</v>
      </c>
      <c r="BA9" s="12"/>
      <c r="BB9" s="12"/>
      <c r="BC9" s="12"/>
      <c r="BD9" s="11">
        <v>0</v>
      </c>
      <c r="BE9" s="11">
        <v>0</v>
      </c>
    </row>
    <row x14ac:dyDescent="0.25" r="10" customHeight="1" ht="18">
      <c r="A10" s="11">
        <v>125537549</v>
      </c>
      <c r="B10" s="4" t="s">
        <v>104</v>
      </c>
      <c r="C10" s="5" t="s">
        <v>105</v>
      </c>
      <c r="D10" s="5" t="s">
        <v>106</v>
      </c>
      <c r="E10" s="5" t="s">
        <v>107</v>
      </c>
      <c r="F10" s="13">
        <f>""</f>
      </c>
      <c r="G10" s="13">
        <f>""</f>
      </c>
      <c r="H10" s="11">
        <v>0</v>
      </c>
      <c r="I10" s="14">
        <v>4.19</v>
      </c>
      <c r="J10" s="7" t="s">
        <v>108</v>
      </c>
      <c r="K10" s="5" t="s">
        <v>60</v>
      </c>
      <c r="L10" s="11">
        <v>144</v>
      </c>
      <c r="M10" s="11">
        <v>2023</v>
      </c>
      <c r="N10" s="11">
        <v>2004</v>
      </c>
      <c r="O10" s="15"/>
      <c r="P10" s="8">
        <v>45187</v>
      </c>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4" t="s">
        <v>109</v>
      </c>
      <c r="AY10" s="5" t="s">
        <v>110</v>
      </c>
      <c r="AZ10" s="5" t="s">
        <v>38</v>
      </c>
      <c r="BA10" s="12"/>
      <c r="BB10" s="12"/>
      <c r="BC10" s="12"/>
      <c r="BD10" s="11">
        <v>0</v>
      </c>
      <c r="BE10" s="11">
        <v>0</v>
      </c>
    </row>
    <row x14ac:dyDescent="0.25" r="11" customHeight="1" ht="18">
      <c r="A11" s="11">
        <v>18757</v>
      </c>
      <c r="B11" s="4" t="s">
        <v>111</v>
      </c>
      <c r="C11" s="5" t="s">
        <v>112</v>
      </c>
      <c r="D11" s="5" t="s">
        <v>113</v>
      </c>
      <c r="E11" s="12"/>
      <c r="F11" s="13">
        <f>"1400078415"</f>
      </c>
      <c r="G11" s="13">
        <f>"9781400078417"</f>
      </c>
      <c r="H11" s="11">
        <v>0</v>
      </c>
      <c r="I11" s="14">
        <v>3.85</v>
      </c>
      <c r="J11" s="7" t="s">
        <v>114</v>
      </c>
      <c r="K11" s="5" t="s">
        <v>60</v>
      </c>
      <c r="L11" s="11">
        <v>132</v>
      </c>
      <c r="M11" s="11">
        <v>2006</v>
      </c>
      <c r="N11" s="11">
        <v>2005</v>
      </c>
      <c r="O11" s="15"/>
      <c r="P11" s="8">
        <v>45187</v>
      </c>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4" t="s">
        <v>115</v>
      </c>
      <c r="AY11" s="5" t="s">
        <v>116</v>
      </c>
      <c r="AZ11" s="5" t="s">
        <v>38</v>
      </c>
      <c r="BA11" s="12"/>
      <c r="BB11" s="12"/>
      <c r="BC11" s="12"/>
      <c r="BD11" s="11">
        <v>0</v>
      </c>
      <c r="BE11" s="11">
        <v>0</v>
      </c>
    </row>
    <row x14ac:dyDescent="0.25" r="12" customHeight="1" ht="18">
      <c r="A12" s="11">
        <v>70236</v>
      </c>
      <c r="B12" s="4" t="s">
        <v>117</v>
      </c>
      <c r="C12" s="5" t="s">
        <v>118</v>
      </c>
      <c r="D12" s="5" t="s">
        <v>119</v>
      </c>
      <c r="E12" s="12"/>
      <c r="F12" s="13">
        <f>"0374525463"</f>
      </c>
      <c r="G12" s="13">
        <f>"9780374525460"</f>
      </c>
      <c r="H12" s="11">
        <v>0</v>
      </c>
      <c r="I12" s="14">
        <v>3.58</v>
      </c>
      <c r="J12" s="7" t="s">
        <v>120</v>
      </c>
      <c r="K12" s="5" t="s">
        <v>60</v>
      </c>
      <c r="L12" s="11">
        <v>112</v>
      </c>
      <c r="M12" s="11">
        <v>1999</v>
      </c>
      <c r="N12" s="11">
        <v>1988</v>
      </c>
      <c r="O12" s="15"/>
      <c r="P12" s="8">
        <v>45187</v>
      </c>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4" t="s">
        <v>38</v>
      </c>
      <c r="AY12" s="5" t="s">
        <v>121</v>
      </c>
      <c r="AZ12" s="5" t="s">
        <v>38</v>
      </c>
      <c r="BA12" s="12"/>
      <c r="BB12" s="12"/>
      <c r="BC12" s="12"/>
      <c r="BD12" s="11">
        <v>0</v>
      </c>
      <c r="BE12" s="11">
        <v>0</v>
      </c>
    </row>
    <row x14ac:dyDescent="0.25" r="13" customHeight="1" ht="18">
      <c r="A13" s="11">
        <v>16893</v>
      </c>
      <c r="B13" s="4" t="s">
        <v>122</v>
      </c>
      <c r="C13" s="5" t="s">
        <v>123</v>
      </c>
      <c r="D13" s="5" t="s">
        <v>124</v>
      </c>
      <c r="E13" s="5" t="s">
        <v>125</v>
      </c>
      <c r="F13" s="13">
        <f>"0811212475"</f>
      </c>
      <c r="G13" s="13">
        <f>"9780811212472"</f>
      </c>
      <c r="H13" s="11">
        <v>0</v>
      </c>
      <c r="I13" s="14">
        <v>3.9</v>
      </c>
      <c r="J13" s="7" t="s">
        <v>126</v>
      </c>
      <c r="K13" s="5" t="s">
        <v>60</v>
      </c>
      <c r="L13" s="11">
        <v>347</v>
      </c>
      <c r="M13" s="11">
        <v>2003</v>
      </c>
      <c r="N13" s="11">
        <v>1936</v>
      </c>
      <c r="O13" s="15"/>
      <c r="P13" s="8">
        <v>45187</v>
      </c>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4" t="s">
        <v>127</v>
      </c>
      <c r="AY13" s="5" t="s">
        <v>128</v>
      </c>
      <c r="AZ13" s="5" t="s">
        <v>38</v>
      </c>
      <c r="BA13" s="12"/>
      <c r="BB13" s="12"/>
      <c r="BC13" s="12"/>
      <c r="BD13" s="11">
        <v>0</v>
      </c>
      <c r="BE13" s="11">
        <v>0</v>
      </c>
    </row>
    <row x14ac:dyDescent="0.25" r="14" customHeight="1" ht="18">
      <c r="A14" s="11">
        <v>59366124</v>
      </c>
      <c r="B14" s="4" t="s">
        <v>129</v>
      </c>
      <c r="C14" s="5" t="s">
        <v>130</v>
      </c>
      <c r="D14" s="5" t="s">
        <v>131</v>
      </c>
      <c r="E14" s="12"/>
      <c r="F14" s="13">
        <f>"1982136421"</f>
      </c>
      <c r="G14" s="13">
        <f>"9781982136420"</f>
      </c>
      <c r="H14" s="11">
        <v>0</v>
      </c>
      <c r="I14" s="14">
        <v>4.29</v>
      </c>
      <c r="J14" s="7" t="s">
        <v>132</v>
      </c>
      <c r="K14" s="5" t="s">
        <v>72</v>
      </c>
      <c r="L14" s="11">
        <v>528</v>
      </c>
      <c r="M14" s="11">
        <v>2023</v>
      </c>
      <c r="N14" s="16"/>
      <c r="O14" s="15"/>
      <c r="P14" s="8">
        <v>45185</v>
      </c>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4" t="s">
        <v>133</v>
      </c>
      <c r="AY14" s="5" t="s">
        <v>134</v>
      </c>
      <c r="AZ14" s="5" t="s">
        <v>38</v>
      </c>
      <c r="BA14" s="12"/>
      <c r="BB14" s="12"/>
      <c r="BC14" s="12"/>
      <c r="BD14" s="11">
        <v>0</v>
      </c>
      <c r="BE14" s="11">
        <v>0</v>
      </c>
    </row>
    <row x14ac:dyDescent="0.25" r="15" customHeight="1" ht="18">
      <c r="A15" s="11">
        <v>1148851</v>
      </c>
      <c r="B15" s="4" t="s">
        <v>135</v>
      </c>
      <c r="C15" s="5" t="s">
        <v>136</v>
      </c>
      <c r="D15" s="5" t="s">
        <v>137</v>
      </c>
      <c r="E15" s="12"/>
      <c r="F15" s="13">
        <f>"0674541375"</f>
      </c>
      <c r="G15" s="13">
        <f>"9780674541375"</f>
      </c>
      <c r="H15" s="11">
        <v>0</v>
      </c>
      <c r="I15" s="14">
        <v>4.42</v>
      </c>
      <c r="J15" s="7" t="s">
        <v>138</v>
      </c>
      <c r="K15" s="5" t="s">
        <v>60</v>
      </c>
      <c r="L15" s="11">
        <v>595</v>
      </c>
      <c r="M15" s="11">
        <v>1994</v>
      </c>
      <c r="N15" s="11">
        <v>1992</v>
      </c>
      <c r="O15" s="15"/>
      <c r="P15" s="8">
        <v>45185</v>
      </c>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4" t="s">
        <v>133</v>
      </c>
      <c r="AY15" s="5" t="s">
        <v>139</v>
      </c>
      <c r="AZ15" s="5" t="s">
        <v>38</v>
      </c>
      <c r="BA15" s="12"/>
      <c r="BB15" s="12"/>
      <c r="BC15" s="12"/>
      <c r="BD15" s="11">
        <v>0</v>
      </c>
      <c r="BE15" s="11">
        <v>0</v>
      </c>
    </row>
    <row x14ac:dyDescent="0.25" r="16" customHeight="1" ht="18">
      <c r="A16" s="11">
        <v>61089529</v>
      </c>
      <c r="B16" s="4" t="s">
        <v>140</v>
      </c>
      <c r="C16" s="5" t="s">
        <v>141</v>
      </c>
      <c r="D16" s="5" t="s">
        <v>142</v>
      </c>
      <c r="E16" s="5" t="s">
        <v>143</v>
      </c>
      <c r="F16" s="13">
        <f>"1324050616"</f>
      </c>
      <c r="G16" s="13">
        <f>"9781324050612"</f>
      </c>
      <c r="H16" s="11">
        <v>0</v>
      </c>
      <c r="I16" s="14">
        <v>4.23</v>
      </c>
      <c r="J16" s="7" t="s">
        <v>144</v>
      </c>
      <c r="K16" s="5" t="s">
        <v>60</v>
      </c>
      <c r="L16" s="11">
        <v>304</v>
      </c>
      <c r="M16" s="11">
        <v>2023</v>
      </c>
      <c r="N16" s="11">
        <v>1998</v>
      </c>
      <c r="O16" s="15"/>
      <c r="P16" s="8">
        <v>45185</v>
      </c>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4" t="s">
        <v>145</v>
      </c>
      <c r="AY16" s="5" t="s">
        <v>146</v>
      </c>
      <c r="AZ16" s="5" t="s">
        <v>38</v>
      </c>
      <c r="BA16" s="12"/>
      <c r="BB16" s="12"/>
      <c r="BC16" s="12"/>
      <c r="BD16" s="11">
        <v>0</v>
      </c>
      <c r="BE16" s="11">
        <v>0</v>
      </c>
    </row>
    <row x14ac:dyDescent="0.25" r="17" customHeight="1" ht="18">
      <c r="A17" s="11">
        <v>103867</v>
      </c>
      <c r="B17" s="4" t="s">
        <v>147</v>
      </c>
      <c r="C17" s="5" t="s">
        <v>148</v>
      </c>
      <c r="D17" s="5" t="s">
        <v>149</v>
      </c>
      <c r="E17" s="12"/>
      <c r="F17" s="13">
        <f>"014303622X"</f>
      </c>
      <c r="G17" s="13">
        <f>"9780143036227"</f>
      </c>
      <c r="H17" s="11">
        <v>0</v>
      </c>
      <c r="I17" s="14">
        <v>3.96</v>
      </c>
      <c r="J17" s="7" t="s">
        <v>150</v>
      </c>
      <c r="K17" s="5" t="s">
        <v>60</v>
      </c>
      <c r="L17" s="11">
        <v>336</v>
      </c>
      <c r="M17" s="11">
        <v>2005</v>
      </c>
      <c r="N17" s="11">
        <v>1994</v>
      </c>
      <c r="O17" s="15"/>
      <c r="P17" s="8">
        <v>45185</v>
      </c>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4" t="s">
        <v>133</v>
      </c>
      <c r="AY17" s="5" t="s">
        <v>151</v>
      </c>
      <c r="AZ17" s="5" t="s">
        <v>38</v>
      </c>
      <c r="BA17" s="12"/>
      <c r="BB17" s="12"/>
      <c r="BC17" s="12"/>
      <c r="BD17" s="11">
        <v>0</v>
      </c>
      <c r="BE17" s="11">
        <v>0</v>
      </c>
    </row>
    <row x14ac:dyDescent="0.25" r="18" customHeight="1" ht="18">
      <c r="A18" s="11">
        <v>3128872</v>
      </c>
      <c r="B18" s="4" t="s">
        <v>152</v>
      </c>
      <c r="C18" s="5" t="s">
        <v>153</v>
      </c>
      <c r="D18" s="5" t="s">
        <v>154</v>
      </c>
      <c r="E18" s="12"/>
      <c r="F18" s="13">
        <f>"0704300338"</f>
      </c>
      <c r="G18" s="13">
        <f>"9780704300330"</f>
      </c>
      <c r="H18" s="11">
        <v>0</v>
      </c>
      <c r="I18" s="14">
        <v>3.94</v>
      </c>
      <c r="J18" s="7" t="s">
        <v>155</v>
      </c>
      <c r="K18" s="5" t="s">
        <v>60</v>
      </c>
      <c r="L18" s="11">
        <v>116</v>
      </c>
      <c r="M18" s="11">
        <v>1987</v>
      </c>
      <c r="N18" s="11">
        <v>1938</v>
      </c>
      <c r="O18" s="15"/>
      <c r="P18" s="8">
        <v>45185</v>
      </c>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4" t="s">
        <v>156</v>
      </c>
      <c r="AY18" s="5" t="s">
        <v>157</v>
      </c>
      <c r="AZ18" s="5" t="s">
        <v>158</v>
      </c>
      <c r="BA18" s="12"/>
      <c r="BB18" s="12"/>
      <c r="BC18" s="12"/>
      <c r="BD18" s="11">
        <v>0</v>
      </c>
      <c r="BE18" s="11">
        <v>0</v>
      </c>
    </row>
    <row x14ac:dyDescent="0.25" r="19" customHeight="1" ht="18">
      <c r="A19" s="11">
        <v>495614</v>
      </c>
      <c r="B19" s="4" t="s">
        <v>159</v>
      </c>
      <c r="C19" s="5" t="s">
        <v>160</v>
      </c>
      <c r="D19" s="5" t="s">
        <v>161</v>
      </c>
      <c r="E19" s="5" t="s">
        <v>162</v>
      </c>
      <c r="F19" s="13">
        <f>"0415304415"</f>
      </c>
      <c r="G19" s="13">
        <f>"9780415304412"</f>
      </c>
      <c r="H19" s="11">
        <v>0</v>
      </c>
      <c r="I19" s="14">
        <v>4.01</v>
      </c>
      <c r="J19" s="7" t="s">
        <v>163</v>
      </c>
      <c r="K19" s="5" t="s">
        <v>60</v>
      </c>
      <c r="L19" s="11">
        <v>201</v>
      </c>
      <c r="M19" s="11">
        <v>2004</v>
      </c>
      <c r="N19" s="11">
        <v>1970</v>
      </c>
      <c r="O19" s="15"/>
      <c r="P19" s="8">
        <v>45185</v>
      </c>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4" t="s">
        <v>133</v>
      </c>
      <c r="AY19" s="5" t="s">
        <v>164</v>
      </c>
      <c r="AZ19" s="5" t="s">
        <v>38</v>
      </c>
      <c r="BA19" s="12"/>
      <c r="BB19" s="12"/>
      <c r="BC19" s="12"/>
      <c r="BD19" s="11">
        <v>0</v>
      </c>
      <c r="BE19" s="11">
        <v>0</v>
      </c>
    </row>
    <row x14ac:dyDescent="0.25" r="20" customHeight="1" ht="18">
      <c r="A20" s="11">
        <v>57030264</v>
      </c>
      <c r="B20" s="4" t="s">
        <v>165</v>
      </c>
      <c r="C20" s="5" t="s">
        <v>166</v>
      </c>
      <c r="D20" s="5" t="s">
        <v>167</v>
      </c>
      <c r="E20" s="5" t="s">
        <v>168</v>
      </c>
      <c r="F20" s="13">
        <f>"1913097587"</f>
      </c>
      <c r="G20" s="13">
        <f>"9781913097585"</f>
      </c>
      <c r="H20" s="11">
        <v>0</v>
      </c>
      <c r="I20" s="14">
        <v>4.27</v>
      </c>
      <c r="J20" s="7" t="s">
        <v>169</v>
      </c>
      <c r="K20" s="5" t="s">
        <v>60</v>
      </c>
      <c r="L20" s="11">
        <v>88</v>
      </c>
      <c r="M20" s="11">
        <v>2021</v>
      </c>
      <c r="N20" s="11">
        <v>2020</v>
      </c>
      <c r="O20" s="15"/>
      <c r="P20" s="8">
        <v>45185</v>
      </c>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4" t="s">
        <v>133</v>
      </c>
      <c r="AY20" s="5" t="s">
        <v>170</v>
      </c>
      <c r="AZ20" s="5" t="s">
        <v>38</v>
      </c>
      <c r="BA20" s="12"/>
      <c r="BB20" s="12"/>
      <c r="BC20" s="12"/>
      <c r="BD20" s="11">
        <v>0</v>
      </c>
      <c r="BE20" s="11">
        <v>0</v>
      </c>
    </row>
    <row x14ac:dyDescent="0.25" r="21" customHeight="1" ht="18">
      <c r="A21" s="11">
        <v>836937</v>
      </c>
      <c r="B21" s="4" t="s">
        <v>171</v>
      </c>
      <c r="C21" s="5" t="s">
        <v>160</v>
      </c>
      <c r="D21" s="5" t="s">
        <v>161</v>
      </c>
      <c r="E21" s="5" t="s">
        <v>162</v>
      </c>
      <c r="F21" s="13">
        <f>"0691017948"</f>
      </c>
      <c r="G21" s="13">
        <f>"9780691017945"</f>
      </c>
      <c r="H21" s="11">
        <v>0</v>
      </c>
      <c r="I21" s="14">
        <v>4.06</v>
      </c>
      <c r="J21" s="7" t="s">
        <v>172</v>
      </c>
      <c r="K21" s="5" t="s">
        <v>60</v>
      </c>
      <c r="L21" s="11">
        <v>115</v>
      </c>
      <c r="M21" s="11">
        <v>1973</v>
      </c>
      <c r="N21" s="11">
        <v>1952</v>
      </c>
      <c r="O21" s="15"/>
      <c r="P21" s="8">
        <v>45185</v>
      </c>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4" t="s">
        <v>133</v>
      </c>
      <c r="AY21" s="5" t="s">
        <v>173</v>
      </c>
      <c r="AZ21" s="5" t="s">
        <v>38</v>
      </c>
      <c r="BA21" s="12"/>
      <c r="BB21" s="12"/>
      <c r="BC21" s="12"/>
      <c r="BD21" s="11">
        <v>0</v>
      </c>
      <c r="BE21" s="11">
        <v>0</v>
      </c>
    </row>
    <row x14ac:dyDescent="0.25" r="22" customHeight="1" ht="18">
      <c r="A22" s="11">
        <v>12825844</v>
      </c>
      <c r="B22" s="4" t="s">
        <v>174</v>
      </c>
      <c r="C22" s="5" t="s">
        <v>175</v>
      </c>
      <c r="D22" s="5" t="s">
        <v>176</v>
      </c>
      <c r="E22" s="12"/>
      <c r="F22" s="13">
        <f>"0241144884"</f>
      </c>
      <c r="G22" s="13">
        <f>"9780241144886"</f>
      </c>
      <c r="H22" s="11">
        <v>0</v>
      </c>
      <c r="I22" s="14">
        <v>4.09</v>
      </c>
      <c r="J22" s="7" t="s">
        <v>177</v>
      </c>
      <c r="K22" s="5" t="s">
        <v>72</v>
      </c>
      <c r="L22" s="11">
        <v>368</v>
      </c>
      <c r="M22" s="11">
        <v>2011</v>
      </c>
      <c r="N22" s="11">
        <v>2011</v>
      </c>
      <c r="O22" s="15"/>
      <c r="P22" s="8">
        <v>45185</v>
      </c>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4" t="s">
        <v>133</v>
      </c>
      <c r="AY22" s="5" t="s">
        <v>178</v>
      </c>
      <c r="AZ22" s="5" t="s">
        <v>38</v>
      </c>
      <c r="BA22" s="12"/>
      <c r="BB22" s="12"/>
      <c r="BC22" s="12"/>
      <c r="BD22" s="11">
        <v>0</v>
      </c>
      <c r="BE22" s="11">
        <v>0</v>
      </c>
    </row>
    <row x14ac:dyDescent="0.25" r="23" customHeight="1" ht="18">
      <c r="A23" s="11">
        <v>496585</v>
      </c>
      <c r="B23" s="4" t="s">
        <v>179</v>
      </c>
      <c r="C23" s="5" t="s">
        <v>180</v>
      </c>
      <c r="D23" s="5" t="s">
        <v>181</v>
      </c>
      <c r="E23" s="12"/>
      <c r="F23" s="13">
        <f>"0140135375"</f>
      </c>
      <c r="G23" s="13">
        <f>"9780140135374"</f>
      </c>
      <c r="H23" s="11">
        <v>0</v>
      </c>
      <c r="I23" s="14">
        <v>4.1</v>
      </c>
      <c r="J23" s="7" t="s">
        <v>182</v>
      </c>
      <c r="K23" s="5" t="s">
        <v>60</v>
      </c>
      <c r="L23" s="11">
        <v>224</v>
      </c>
      <c r="M23" s="11">
        <v>1965</v>
      </c>
      <c r="N23" s="11">
        <v>1960</v>
      </c>
      <c r="O23" s="15"/>
      <c r="P23" s="8">
        <v>43950</v>
      </c>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4" t="s">
        <v>133</v>
      </c>
      <c r="AY23" s="5" t="s">
        <v>183</v>
      </c>
      <c r="AZ23" s="5" t="s">
        <v>38</v>
      </c>
      <c r="BA23" s="12"/>
      <c r="BB23" s="12"/>
      <c r="BC23" s="12"/>
      <c r="BD23" s="11">
        <v>0</v>
      </c>
      <c r="BE23" s="11">
        <v>0</v>
      </c>
    </row>
    <row x14ac:dyDescent="0.25" r="24" customHeight="1" ht="18">
      <c r="A24" s="11">
        <v>67890</v>
      </c>
      <c r="B24" s="4" t="s">
        <v>184</v>
      </c>
      <c r="C24" s="5" t="s">
        <v>160</v>
      </c>
      <c r="D24" s="5" t="s">
        <v>161</v>
      </c>
      <c r="E24" s="5" t="s">
        <v>185</v>
      </c>
      <c r="F24" s="13">
        <f>"0691097615"</f>
      </c>
      <c r="G24" s="13">
        <f>"9780691097619"</f>
      </c>
      <c r="H24" s="11">
        <v>0</v>
      </c>
      <c r="I24" s="14">
        <v>4.3</v>
      </c>
      <c r="J24" s="7" t="s">
        <v>186</v>
      </c>
      <c r="K24" s="5" t="s">
        <v>72</v>
      </c>
      <c r="L24" s="11">
        <v>550</v>
      </c>
      <c r="M24" s="11">
        <v>1969</v>
      </c>
      <c r="N24" s="11">
        <v>1959</v>
      </c>
      <c r="O24" s="15"/>
      <c r="P24" s="8">
        <v>45185</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4" t="s">
        <v>133</v>
      </c>
      <c r="AY24" s="5" t="s">
        <v>187</v>
      </c>
      <c r="AZ24" s="5" t="s">
        <v>38</v>
      </c>
      <c r="BA24" s="12"/>
      <c r="BB24" s="12"/>
      <c r="BC24" s="12"/>
      <c r="BD24" s="11">
        <v>0</v>
      </c>
      <c r="BE24" s="11">
        <v>0</v>
      </c>
    </row>
    <row x14ac:dyDescent="0.25" r="25" customHeight="1" ht="18">
      <c r="A25" s="11">
        <v>55348820</v>
      </c>
      <c r="B25" s="4" t="s">
        <v>188</v>
      </c>
      <c r="C25" s="5" t="s">
        <v>189</v>
      </c>
      <c r="D25" s="5" t="s">
        <v>190</v>
      </c>
      <c r="E25" s="12"/>
      <c r="F25" s="13">
        <f>"1734976608"</f>
      </c>
      <c r="G25" s="13">
        <f>"9781734976601"</f>
      </c>
      <c r="H25" s="11">
        <v>0</v>
      </c>
      <c r="I25" s="14">
        <v>4.52</v>
      </c>
      <c r="J25" s="7" t="s">
        <v>191</v>
      </c>
      <c r="K25" s="5" t="s">
        <v>60</v>
      </c>
      <c r="L25" s="11">
        <v>142</v>
      </c>
      <c r="M25" s="11">
        <v>2020</v>
      </c>
      <c r="N25" s="16"/>
      <c r="O25" s="15"/>
      <c r="P25" s="8">
        <v>45075</v>
      </c>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4" t="s">
        <v>192</v>
      </c>
      <c r="AY25" s="5" t="s">
        <v>193</v>
      </c>
      <c r="AZ25" s="5" t="s">
        <v>38</v>
      </c>
      <c r="BA25" s="12"/>
      <c r="BB25" s="12"/>
      <c r="BC25" s="12"/>
      <c r="BD25" s="11">
        <v>0</v>
      </c>
      <c r="BE25" s="11">
        <v>0</v>
      </c>
    </row>
    <row x14ac:dyDescent="0.25" r="26" customHeight="1" ht="18">
      <c r="A26" s="11">
        <v>17686</v>
      </c>
      <c r="B26" s="4" t="s">
        <v>194</v>
      </c>
      <c r="C26" s="5" t="s">
        <v>195</v>
      </c>
      <c r="D26" s="5" t="s">
        <v>196</v>
      </c>
      <c r="E26" s="12"/>
      <c r="F26" s="13">
        <f>"0805209069"</f>
      </c>
      <c r="G26" s="13">
        <f>"9780805209068"</f>
      </c>
      <c r="H26" s="11">
        <v>0</v>
      </c>
      <c r="I26" s="14">
        <v>4.22</v>
      </c>
      <c r="J26" s="7" t="s">
        <v>197</v>
      </c>
      <c r="K26" s="5" t="s">
        <v>60</v>
      </c>
      <c r="L26" s="11">
        <v>521</v>
      </c>
      <c r="M26" s="11">
        <v>1988</v>
      </c>
      <c r="N26" s="11">
        <v>1949</v>
      </c>
      <c r="O26" s="15"/>
      <c r="P26" s="8">
        <v>45154</v>
      </c>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4" t="s">
        <v>192</v>
      </c>
      <c r="AY26" s="5" t="s">
        <v>198</v>
      </c>
      <c r="AZ26" s="5" t="s">
        <v>38</v>
      </c>
      <c r="BA26" s="12"/>
      <c r="BB26" s="12"/>
      <c r="BC26" s="12"/>
      <c r="BD26" s="11">
        <v>0</v>
      </c>
      <c r="BE26" s="11">
        <v>0</v>
      </c>
    </row>
    <row x14ac:dyDescent="0.25" r="27" customHeight="1" ht="18">
      <c r="A27" s="11">
        <v>30231789</v>
      </c>
      <c r="B27" s="4" t="s">
        <v>199</v>
      </c>
      <c r="C27" s="5" t="s">
        <v>200</v>
      </c>
      <c r="D27" s="5" t="s">
        <v>201</v>
      </c>
      <c r="E27" s="12"/>
      <c r="F27" s="13">
        <f>"0393353745"</f>
      </c>
      <c r="G27" s="13">
        <f>"9780393353747"</f>
      </c>
      <c r="H27" s="11">
        <v>0</v>
      </c>
      <c r="I27" s="14">
        <v>4.16</v>
      </c>
      <c r="J27" s="7" t="s">
        <v>144</v>
      </c>
      <c r="K27" s="5" t="s">
        <v>60</v>
      </c>
      <c r="L27" s="11">
        <v>512</v>
      </c>
      <c r="M27" s="11">
        <v>2017</v>
      </c>
      <c r="N27" s="11">
        <v>1977</v>
      </c>
      <c r="O27" s="15"/>
      <c r="P27" s="8">
        <v>45183</v>
      </c>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4" t="s">
        <v>38</v>
      </c>
      <c r="AY27" s="5" t="s">
        <v>202</v>
      </c>
      <c r="AZ27" s="5" t="s">
        <v>38</v>
      </c>
      <c r="BA27" s="12"/>
      <c r="BB27" s="12"/>
      <c r="BC27" s="12"/>
      <c r="BD27" s="11">
        <v>0</v>
      </c>
      <c r="BE27" s="11">
        <v>0</v>
      </c>
    </row>
    <row x14ac:dyDescent="0.25" r="28" customHeight="1" ht="18">
      <c r="A28" s="11">
        <v>948234</v>
      </c>
      <c r="B28" s="4" t="s">
        <v>203</v>
      </c>
      <c r="C28" s="5" t="s">
        <v>204</v>
      </c>
      <c r="D28" s="5" t="s">
        <v>205</v>
      </c>
      <c r="E28" s="12"/>
      <c r="F28" s="13">
        <f>"0879727306"</f>
      </c>
      <c r="G28" s="13">
        <f>"9780879727307"</f>
      </c>
      <c r="H28" s="11">
        <v>0</v>
      </c>
      <c r="I28" s="14">
        <v>3.2</v>
      </c>
      <c r="J28" s="7" t="s">
        <v>206</v>
      </c>
      <c r="K28" s="5" t="s">
        <v>60</v>
      </c>
      <c r="L28" s="11">
        <v>228</v>
      </c>
      <c r="M28" s="11">
        <v>1997</v>
      </c>
      <c r="N28" s="11">
        <v>1997</v>
      </c>
      <c r="O28" s="15"/>
      <c r="P28" s="8">
        <v>45183</v>
      </c>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4" t="s">
        <v>192</v>
      </c>
      <c r="AY28" s="5" t="s">
        <v>207</v>
      </c>
      <c r="AZ28" s="5" t="s">
        <v>38</v>
      </c>
      <c r="BA28" s="12"/>
      <c r="BB28" s="12"/>
      <c r="BC28" s="12"/>
      <c r="BD28" s="11">
        <v>0</v>
      </c>
      <c r="BE28" s="11">
        <v>0</v>
      </c>
    </row>
    <row x14ac:dyDescent="0.25" r="29" customHeight="1" ht="18">
      <c r="A29" s="11">
        <v>434213</v>
      </c>
      <c r="B29" s="4" t="s">
        <v>208</v>
      </c>
      <c r="C29" s="5" t="s">
        <v>209</v>
      </c>
      <c r="D29" s="5" t="s">
        <v>210</v>
      </c>
      <c r="E29" s="5" t="s">
        <v>211</v>
      </c>
      <c r="F29" s="13">
        <f>"188736871X"</f>
      </c>
      <c r="G29" s="13">
        <f>"9781887368711"</f>
      </c>
      <c r="H29" s="11">
        <v>0</v>
      </c>
      <c r="I29" s="14">
        <v>4.57</v>
      </c>
      <c r="J29" s="7" t="s">
        <v>212</v>
      </c>
      <c r="K29" s="5" t="s">
        <v>72</v>
      </c>
      <c r="L29" s="11">
        <v>487</v>
      </c>
      <c r="M29" s="11">
        <v>2004</v>
      </c>
      <c r="N29" s="11">
        <v>2004</v>
      </c>
      <c r="O29" s="15"/>
      <c r="P29" s="8">
        <v>45183</v>
      </c>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4" t="s">
        <v>38</v>
      </c>
      <c r="AY29" s="5" t="s">
        <v>213</v>
      </c>
      <c r="AZ29" s="5" t="s">
        <v>38</v>
      </c>
      <c r="BA29" s="12"/>
      <c r="BB29" s="12"/>
      <c r="BC29" s="12"/>
      <c r="BD29" s="11">
        <v>0</v>
      </c>
      <c r="BE29" s="11">
        <v>0</v>
      </c>
    </row>
    <row x14ac:dyDescent="0.25" r="30" customHeight="1" ht="18">
      <c r="A30" s="11">
        <v>12046</v>
      </c>
      <c r="B30" s="4" t="s">
        <v>214</v>
      </c>
      <c r="C30" s="5" t="s">
        <v>215</v>
      </c>
      <c r="D30" s="5" t="s">
        <v>216</v>
      </c>
      <c r="E30" s="5" t="s">
        <v>217</v>
      </c>
      <c r="F30" s="13">
        <f>"0061137049"</f>
      </c>
      <c r="G30" s="13">
        <f>"9780061137044"</f>
      </c>
      <c r="H30" s="11">
        <v>0</v>
      </c>
      <c r="I30" s="14">
        <v>4.29</v>
      </c>
      <c r="J30" s="7" t="s">
        <v>218</v>
      </c>
      <c r="K30" s="5" t="s">
        <v>60</v>
      </c>
      <c r="L30" s="11">
        <v>688</v>
      </c>
      <c r="M30" s="11">
        <v>2006</v>
      </c>
      <c r="N30" s="11">
        <v>2001</v>
      </c>
      <c r="O30" s="15"/>
      <c r="P30" s="8">
        <v>41515</v>
      </c>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4" t="s">
        <v>219</v>
      </c>
      <c r="AY30" s="5" t="s">
        <v>220</v>
      </c>
      <c r="AZ30" s="5" t="s">
        <v>38</v>
      </c>
      <c r="BA30" s="12"/>
      <c r="BB30" s="12"/>
      <c r="BC30" s="12"/>
      <c r="BD30" s="11">
        <v>0</v>
      </c>
      <c r="BE30" s="11">
        <v>1</v>
      </c>
    </row>
    <row x14ac:dyDescent="0.25" r="31" customHeight="1" ht="18">
      <c r="A31" s="11">
        <v>979668</v>
      </c>
      <c r="B31" s="4" t="s">
        <v>221</v>
      </c>
      <c r="C31" s="5" t="s">
        <v>222</v>
      </c>
      <c r="D31" s="5" t="s">
        <v>223</v>
      </c>
      <c r="E31" s="5" t="s">
        <v>224</v>
      </c>
      <c r="F31" s="13">
        <f>"0060197757"</f>
      </c>
      <c r="G31" s="13">
        <f>"9780060197759"</f>
      </c>
      <c r="H31" s="11">
        <v>0</v>
      </c>
      <c r="I31" s="14">
        <v>3.88</v>
      </c>
      <c r="J31" s="7" t="s">
        <v>225</v>
      </c>
      <c r="K31" s="5" t="s">
        <v>72</v>
      </c>
      <c r="L31" s="11">
        <v>224</v>
      </c>
      <c r="M31" s="11">
        <v>2001</v>
      </c>
      <c r="N31" s="11">
        <v>1999</v>
      </c>
      <c r="O31" s="15"/>
      <c r="P31" s="8">
        <v>45117</v>
      </c>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4" t="s">
        <v>226</v>
      </c>
      <c r="AY31" s="5" t="s">
        <v>227</v>
      </c>
      <c r="AZ31" s="5" t="s">
        <v>38</v>
      </c>
      <c r="BA31" s="12"/>
      <c r="BB31" s="12"/>
      <c r="BC31" s="12"/>
      <c r="BD31" s="11">
        <v>0</v>
      </c>
      <c r="BE31" s="11">
        <v>0</v>
      </c>
    </row>
    <row x14ac:dyDescent="0.25" r="32" customHeight="1" ht="18">
      <c r="A32" s="11">
        <v>57925153</v>
      </c>
      <c r="B32" s="4" t="s">
        <v>228</v>
      </c>
      <c r="C32" s="5" t="s">
        <v>229</v>
      </c>
      <c r="D32" s="5" t="s">
        <v>230</v>
      </c>
      <c r="E32" s="12"/>
      <c r="F32" s="13">
        <f>"073523700X"</f>
      </c>
      <c r="G32" s="13">
        <f>"9780735237001"</f>
      </c>
      <c r="H32" s="11">
        <v>0</v>
      </c>
      <c r="I32" s="14">
        <v>4.03</v>
      </c>
      <c r="J32" s="7" t="s">
        <v>231</v>
      </c>
      <c r="K32" s="5" t="s">
        <v>72</v>
      </c>
      <c r="L32" s="11">
        <v>400</v>
      </c>
      <c r="M32" s="11">
        <v>2022</v>
      </c>
      <c r="N32" s="11">
        <v>2022</v>
      </c>
      <c r="O32" s="15"/>
      <c r="P32" s="8">
        <v>45169</v>
      </c>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4" t="s">
        <v>232</v>
      </c>
      <c r="AY32" s="5" t="s">
        <v>233</v>
      </c>
      <c r="AZ32" s="5" t="s">
        <v>38</v>
      </c>
      <c r="BA32" s="12"/>
      <c r="BB32" s="12"/>
      <c r="BC32" s="12"/>
      <c r="BD32" s="11">
        <v>0</v>
      </c>
      <c r="BE32" s="11">
        <v>0</v>
      </c>
    </row>
    <row x14ac:dyDescent="0.25" r="33" customHeight="1" ht="18">
      <c r="A33" s="11">
        <v>10000</v>
      </c>
      <c r="B33" s="4" t="s">
        <v>234</v>
      </c>
      <c r="C33" s="5" t="s">
        <v>235</v>
      </c>
      <c r="D33" s="5" t="s">
        <v>236</v>
      </c>
      <c r="E33" s="12"/>
      <c r="F33" s="13">
        <f>"0375726535"</f>
      </c>
      <c r="G33" s="13">
        <f>"9780375726538"</f>
      </c>
      <c r="H33" s="11">
        <v>0</v>
      </c>
      <c r="I33" s="14">
        <v>3.75</v>
      </c>
      <c r="J33" s="7" t="s">
        <v>114</v>
      </c>
      <c r="K33" s="5" t="s">
        <v>60</v>
      </c>
      <c r="L33" s="11">
        <v>238</v>
      </c>
      <c r="M33" s="11">
        <v>2003</v>
      </c>
      <c r="N33" s="11">
        <v>1964</v>
      </c>
      <c r="O33" s="15"/>
      <c r="P33" s="8">
        <v>44245</v>
      </c>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4" t="s">
        <v>237</v>
      </c>
      <c r="AY33" s="5" t="s">
        <v>238</v>
      </c>
      <c r="AZ33" s="5" t="s">
        <v>38</v>
      </c>
      <c r="BA33" s="12"/>
      <c r="BB33" s="12"/>
      <c r="BC33" s="12"/>
      <c r="BD33" s="11">
        <v>0</v>
      </c>
      <c r="BE33" s="11">
        <v>0</v>
      </c>
    </row>
    <row x14ac:dyDescent="0.25" r="34" customHeight="1" ht="17.25">
      <c r="A34" s="11">
        <v>1729108</v>
      </c>
      <c r="B34" s="4" t="s">
        <v>239</v>
      </c>
      <c r="C34" s="5" t="s">
        <v>209</v>
      </c>
      <c r="D34" s="5" t="s">
        <v>210</v>
      </c>
      <c r="E34" s="12"/>
      <c r="F34" s="13">
        <f>"157500111X"</f>
      </c>
      <c r="G34" s="13">
        <f>"9781575001111"</f>
      </c>
      <c r="H34" s="11">
        <v>0</v>
      </c>
      <c r="I34" s="14">
        <v>4.34</v>
      </c>
      <c r="J34" s="7" t="s">
        <v>240</v>
      </c>
      <c r="K34" s="5" t="s">
        <v>72</v>
      </c>
      <c r="L34" s="11">
        <v>415</v>
      </c>
      <c r="M34" s="11">
        <v>1990</v>
      </c>
      <c r="N34" s="11">
        <v>1963</v>
      </c>
      <c r="O34" s="15"/>
      <c r="P34" s="8">
        <v>45182</v>
      </c>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4" t="s">
        <v>38</v>
      </c>
      <c r="AY34" s="5" t="s">
        <v>241</v>
      </c>
      <c r="AZ34" s="5" t="s">
        <v>38</v>
      </c>
      <c r="BA34" s="12"/>
      <c r="BB34" s="12"/>
      <c r="BC34" s="12"/>
      <c r="BD34" s="11">
        <v>0</v>
      </c>
      <c r="BE34" s="11">
        <v>0</v>
      </c>
    </row>
    <row x14ac:dyDescent="0.25" r="35" customHeight="1" ht="17.25">
      <c r="A35" s="11">
        <v>567542</v>
      </c>
      <c r="B35" s="4" t="s">
        <v>242</v>
      </c>
      <c r="C35" s="5" t="s">
        <v>243</v>
      </c>
      <c r="D35" s="5" t="s">
        <v>244</v>
      </c>
      <c r="E35" s="12"/>
      <c r="F35" s="13">
        <f>"0195083520"</f>
      </c>
      <c r="G35" s="13">
        <f>"9780195083521"</f>
      </c>
      <c r="H35" s="11">
        <v>0</v>
      </c>
      <c r="I35" s="14">
        <v>3.61</v>
      </c>
      <c r="J35" s="7" t="s">
        <v>245</v>
      </c>
      <c r="K35" s="5" t="s">
        <v>60</v>
      </c>
      <c r="L35" s="11">
        <v>384</v>
      </c>
      <c r="M35" s="11">
        <v>1993</v>
      </c>
      <c r="N35" s="11">
        <v>1991</v>
      </c>
      <c r="O35" s="15"/>
      <c r="P35" s="8">
        <v>45182</v>
      </c>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4" t="s">
        <v>127</v>
      </c>
      <c r="AY35" s="5" t="s">
        <v>246</v>
      </c>
      <c r="AZ35" s="5" t="s">
        <v>38</v>
      </c>
      <c r="BA35" s="12"/>
      <c r="BB35" s="12"/>
      <c r="BC35" s="12"/>
      <c r="BD35" s="11">
        <v>0</v>
      </c>
      <c r="BE35" s="11">
        <v>0</v>
      </c>
    </row>
    <row x14ac:dyDescent="0.25" r="36" customHeight="1" ht="17.25">
      <c r="A36" s="11">
        <v>125455</v>
      </c>
      <c r="B36" s="4" t="s">
        <v>247</v>
      </c>
      <c r="C36" s="5" t="s">
        <v>248</v>
      </c>
      <c r="D36" s="5" t="s">
        <v>249</v>
      </c>
      <c r="E36" s="12"/>
      <c r="F36" s="13">
        <f>"0743264479"</f>
      </c>
      <c r="G36" s="13">
        <f>"9780743264471"</f>
      </c>
      <c r="H36" s="11">
        <v>0</v>
      </c>
      <c r="I36" s="14">
        <v>4.07</v>
      </c>
      <c r="J36" s="7" t="s">
        <v>132</v>
      </c>
      <c r="K36" s="5" t="s">
        <v>60</v>
      </c>
      <c r="L36" s="11">
        <v>640</v>
      </c>
      <c r="M36" s="11">
        <v>2006</v>
      </c>
      <c r="N36" s="11">
        <v>1991</v>
      </c>
      <c r="O36" s="15"/>
      <c r="P36" s="8">
        <v>45182</v>
      </c>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4" t="s">
        <v>127</v>
      </c>
      <c r="AY36" s="5" t="s">
        <v>250</v>
      </c>
      <c r="AZ36" s="5" t="s">
        <v>38</v>
      </c>
      <c r="BA36" s="12"/>
      <c r="BB36" s="12"/>
      <c r="BC36" s="12"/>
      <c r="BD36" s="11">
        <v>0</v>
      </c>
      <c r="BE36" s="11">
        <v>0</v>
      </c>
    </row>
    <row x14ac:dyDescent="0.25" r="37" customHeight="1" ht="17.25">
      <c r="A37" s="11">
        <v>300448</v>
      </c>
      <c r="B37" s="4" t="s">
        <v>251</v>
      </c>
      <c r="C37" s="5" t="s">
        <v>252</v>
      </c>
      <c r="D37" s="5" t="s">
        <v>253</v>
      </c>
      <c r="E37" s="5" t="s">
        <v>254</v>
      </c>
      <c r="F37" s="13">
        <f>"0226106748"</f>
      </c>
      <c r="G37" s="13">
        <f>"9780226106748"</f>
      </c>
      <c r="H37" s="11">
        <v>0</v>
      </c>
      <c r="I37" s="14">
        <v>4.13</v>
      </c>
      <c r="J37" s="7" t="s">
        <v>255</v>
      </c>
      <c r="K37" s="5" t="s">
        <v>60</v>
      </c>
      <c r="L37" s="11">
        <v>154</v>
      </c>
      <c r="M37" s="11">
        <v>1998</v>
      </c>
      <c r="N37" s="11">
        <v>1937</v>
      </c>
      <c r="O37" s="15"/>
      <c r="P37" s="8">
        <v>45182</v>
      </c>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4" t="s">
        <v>127</v>
      </c>
      <c r="AY37" s="5" t="s">
        <v>256</v>
      </c>
      <c r="AZ37" s="5" t="s">
        <v>38</v>
      </c>
      <c r="BA37" s="12"/>
      <c r="BB37" s="12"/>
      <c r="BC37" s="12"/>
      <c r="BD37" s="11">
        <v>0</v>
      </c>
      <c r="BE37" s="11">
        <v>0</v>
      </c>
    </row>
    <row x14ac:dyDescent="0.25" r="38" customHeight="1" ht="17.25">
      <c r="A38" s="11">
        <v>7575633</v>
      </c>
      <c r="B38" s="4" t="s">
        <v>257</v>
      </c>
      <c r="C38" s="5" t="s">
        <v>252</v>
      </c>
      <c r="D38" s="5" t="s">
        <v>253</v>
      </c>
      <c r="E38" s="12"/>
      <c r="F38" s="13">
        <f>"0141192720"</f>
      </c>
      <c r="G38" s="13">
        <f>"9780141192727"</f>
      </c>
      <c r="H38" s="11">
        <v>0</v>
      </c>
      <c r="I38" s="14">
        <v>4.21</v>
      </c>
      <c r="J38" s="7" t="s">
        <v>150</v>
      </c>
      <c r="K38" s="5" t="s">
        <v>60</v>
      </c>
      <c r="L38" s="11">
        <v>192</v>
      </c>
      <c r="M38" s="16"/>
      <c r="N38" s="11">
        <v>1949</v>
      </c>
      <c r="O38" s="15"/>
      <c r="P38" s="8">
        <v>45169</v>
      </c>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4" t="s">
        <v>127</v>
      </c>
      <c r="AY38" s="5" t="s">
        <v>258</v>
      </c>
      <c r="AZ38" s="5" t="s">
        <v>38</v>
      </c>
      <c r="BA38" s="12"/>
      <c r="BB38" s="12"/>
      <c r="BC38" s="12"/>
      <c r="BD38" s="11">
        <v>0</v>
      </c>
      <c r="BE38" s="11">
        <v>0</v>
      </c>
    </row>
    <row x14ac:dyDescent="0.25" r="39" customHeight="1" ht="17.25">
      <c r="A39" s="11">
        <v>208294</v>
      </c>
      <c r="B39" s="4" t="s">
        <v>259</v>
      </c>
      <c r="C39" s="5" t="s">
        <v>260</v>
      </c>
      <c r="D39" s="5" t="s">
        <v>261</v>
      </c>
      <c r="E39" s="5" t="s">
        <v>262</v>
      </c>
      <c r="F39" s="13">
        <f>"0140441433"</f>
      </c>
      <c r="G39" s="13">
        <f>"9780140441437"</f>
      </c>
      <c r="H39" s="11">
        <v>0</v>
      </c>
      <c r="I39" s="14">
        <v>4.17</v>
      </c>
      <c r="J39" s="7" t="s">
        <v>263</v>
      </c>
      <c r="K39" s="5" t="s">
        <v>60</v>
      </c>
      <c r="L39" s="11">
        <v>288</v>
      </c>
      <c r="M39" s="11">
        <v>1987</v>
      </c>
      <c r="N39" s="11">
        <v>1987</v>
      </c>
      <c r="O39" s="15"/>
      <c r="P39" s="8">
        <v>45182</v>
      </c>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4" t="s">
        <v>127</v>
      </c>
      <c r="AY39" s="5" t="s">
        <v>264</v>
      </c>
      <c r="AZ39" s="5" t="s">
        <v>38</v>
      </c>
      <c r="BA39" s="12"/>
      <c r="BB39" s="12"/>
      <c r="BC39" s="12"/>
      <c r="BD39" s="11">
        <v>0</v>
      </c>
      <c r="BE39" s="11">
        <v>0</v>
      </c>
    </row>
    <row x14ac:dyDescent="0.25" r="40" customHeight="1" ht="17.25">
      <c r="A40" s="11">
        <v>1105221</v>
      </c>
      <c r="B40" s="4" t="s">
        <v>265</v>
      </c>
      <c r="C40" s="5" t="s">
        <v>266</v>
      </c>
      <c r="D40" s="5" t="s">
        <v>267</v>
      </c>
      <c r="E40" s="12"/>
      <c r="F40" s="13">
        <f>"0156996820"</f>
      </c>
      <c r="G40" s="13">
        <f>"9780156996822"</f>
      </c>
      <c r="H40" s="11">
        <v>0</v>
      </c>
      <c r="I40" s="14">
        <v>3.6</v>
      </c>
      <c r="J40" s="7" t="s">
        <v>268</v>
      </c>
      <c r="K40" s="5" t="s">
        <v>60</v>
      </c>
      <c r="L40" s="11">
        <v>336</v>
      </c>
      <c r="M40" s="11">
        <v>1992</v>
      </c>
      <c r="N40" s="11">
        <v>1966</v>
      </c>
      <c r="O40" s="15"/>
      <c r="P40" s="8">
        <v>45182</v>
      </c>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4" t="s">
        <v>127</v>
      </c>
      <c r="AY40" s="5" t="s">
        <v>269</v>
      </c>
      <c r="AZ40" s="5" t="s">
        <v>38</v>
      </c>
      <c r="BA40" s="12"/>
      <c r="BB40" s="12"/>
      <c r="BC40" s="12"/>
      <c r="BD40" s="11">
        <v>0</v>
      </c>
      <c r="BE40" s="11">
        <v>0</v>
      </c>
    </row>
    <row x14ac:dyDescent="0.25" r="41" customHeight="1" ht="17.25">
      <c r="A41" s="11">
        <v>52998</v>
      </c>
      <c r="B41" s="4" t="s">
        <v>270</v>
      </c>
      <c r="C41" s="5" t="s">
        <v>271</v>
      </c>
      <c r="D41" s="5" t="s">
        <v>272</v>
      </c>
      <c r="E41" s="5" t="s">
        <v>273</v>
      </c>
      <c r="F41" s="13">
        <f>"0192836730"</f>
      </c>
      <c r="G41" s="13">
        <f>"9780192836731"</f>
      </c>
      <c r="H41" s="11">
        <v>0</v>
      </c>
      <c r="I41" s="14">
        <v>3.61</v>
      </c>
      <c r="J41" s="7" t="s">
        <v>245</v>
      </c>
      <c r="K41" s="5" t="s">
        <v>60</v>
      </c>
      <c r="L41" s="11">
        <v>320</v>
      </c>
      <c r="M41" s="11">
        <v>2000</v>
      </c>
      <c r="N41" s="11">
        <v>1834</v>
      </c>
      <c r="O41" s="15"/>
      <c r="P41" s="8">
        <v>45182</v>
      </c>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4" t="s">
        <v>127</v>
      </c>
      <c r="AY41" s="5" t="s">
        <v>274</v>
      </c>
      <c r="AZ41" s="5" t="s">
        <v>38</v>
      </c>
      <c r="BA41" s="12"/>
      <c r="BB41" s="12"/>
      <c r="BC41" s="12"/>
      <c r="BD41" s="11">
        <v>0</v>
      </c>
      <c r="BE41" s="11">
        <v>0</v>
      </c>
    </row>
    <row x14ac:dyDescent="0.25" r="42" customHeight="1" ht="17.25">
      <c r="A42" s="11">
        <v>220432</v>
      </c>
      <c r="B42" s="4" t="s">
        <v>275</v>
      </c>
      <c r="C42" s="5" t="s">
        <v>276</v>
      </c>
      <c r="D42" s="5" t="s">
        <v>277</v>
      </c>
      <c r="E42" s="12"/>
      <c r="F42" s="13">
        <f>"0201488329"</f>
      </c>
      <c r="G42" s="13">
        <f>"9780201488326"</f>
      </c>
      <c r="H42" s="11">
        <v>0</v>
      </c>
      <c r="I42" s="14">
        <v>3.78</v>
      </c>
      <c r="J42" s="7" t="s">
        <v>278</v>
      </c>
      <c r="K42" s="5" t="s">
        <v>60</v>
      </c>
      <c r="L42" s="11">
        <v>382</v>
      </c>
      <c r="M42" s="11">
        <v>1996</v>
      </c>
      <c r="N42" s="11">
        <v>1995</v>
      </c>
      <c r="O42" s="15"/>
      <c r="P42" s="8">
        <v>45182</v>
      </c>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4" t="s">
        <v>127</v>
      </c>
      <c r="AY42" s="5" t="s">
        <v>279</v>
      </c>
      <c r="AZ42" s="5" t="s">
        <v>38</v>
      </c>
      <c r="BA42" s="12"/>
      <c r="BB42" s="12"/>
      <c r="BC42" s="12"/>
      <c r="BD42" s="11">
        <v>0</v>
      </c>
      <c r="BE42" s="11">
        <v>0</v>
      </c>
    </row>
    <row x14ac:dyDescent="0.25" r="43" customHeight="1" ht="17.25">
      <c r="A43" s="11">
        <v>11987</v>
      </c>
      <c r="B43" s="4" t="s">
        <v>280</v>
      </c>
      <c r="C43" s="5" t="s">
        <v>281</v>
      </c>
      <c r="D43" s="5" t="s">
        <v>282</v>
      </c>
      <c r="E43" s="5" t="s">
        <v>283</v>
      </c>
      <c r="F43" s="13">
        <f>""</f>
      </c>
      <c r="G43" s="13">
        <f>""</f>
      </c>
      <c r="H43" s="11">
        <v>0</v>
      </c>
      <c r="I43" s="14">
        <v>4.22</v>
      </c>
      <c r="J43" s="7" t="s">
        <v>284</v>
      </c>
      <c r="K43" s="5" t="s">
        <v>60</v>
      </c>
      <c r="L43" s="11">
        <v>212</v>
      </c>
      <c r="M43" s="11">
        <v>1991</v>
      </c>
      <c r="N43" s="11">
        <v>1942</v>
      </c>
      <c r="O43" s="15"/>
      <c r="P43" s="8">
        <v>45182</v>
      </c>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4" t="s">
        <v>127</v>
      </c>
      <c r="AY43" s="5" t="s">
        <v>285</v>
      </c>
      <c r="AZ43" s="5" t="s">
        <v>38</v>
      </c>
      <c r="BA43" s="12"/>
      <c r="BB43" s="12"/>
      <c r="BC43" s="12"/>
      <c r="BD43" s="11">
        <v>0</v>
      </c>
      <c r="BE43" s="11">
        <v>0</v>
      </c>
    </row>
    <row x14ac:dyDescent="0.25" r="44" customHeight="1" ht="17.25">
      <c r="A44" s="11">
        <v>33125738</v>
      </c>
      <c r="B44" s="4" t="s">
        <v>286</v>
      </c>
      <c r="C44" s="5" t="s">
        <v>287</v>
      </c>
      <c r="D44" s="5" t="s">
        <v>288</v>
      </c>
      <c r="E44" s="5" t="s">
        <v>289</v>
      </c>
      <c r="F44" s="13">
        <f>"0141192283"</f>
      </c>
      <c r="G44" s="13">
        <f>"9780141192284"</f>
      </c>
      <c r="H44" s="11">
        <v>0</v>
      </c>
      <c r="I44" s="14">
        <v>4.12</v>
      </c>
      <c r="J44" s="7" t="s">
        <v>263</v>
      </c>
      <c r="K44" s="5" t="s">
        <v>60</v>
      </c>
      <c r="L44" s="11">
        <v>1424</v>
      </c>
      <c r="M44" s="11">
        <v>2022</v>
      </c>
      <c r="N44" s="11">
        <v>1621</v>
      </c>
      <c r="O44" s="15"/>
      <c r="P44" s="9">
        <v>44484</v>
      </c>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4" t="s">
        <v>127</v>
      </c>
      <c r="AY44" s="5" t="s">
        <v>290</v>
      </c>
      <c r="AZ44" s="5" t="s">
        <v>38</v>
      </c>
      <c r="BA44" s="12"/>
      <c r="BB44" s="12"/>
      <c r="BC44" s="12"/>
      <c r="BD44" s="11">
        <v>0</v>
      </c>
      <c r="BE44" s="11">
        <v>0</v>
      </c>
    </row>
    <row x14ac:dyDescent="0.25" r="45" customHeight="1" ht="17.25">
      <c r="A45" s="11">
        <v>229733</v>
      </c>
      <c r="B45" s="4" t="s">
        <v>291</v>
      </c>
      <c r="C45" s="5" t="s">
        <v>292</v>
      </c>
      <c r="D45" s="5" t="s">
        <v>293</v>
      </c>
      <c r="E45" s="12"/>
      <c r="F45" s="13">
        <f>"0099490668"</f>
      </c>
      <c r="G45" s="13">
        <f>"9780099490661"</f>
      </c>
      <c r="H45" s="11">
        <v>0</v>
      </c>
      <c r="I45" s="14">
        <v>4.02</v>
      </c>
      <c r="J45" s="7" t="s">
        <v>294</v>
      </c>
      <c r="K45" s="5" t="s">
        <v>60</v>
      </c>
      <c r="L45" s="11">
        <v>304</v>
      </c>
      <c r="M45" s="11">
        <v>2006</v>
      </c>
      <c r="N45" s="11">
        <v>1925</v>
      </c>
      <c r="O45" s="15"/>
      <c r="P45" s="8">
        <v>45182</v>
      </c>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4" t="s">
        <v>127</v>
      </c>
      <c r="AY45" s="5" t="s">
        <v>295</v>
      </c>
      <c r="AZ45" s="5" t="s">
        <v>38</v>
      </c>
      <c r="BA45" s="12"/>
      <c r="BB45" s="12"/>
      <c r="BC45" s="12"/>
      <c r="BD45" s="11">
        <v>0</v>
      </c>
      <c r="BE45" s="11">
        <v>0</v>
      </c>
    </row>
    <row x14ac:dyDescent="0.25" r="46" customHeight="1" ht="17.25">
      <c r="A46" s="11">
        <v>317338</v>
      </c>
      <c r="B46" s="4" t="s">
        <v>296</v>
      </c>
      <c r="C46" s="5" t="s">
        <v>297</v>
      </c>
      <c r="D46" s="5" t="s">
        <v>298</v>
      </c>
      <c r="E46" s="12"/>
      <c r="F46" s="13">
        <f>"0415103479"</f>
      </c>
      <c r="G46" s="13">
        <f>"9780415103473"</f>
      </c>
      <c r="H46" s="11">
        <v>0</v>
      </c>
      <c r="I46" s="14">
        <v>3.96</v>
      </c>
      <c r="J46" s="7" t="s">
        <v>163</v>
      </c>
      <c r="K46" s="5" t="s">
        <v>60</v>
      </c>
      <c r="L46" s="11">
        <v>222</v>
      </c>
      <c r="M46" s="11">
        <v>1993</v>
      </c>
      <c r="N46" s="11">
        <v>1993</v>
      </c>
      <c r="O46" s="15"/>
      <c r="P46" s="8">
        <v>45182</v>
      </c>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4" t="s">
        <v>127</v>
      </c>
      <c r="AY46" s="5" t="s">
        <v>299</v>
      </c>
      <c r="AZ46" s="5" t="s">
        <v>38</v>
      </c>
      <c r="BA46" s="12"/>
      <c r="BB46" s="12"/>
      <c r="BC46" s="12"/>
      <c r="BD46" s="11">
        <v>0</v>
      </c>
      <c r="BE46" s="11">
        <v>0</v>
      </c>
    </row>
    <row x14ac:dyDescent="0.25" r="47" customHeight="1" ht="17.25">
      <c r="A47" s="11">
        <v>2351302</v>
      </c>
      <c r="B47" s="4" t="s">
        <v>300</v>
      </c>
      <c r="C47" s="5" t="s">
        <v>301</v>
      </c>
      <c r="D47" s="5" t="s">
        <v>302</v>
      </c>
      <c r="E47" s="12"/>
      <c r="F47" s="13">
        <f>"0195131061"</f>
      </c>
      <c r="G47" s="13">
        <f>"9780195131062"</f>
      </c>
      <c r="H47" s="11">
        <v>0</v>
      </c>
      <c r="I47" s="14">
        <v>3.36</v>
      </c>
      <c r="J47" s="7" t="s">
        <v>245</v>
      </c>
      <c r="K47" s="5" t="s">
        <v>60</v>
      </c>
      <c r="L47" s="11">
        <v>256</v>
      </c>
      <c r="M47" s="11">
        <v>1999</v>
      </c>
      <c r="N47" s="11">
        <v>1998</v>
      </c>
      <c r="O47" s="15"/>
      <c r="P47" s="8">
        <v>45181</v>
      </c>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4" t="s">
        <v>127</v>
      </c>
      <c r="AY47" s="5" t="s">
        <v>303</v>
      </c>
      <c r="AZ47" s="5" t="s">
        <v>38</v>
      </c>
      <c r="BA47" s="12"/>
      <c r="BB47" s="12"/>
      <c r="BC47" s="12"/>
      <c r="BD47" s="11">
        <v>0</v>
      </c>
      <c r="BE47" s="11">
        <v>0</v>
      </c>
    </row>
    <row x14ac:dyDescent="0.25" r="48" customHeight="1" ht="17.25">
      <c r="A48" s="11">
        <v>152435</v>
      </c>
      <c r="B48" s="4" t="s">
        <v>304</v>
      </c>
      <c r="C48" s="5" t="s">
        <v>305</v>
      </c>
      <c r="D48" s="5" t="s">
        <v>306</v>
      </c>
      <c r="E48" s="12"/>
      <c r="F48" s="13">
        <f>"0226039056"</f>
      </c>
      <c r="G48" s="13">
        <f>"9780226039053"</f>
      </c>
      <c r="H48" s="11">
        <v>0</v>
      </c>
      <c r="I48" s="14">
        <v>4.25</v>
      </c>
      <c r="J48" s="7" t="s">
        <v>255</v>
      </c>
      <c r="K48" s="5" t="s">
        <v>60</v>
      </c>
      <c r="L48" s="11">
        <v>533</v>
      </c>
      <c r="M48" s="11">
        <v>2000</v>
      </c>
      <c r="N48" s="11">
        <v>1972</v>
      </c>
      <c r="O48" s="15"/>
      <c r="P48" s="8">
        <v>45181</v>
      </c>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4" t="s">
        <v>127</v>
      </c>
      <c r="AY48" s="5" t="s">
        <v>307</v>
      </c>
      <c r="AZ48" s="5" t="s">
        <v>38</v>
      </c>
      <c r="BA48" s="12"/>
      <c r="BB48" s="12"/>
      <c r="BC48" s="12"/>
      <c r="BD48" s="11">
        <v>0</v>
      </c>
      <c r="BE48" s="11">
        <v>0</v>
      </c>
    </row>
    <row x14ac:dyDescent="0.25" r="49" customHeight="1" ht="17.25">
      <c r="A49" s="11">
        <v>2761</v>
      </c>
      <c r="B49" s="4" t="s">
        <v>308</v>
      </c>
      <c r="C49" s="5" t="s">
        <v>309</v>
      </c>
      <c r="D49" s="5" t="s">
        <v>310</v>
      </c>
      <c r="E49" s="12"/>
      <c r="F49" s="13">
        <f>"0684832402"</f>
      </c>
      <c r="G49" s="13">
        <f>"9780684832401"</f>
      </c>
      <c r="H49" s="11">
        <v>0</v>
      </c>
      <c r="I49" s="14">
        <v>4.1</v>
      </c>
      <c r="J49" s="7" t="s">
        <v>311</v>
      </c>
      <c r="K49" s="5" t="s">
        <v>60</v>
      </c>
      <c r="L49" s="11">
        <v>336</v>
      </c>
      <c r="M49" s="11">
        <v>1997</v>
      </c>
      <c r="N49" s="11">
        <v>1973</v>
      </c>
      <c r="O49" s="15"/>
      <c r="P49" s="8">
        <v>45181</v>
      </c>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4" t="s">
        <v>127</v>
      </c>
      <c r="AY49" s="5" t="s">
        <v>312</v>
      </c>
      <c r="AZ49" s="5" t="s">
        <v>38</v>
      </c>
      <c r="BA49" s="12"/>
      <c r="BB49" s="12"/>
      <c r="BC49" s="12"/>
      <c r="BD49" s="11">
        <v>0</v>
      </c>
      <c r="BE49" s="11">
        <v>0</v>
      </c>
    </row>
    <row x14ac:dyDescent="0.25" r="50" customHeight="1" ht="17.25">
      <c r="A50" s="11">
        <v>18947760</v>
      </c>
      <c r="B50" s="4" t="s">
        <v>313</v>
      </c>
      <c r="C50" s="5" t="s">
        <v>314</v>
      </c>
      <c r="D50" s="5" t="s">
        <v>315</v>
      </c>
      <c r="E50" s="12"/>
      <c r="F50" s="13">
        <f>""</f>
      </c>
      <c r="G50" s="13">
        <f>""</f>
      </c>
      <c r="H50" s="11">
        <v>0</v>
      </c>
      <c r="I50" s="14">
        <v>4.38</v>
      </c>
      <c r="J50" s="7" t="s">
        <v>316</v>
      </c>
      <c r="K50" s="5" t="s">
        <v>90</v>
      </c>
      <c r="L50" s="11">
        <v>484</v>
      </c>
      <c r="M50" s="11">
        <v>2012</v>
      </c>
      <c r="N50" s="11">
        <v>1961</v>
      </c>
      <c r="O50" s="15"/>
      <c r="P50" s="8">
        <v>45181</v>
      </c>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4" t="s">
        <v>127</v>
      </c>
      <c r="AY50" s="5" t="s">
        <v>317</v>
      </c>
      <c r="AZ50" s="5" t="s">
        <v>38</v>
      </c>
      <c r="BA50" s="12"/>
      <c r="BB50" s="12"/>
      <c r="BC50" s="12"/>
      <c r="BD50" s="11">
        <v>0</v>
      </c>
      <c r="BE50" s="11">
        <v>0</v>
      </c>
    </row>
    <row x14ac:dyDescent="0.25" r="51" customHeight="1" ht="17.25">
      <c r="A51" s="11">
        <v>12279</v>
      </c>
      <c r="B51" s="4" t="s">
        <v>318</v>
      </c>
      <c r="C51" s="5" t="s">
        <v>314</v>
      </c>
      <c r="D51" s="5" t="s">
        <v>315</v>
      </c>
      <c r="E51" s="5" t="s">
        <v>319</v>
      </c>
      <c r="F51" s="13">
        <f>"0375400702"</f>
      </c>
      <c r="G51" s="13">
        <f>"9780375400704"</f>
      </c>
      <c r="H51" s="11">
        <v>0</v>
      </c>
      <c r="I51" s="14">
        <v>4.28</v>
      </c>
      <c r="J51" s="7" t="s">
        <v>320</v>
      </c>
      <c r="K51" s="5" t="s">
        <v>72</v>
      </c>
      <c r="L51" s="11">
        <v>512</v>
      </c>
      <c r="M51" s="11">
        <v>1997</v>
      </c>
      <c r="N51" s="11">
        <v>1958</v>
      </c>
      <c r="O51" s="15"/>
      <c r="P51" s="8">
        <v>45181</v>
      </c>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4" t="s">
        <v>127</v>
      </c>
      <c r="AY51" s="5" t="s">
        <v>321</v>
      </c>
      <c r="AZ51" s="5" t="s">
        <v>38</v>
      </c>
      <c r="BA51" s="12"/>
      <c r="BB51" s="12"/>
      <c r="BC51" s="12"/>
      <c r="BD51" s="11">
        <v>0</v>
      </c>
      <c r="BE51" s="11">
        <v>0</v>
      </c>
    </row>
    <row x14ac:dyDescent="0.25" r="52" customHeight="1" ht="17.25">
      <c r="A52" s="11">
        <v>4976798</v>
      </c>
      <c r="B52" s="4" t="s">
        <v>322</v>
      </c>
      <c r="C52" s="5" t="s">
        <v>323</v>
      </c>
      <c r="D52" s="5" t="s">
        <v>324</v>
      </c>
      <c r="E52" s="12"/>
      <c r="F52" s="13">
        <f>"0275944050"</f>
      </c>
      <c r="G52" s="13">
        <f>"9780275944056"</f>
      </c>
      <c r="H52" s="11">
        <v>0</v>
      </c>
      <c r="I52" s="11">
        <v>0</v>
      </c>
      <c r="J52" s="7" t="s">
        <v>325</v>
      </c>
      <c r="K52" s="5" t="s">
        <v>72</v>
      </c>
      <c r="L52" s="11">
        <v>320</v>
      </c>
      <c r="M52" s="11">
        <v>1993</v>
      </c>
      <c r="N52" s="11">
        <v>1993</v>
      </c>
      <c r="O52" s="15"/>
      <c r="P52" s="8">
        <v>45181</v>
      </c>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4" t="s">
        <v>127</v>
      </c>
      <c r="AY52" s="5" t="s">
        <v>326</v>
      </c>
      <c r="AZ52" s="5" t="s">
        <v>38</v>
      </c>
      <c r="BA52" s="12"/>
      <c r="BB52" s="12"/>
      <c r="BC52" s="12"/>
      <c r="BD52" s="11">
        <v>0</v>
      </c>
      <c r="BE52" s="11">
        <v>0</v>
      </c>
    </row>
    <row x14ac:dyDescent="0.25" r="53" customHeight="1" ht="17.25">
      <c r="A53" s="11">
        <v>20942</v>
      </c>
      <c r="B53" s="4" t="s">
        <v>327</v>
      </c>
      <c r="C53" s="5" t="s">
        <v>328</v>
      </c>
      <c r="D53" s="5" t="s">
        <v>329</v>
      </c>
      <c r="E53" s="12"/>
      <c r="F53" s="13">
        <f>"157322751X"</f>
      </c>
      <c r="G53" s="13">
        <f>"9781573227513"</f>
      </c>
      <c r="H53" s="11">
        <v>0</v>
      </c>
      <c r="I53" s="14">
        <v>4.03</v>
      </c>
      <c r="J53" s="7" t="s">
        <v>330</v>
      </c>
      <c r="K53" s="5" t="s">
        <v>60</v>
      </c>
      <c r="L53" s="11">
        <v>745</v>
      </c>
      <c r="M53" s="11">
        <v>1999</v>
      </c>
      <c r="N53" s="11">
        <v>1998</v>
      </c>
      <c r="O53" s="15"/>
      <c r="P53" s="8">
        <v>45181</v>
      </c>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4" t="s">
        <v>127</v>
      </c>
      <c r="AY53" s="5" t="s">
        <v>331</v>
      </c>
      <c r="AZ53" s="5" t="s">
        <v>38</v>
      </c>
      <c r="BA53" s="12"/>
      <c r="BB53" s="12"/>
      <c r="BC53" s="12"/>
      <c r="BD53" s="11">
        <v>0</v>
      </c>
      <c r="BE53" s="11">
        <v>0</v>
      </c>
    </row>
    <row x14ac:dyDescent="0.25" r="54" customHeight="1" ht="17.25">
      <c r="A54" s="11">
        <v>311466</v>
      </c>
      <c r="B54" s="4" t="s">
        <v>332</v>
      </c>
      <c r="C54" s="5" t="s">
        <v>333</v>
      </c>
      <c r="D54" s="5" t="s">
        <v>334</v>
      </c>
      <c r="E54" s="12"/>
      <c r="F54" s="13">
        <f>"0786716568"</f>
      </c>
      <c r="G54" s="13">
        <f>"9780786716562"</f>
      </c>
      <c r="H54" s="11">
        <v>0</v>
      </c>
      <c r="I54" s="14">
        <v>3.98</v>
      </c>
      <c r="J54" s="7" t="s">
        <v>335</v>
      </c>
      <c r="K54" s="5" t="s">
        <v>60</v>
      </c>
      <c r="L54" s="11">
        <v>496</v>
      </c>
      <c r="M54" s="11">
        <v>2005</v>
      </c>
      <c r="N54" s="11">
        <v>2003</v>
      </c>
      <c r="O54" s="15"/>
      <c r="P54" s="8">
        <v>45181</v>
      </c>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4" t="s">
        <v>192</v>
      </c>
      <c r="AY54" s="5" t="s">
        <v>336</v>
      </c>
      <c r="AZ54" s="5" t="s">
        <v>38</v>
      </c>
      <c r="BA54" s="12"/>
      <c r="BB54" s="12"/>
      <c r="BC54" s="12"/>
      <c r="BD54" s="11">
        <v>0</v>
      </c>
      <c r="BE54" s="11">
        <v>0</v>
      </c>
    </row>
    <row x14ac:dyDescent="0.25" r="55" customHeight="1" ht="17.25">
      <c r="A55" s="11">
        <v>536387</v>
      </c>
      <c r="B55" s="4" t="s">
        <v>337</v>
      </c>
      <c r="C55" s="5" t="s">
        <v>338</v>
      </c>
      <c r="D55" s="5" t="s">
        <v>339</v>
      </c>
      <c r="E55" s="5" t="s">
        <v>340</v>
      </c>
      <c r="F55" s="13">
        <f>"0192835459"</f>
      </c>
      <c r="G55" s="13">
        <f>"9780192835451"</f>
      </c>
      <c r="H55" s="11">
        <v>0</v>
      </c>
      <c r="I55" s="14">
        <v>4.21</v>
      </c>
      <c r="J55" s="7" t="s">
        <v>245</v>
      </c>
      <c r="K55" s="5" t="s">
        <v>60</v>
      </c>
      <c r="L55" s="11">
        <v>464</v>
      </c>
      <c r="M55" s="11">
        <v>1998</v>
      </c>
      <c r="N55" s="11">
        <v>1857</v>
      </c>
      <c r="O55" s="15"/>
      <c r="P55" s="8">
        <v>41545</v>
      </c>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4" t="s">
        <v>127</v>
      </c>
      <c r="AY55" s="5" t="s">
        <v>341</v>
      </c>
      <c r="AZ55" s="5" t="s">
        <v>38</v>
      </c>
      <c r="BA55" s="12"/>
      <c r="BB55" s="12"/>
      <c r="BC55" s="12"/>
      <c r="BD55" s="11">
        <v>0</v>
      </c>
      <c r="BE55" s="11">
        <v>0</v>
      </c>
    </row>
    <row x14ac:dyDescent="0.25" r="56" customHeight="1" ht="17.25">
      <c r="A56" s="11">
        <v>808322</v>
      </c>
      <c r="B56" s="4" t="s">
        <v>342</v>
      </c>
      <c r="C56" s="5" t="s">
        <v>343</v>
      </c>
      <c r="D56" s="5" t="s">
        <v>344</v>
      </c>
      <c r="E56" s="12"/>
      <c r="F56" s="13">
        <f>"0671832042"</f>
      </c>
      <c r="G56" s="13">
        <f>"9780671832049"</f>
      </c>
      <c r="H56" s="11">
        <v>0</v>
      </c>
      <c r="I56" s="14">
        <v>4.07</v>
      </c>
      <c r="J56" s="7" t="s">
        <v>345</v>
      </c>
      <c r="K56" s="5" t="s">
        <v>346</v>
      </c>
      <c r="L56" s="11">
        <v>159</v>
      </c>
      <c r="M56" s="11">
        <v>1980</v>
      </c>
      <c r="N56" s="11">
        <v>1972</v>
      </c>
      <c r="O56" s="15"/>
      <c r="P56" s="8">
        <v>44416</v>
      </c>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4" t="s">
        <v>347</v>
      </c>
      <c r="AY56" s="5" t="s">
        <v>348</v>
      </c>
      <c r="AZ56" s="5" t="s">
        <v>38</v>
      </c>
      <c r="BA56" s="12"/>
      <c r="BB56" s="12"/>
      <c r="BC56" s="12"/>
      <c r="BD56" s="11">
        <v>0</v>
      </c>
      <c r="BE56" s="11">
        <v>0</v>
      </c>
    </row>
    <row x14ac:dyDescent="0.25" r="57" customHeight="1" ht="17.25">
      <c r="A57" s="11">
        <v>73860</v>
      </c>
      <c r="B57" s="4" t="s">
        <v>349</v>
      </c>
      <c r="C57" s="5" t="s">
        <v>350</v>
      </c>
      <c r="D57" s="5" t="s">
        <v>351</v>
      </c>
      <c r="E57" s="12"/>
      <c r="F57" s="13">
        <f>"0345339258"</f>
      </c>
      <c r="G57" s="13">
        <f>"9780345339256"</f>
      </c>
      <c r="H57" s="11">
        <v>0</v>
      </c>
      <c r="I57" s="14">
        <v>4.21</v>
      </c>
      <c r="J57" s="7" t="s">
        <v>352</v>
      </c>
      <c r="K57" s="5" t="s">
        <v>346</v>
      </c>
      <c r="L57" s="11">
        <v>224</v>
      </c>
      <c r="M57" s="11">
        <v>1986</v>
      </c>
      <c r="N57" s="11">
        <v>1964</v>
      </c>
      <c r="O57" s="15"/>
      <c r="P57" s="8">
        <v>45181</v>
      </c>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4" t="s">
        <v>127</v>
      </c>
      <c r="AY57" s="5" t="s">
        <v>353</v>
      </c>
      <c r="AZ57" s="5" t="s">
        <v>38</v>
      </c>
      <c r="BA57" s="12"/>
      <c r="BB57" s="12"/>
      <c r="BC57" s="12"/>
      <c r="BD57" s="11">
        <v>0</v>
      </c>
      <c r="BE57" s="11">
        <v>0</v>
      </c>
    </row>
    <row x14ac:dyDescent="0.25" r="58" customHeight="1" ht="17.25">
      <c r="A58" s="11">
        <v>361991</v>
      </c>
      <c r="B58" s="4" t="s">
        <v>354</v>
      </c>
      <c r="C58" s="5" t="s">
        <v>355</v>
      </c>
      <c r="D58" s="5" t="s">
        <v>356</v>
      </c>
      <c r="E58" s="12"/>
      <c r="F58" s="13">
        <f>"0195537688"</f>
      </c>
      <c r="G58" s="13">
        <f>"9780195537680"</f>
      </c>
      <c r="H58" s="11">
        <v>0</v>
      </c>
      <c r="I58" s="14">
        <v>3.5</v>
      </c>
      <c r="J58" s="7" t="s">
        <v>245</v>
      </c>
      <c r="K58" s="5" t="s">
        <v>60</v>
      </c>
      <c r="L58" s="11">
        <v>240</v>
      </c>
      <c r="M58" s="11">
        <v>1996</v>
      </c>
      <c r="N58" s="11">
        <v>1996</v>
      </c>
      <c r="O58" s="15"/>
      <c r="P58" s="8">
        <v>45181</v>
      </c>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4" t="s">
        <v>127</v>
      </c>
      <c r="AY58" s="5" t="s">
        <v>357</v>
      </c>
      <c r="AZ58" s="5" t="s">
        <v>38</v>
      </c>
      <c r="BA58" s="12"/>
      <c r="BB58" s="12"/>
      <c r="BC58" s="12"/>
      <c r="BD58" s="11">
        <v>0</v>
      </c>
      <c r="BE58" s="11">
        <v>0</v>
      </c>
    </row>
    <row x14ac:dyDescent="0.25" r="59" customHeight="1" ht="17.25">
      <c r="A59" s="11">
        <v>1768631</v>
      </c>
      <c r="B59" s="4" t="s">
        <v>358</v>
      </c>
      <c r="C59" s="5" t="s">
        <v>359</v>
      </c>
      <c r="D59" s="5" t="s">
        <v>360</v>
      </c>
      <c r="E59" s="5" t="s">
        <v>361</v>
      </c>
      <c r="F59" s="13">
        <f>"0810961687"</f>
      </c>
      <c r="G59" s="13">
        <f>"9780810961685"</f>
      </c>
      <c r="H59" s="11">
        <v>0</v>
      </c>
      <c r="I59" s="14">
        <v>4.46</v>
      </c>
      <c r="J59" s="7" t="s">
        <v>362</v>
      </c>
      <c r="K59" s="5" t="s">
        <v>72</v>
      </c>
      <c r="L59" s="11">
        <v>167</v>
      </c>
      <c r="M59" s="11">
        <v>1715</v>
      </c>
      <c r="N59" s="11">
        <v>1996</v>
      </c>
      <c r="O59" s="15"/>
      <c r="P59" s="8">
        <v>45181</v>
      </c>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4" t="s">
        <v>127</v>
      </c>
      <c r="AY59" s="5" t="s">
        <v>363</v>
      </c>
      <c r="AZ59" s="5" t="s">
        <v>38</v>
      </c>
      <c r="BA59" s="12"/>
      <c r="BB59" s="12"/>
      <c r="BC59" s="12"/>
      <c r="BD59" s="11">
        <v>0</v>
      </c>
      <c r="BE59" s="11">
        <v>0</v>
      </c>
    </row>
    <row x14ac:dyDescent="0.25" r="60" customHeight="1" ht="17.25">
      <c r="A60" s="11">
        <v>1652685</v>
      </c>
      <c r="B60" s="4" t="s">
        <v>364</v>
      </c>
      <c r="C60" s="5" t="s">
        <v>365</v>
      </c>
      <c r="D60" s="5" t="s">
        <v>366</v>
      </c>
      <c r="E60" s="5" t="s">
        <v>367</v>
      </c>
      <c r="F60" s="13">
        <f>"0140585095"</f>
      </c>
      <c r="G60" s="13">
        <f>"9780140585094"</f>
      </c>
      <c r="H60" s="11">
        <v>0</v>
      </c>
      <c r="I60" s="14">
        <v>3.91</v>
      </c>
      <c r="J60" s="7" t="s">
        <v>150</v>
      </c>
      <c r="K60" s="5" t="s">
        <v>60</v>
      </c>
      <c r="L60" s="11">
        <v>272</v>
      </c>
      <c r="M60" s="11">
        <v>1985</v>
      </c>
      <c r="N60" s="11">
        <v>1965</v>
      </c>
      <c r="O60" s="15"/>
      <c r="P60" s="8">
        <v>45181</v>
      </c>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4" t="s">
        <v>127</v>
      </c>
      <c r="AY60" s="5" t="s">
        <v>368</v>
      </c>
      <c r="AZ60" s="5" t="s">
        <v>38</v>
      </c>
      <c r="BA60" s="12"/>
      <c r="BB60" s="12"/>
      <c r="BC60" s="12"/>
      <c r="BD60" s="11">
        <v>0</v>
      </c>
      <c r="BE60" s="11">
        <v>0</v>
      </c>
    </row>
    <row x14ac:dyDescent="0.25" r="61" customHeight="1" ht="17.25">
      <c r="A61" s="11">
        <v>1116430</v>
      </c>
      <c r="B61" s="4" t="s">
        <v>369</v>
      </c>
      <c r="C61" s="5" t="s">
        <v>370</v>
      </c>
      <c r="D61" s="5" t="s">
        <v>371</v>
      </c>
      <c r="E61" s="12"/>
      <c r="F61" s="13">
        <f>"0415178584"</f>
      </c>
      <c r="G61" s="13">
        <f>"9780415178587"</f>
      </c>
      <c r="H61" s="11">
        <v>0</v>
      </c>
      <c r="I61" s="11">
        <v>4</v>
      </c>
      <c r="J61" s="7" t="s">
        <v>163</v>
      </c>
      <c r="K61" s="5" t="s">
        <v>60</v>
      </c>
      <c r="L61" s="16"/>
      <c r="M61" s="11">
        <v>1998</v>
      </c>
      <c r="N61" s="11">
        <v>1998</v>
      </c>
      <c r="O61" s="15"/>
      <c r="P61" s="8">
        <v>45181</v>
      </c>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4" t="s">
        <v>127</v>
      </c>
      <c r="AY61" s="5" t="s">
        <v>372</v>
      </c>
      <c r="AZ61" s="5" t="s">
        <v>38</v>
      </c>
      <c r="BA61" s="12"/>
      <c r="BB61" s="12"/>
      <c r="BC61" s="12"/>
      <c r="BD61" s="11">
        <v>0</v>
      </c>
      <c r="BE61" s="11">
        <v>0</v>
      </c>
    </row>
    <row x14ac:dyDescent="0.25" r="62" customHeight="1" ht="17.25">
      <c r="A62" s="11">
        <v>45546</v>
      </c>
      <c r="B62" s="4" t="s">
        <v>373</v>
      </c>
      <c r="C62" s="5" t="s">
        <v>374</v>
      </c>
      <c r="D62" s="5" t="s">
        <v>375</v>
      </c>
      <c r="E62" s="12"/>
      <c r="F62" s="13">
        <f>"074347788X"</f>
      </c>
      <c r="G62" s="13">
        <f>"9780743477888"</f>
      </c>
      <c r="H62" s="11">
        <v>0</v>
      </c>
      <c r="I62" s="14">
        <v>4.21</v>
      </c>
      <c r="J62" s="7" t="s">
        <v>376</v>
      </c>
      <c r="K62" s="5" t="s">
        <v>60</v>
      </c>
      <c r="L62" s="11">
        <v>592</v>
      </c>
      <c r="M62" s="11">
        <v>2003</v>
      </c>
      <c r="N62" s="11">
        <v>1996</v>
      </c>
      <c r="O62" s="15"/>
      <c r="P62" s="8">
        <v>45181</v>
      </c>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4" t="s">
        <v>127</v>
      </c>
      <c r="AY62" s="5" t="s">
        <v>377</v>
      </c>
      <c r="AZ62" s="5" t="s">
        <v>38</v>
      </c>
      <c r="BA62" s="12"/>
      <c r="BB62" s="12"/>
      <c r="BC62" s="12"/>
      <c r="BD62" s="11">
        <v>0</v>
      </c>
      <c r="BE62" s="11">
        <v>0</v>
      </c>
    </row>
    <row x14ac:dyDescent="0.25" r="63" customHeight="1" ht="17.25">
      <c r="A63" s="11">
        <v>1565225</v>
      </c>
      <c r="B63" s="4" t="s">
        <v>378</v>
      </c>
      <c r="C63" s="5" t="s">
        <v>379</v>
      </c>
      <c r="D63" s="5" t="s">
        <v>380</v>
      </c>
      <c r="E63" s="12"/>
      <c r="F63" s="13">
        <f>"1853024449"</f>
      </c>
      <c r="G63" s="13">
        <f>"9781853024443"</f>
      </c>
      <c r="H63" s="11">
        <v>0</v>
      </c>
      <c r="I63" s="14">
        <v>3.5</v>
      </c>
      <c r="J63" s="7" t="s">
        <v>381</v>
      </c>
      <c r="K63" s="5" t="s">
        <v>60</v>
      </c>
      <c r="L63" s="11">
        <v>320</v>
      </c>
      <c r="M63" s="11">
        <v>1997</v>
      </c>
      <c r="N63" s="11">
        <v>1997</v>
      </c>
      <c r="O63" s="15"/>
      <c r="P63" s="8">
        <v>45181</v>
      </c>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4" t="s">
        <v>127</v>
      </c>
      <c r="AY63" s="5" t="s">
        <v>382</v>
      </c>
      <c r="AZ63" s="5" t="s">
        <v>38</v>
      </c>
      <c r="BA63" s="12"/>
      <c r="BB63" s="12"/>
      <c r="BC63" s="12"/>
      <c r="BD63" s="11">
        <v>0</v>
      </c>
      <c r="BE63" s="11">
        <v>0</v>
      </c>
    </row>
    <row x14ac:dyDescent="0.25" r="64" customHeight="1" ht="17.25">
      <c r="A64" s="11">
        <v>3641024</v>
      </c>
      <c r="B64" s="4" t="s">
        <v>383</v>
      </c>
      <c r="C64" s="5" t="s">
        <v>384</v>
      </c>
      <c r="D64" s="5" t="s">
        <v>385</v>
      </c>
      <c r="E64" s="12"/>
      <c r="F64" s="13">
        <f>"0195109449"</f>
      </c>
      <c r="G64" s="13">
        <f>"9780195109443"</f>
      </c>
      <c r="H64" s="11">
        <v>0</v>
      </c>
      <c r="I64" s="14">
        <v>3.5</v>
      </c>
      <c r="J64" s="7" t="s">
        <v>245</v>
      </c>
      <c r="K64" s="5" t="s">
        <v>72</v>
      </c>
      <c r="L64" s="11">
        <v>382</v>
      </c>
      <c r="M64" s="11">
        <v>1997</v>
      </c>
      <c r="N64" s="11">
        <v>1988</v>
      </c>
      <c r="O64" s="15"/>
      <c r="P64" s="8">
        <v>45181</v>
      </c>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4" t="s">
        <v>127</v>
      </c>
      <c r="AY64" s="5" t="s">
        <v>386</v>
      </c>
      <c r="AZ64" s="5" t="s">
        <v>38</v>
      </c>
      <c r="BA64" s="12"/>
      <c r="BB64" s="12"/>
      <c r="BC64" s="12"/>
      <c r="BD64" s="11">
        <v>0</v>
      </c>
      <c r="BE64" s="11">
        <v>0</v>
      </c>
    </row>
    <row x14ac:dyDescent="0.25" r="65" customHeight="1" ht="17.25">
      <c r="A65" s="11">
        <v>9569744</v>
      </c>
      <c r="B65" s="4" t="s">
        <v>387</v>
      </c>
      <c r="C65" s="5" t="s">
        <v>388</v>
      </c>
      <c r="D65" s="5" t="s">
        <v>389</v>
      </c>
      <c r="E65" s="12"/>
      <c r="F65" s="13">
        <f>"0140195300"</f>
      </c>
      <c r="G65" s="13">
        <f>"9780140195309"</f>
      </c>
      <c r="H65" s="11">
        <v>0</v>
      </c>
      <c r="I65" s="11">
        <v>0</v>
      </c>
      <c r="J65" s="7" t="s">
        <v>390</v>
      </c>
      <c r="K65" s="5" t="s">
        <v>60</v>
      </c>
      <c r="L65" s="11">
        <v>320</v>
      </c>
      <c r="M65" s="11">
        <v>1999</v>
      </c>
      <c r="N65" s="11">
        <v>1999</v>
      </c>
      <c r="O65" s="15"/>
      <c r="P65" s="8">
        <v>45181</v>
      </c>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4" t="s">
        <v>127</v>
      </c>
      <c r="AY65" s="5" t="s">
        <v>391</v>
      </c>
      <c r="AZ65" s="5" t="s">
        <v>38</v>
      </c>
      <c r="BA65" s="12"/>
      <c r="BB65" s="12"/>
      <c r="BC65" s="12"/>
      <c r="BD65" s="11">
        <v>0</v>
      </c>
      <c r="BE65" s="11">
        <v>0</v>
      </c>
    </row>
    <row x14ac:dyDescent="0.25" r="66" customHeight="1" ht="17.25">
      <c r="A66" s="11">
        <v>1126350</v>
      </c>
      <c r="B66" s="4" t="s">
        <v>392</v>
      </c>
      <c r="C66" s="5" t="s">
        <v>393</v>
      </c>
      <c r="D66" s="5" t="s">
        <v>394</v>
      </c>
      <c r="E66" s="12"/>
      <c r="F66" s="13">
        <f>"0750912103"</f>
      </c>
      <c r="G66" s="13">
        <f>"9780750912105"</f>
      </c>
      <c r="H66" s="11">
        <v>0</v>
      </c>
      <c r="I66" s="14">
        <v>3.67</v>
      </c>
      <c r="J66" s="7" t="s">
        <v>395</v>
      </c>
      <c r="K66" s="5" t="s">
        <v>72</v>
      </c>
      <c r="L66" s="11">
        <v>176</v>
      </c>
      <c r="M66" s="11">
        <v>1997</v>
      </c>
      <c r="N66" s="11">
        <v>1997</v>
      </c>
      <c r="O66" s="15"/>
      <c r="P66" s="8">
        <v>45181</v>
      </c>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4" t="s">
        <v>127</v>
      </c>
      <c r="AY66" s="5" t="s">
        <v>396</v>
      </c>
      <c r="AZ66" s="5" t="s">
        <v>38</v>
      </c>
      <c r="BA66" s="12"/>
      <c r="BB66" s="12"/>
      <c r="BC66" s="12"/>
      <c r="BD66" s="11">
        <v>0</v>
      </c>
      <c r="BE66" s="11">
        <v>0</v>
      </c>
    </row>
    <row x14ac:dyDescent="0.25" r="67" customHeight="1" ht="17.25">
      <c r="A67" s="11">
        <v>1006306</v>
      </c>
      <c r="B67" s="4" t="s">
        <v>397</v>
      </c>
      <c r="C67" s="5" t="s">
        <v>398</v>
      </c>
      <c r="D67" s="5" t="s">
        <v>399</v>
      </c>
      <c r="E67" s="12"/>
      <c r="F67" s="13">
        <f>"0393306577"</f>
      </c>
      <c r="G67" s="13">
        <f>"9780393306576"</f>
      </c>
      <c r="H67" s="11">
        <v>0</v>
      </c>
      <c r="I67" s="14">
        <v>4.02</v>
      </c>
      <c r="J67" s="7" t="s">
        <v>144</v>
      </c>
      <c r="K67" s="5" t="s">
        <v>60</v>
      </c>
      <c r="L67" s="11">
        <v>322</v>
      </c>
      <c r="M67" s="11">
        <v>1990</v>
      </c>
      <c r="N67" s="11">
        <v>1971</v>
      </c>
      <c r="O67" s="15"/>
      <c r="P67" s="8">
        <v>45181</v>
      </c>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4" t="s">
        <v>127</v>
      </c>
      <c r="AY67" s="5" t="s">
        <v>400</v>
      </c>
      <c r="AZ67" s="5" t="s">
        <v>38</v>
      </c>
      <c r="BA67" s="12"/>
      <c r="BB67" s="12"/>
      <c r="BC67" s="12"/>
      <c r="BD67" s="11">
        <v>0</v>
      </c>
      <c r="BE67" s="11">
        <v>0</v>
      </c>
    </row>
    <row x14ac:dyDescent="0.25" r="68" customHeight="1" ht="17.25">
      <c r="A68" s="11">
        <v>26675955</v>
      </c>
      <c r="B68" s="4" t="s">
        <v>401</v>
      </c>
      <c r="C68" s="5" t="s">
        <v>402</v>
      </c>
      <c r="D68" s="5" t="s">
        <v>403</v>
      </c>
      <c r="E68" s="5" t="s">
        <v>404</v>
      </c>
      <c r="F68" s="13">
        <f>"1298510864"</f>
      </c>
      <c r="G68" s="13">
        <f>"9781298510860"</f>
      </c>
      <c r="H68" s="11">
        <v>0</v>
      </c>
      <c r="I68" s="14">
        <v>4.09</v>
      </c>
      <c r="J68" s="7" t="s">
        <v>405</v>
      </c>
      <c r="K68" s="5" t="s">
        <v>72</v>
      </c>
      <c r="L68" s="11">
        <v>532</v>
      </c>
      <c r="M68" s="11">
        <v>2015</v>
      </c>
      <c r="N68" s="11">
        <v>1988</v>
      </c>
      <c r="O68" s="15"/>
      <c r="P68" s="8">
        <v>45181</v>
      </c>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4" t="s">
        <v>127</v>
      </c>
      <c r="AY68" s="5" t="s">
        <v>406</v>
      </c>
      <c r="AZ68" s="5" t="s">
        <v>38</v>
      </c>
      <c r="BA68" s="12"/>
      <c r="BB68" s="12"/>
      <c r="BC68" s="12"/>
      <c r="BD68" s="11">
        <v>0</v>
      </c>
      <c r="BE68" s="11">
        <v>0</v>
      </c>
    </row>
    <row x14ac:dyDescent="0.25" r="69" customHeight="1" ht="17.25">
      <c r="A69" s="11">
        <v>112204</v>
      </c>
      <c r="B69" s="4" t="s">
        <v>407</v>
      </c>
      <c r="C69" s="5" t="s">
        <v>408</v>
      </c>
      <c r="D69" s="5" t="s">
        <v>409</v>
      </c>
      <c r="E69" s="5" t="s">
        <v>410</v>
      </c>
      <c r="F69" s="13">
        <f>""</f>
      </c>
      <c r="G69" s="13">
        <f>""</f>
      </c>
      <c r="H69" s="11">
        <v>0</v>
      </c>
      <c r="I69" s="14">
        <v>4.27</v>
      </c>
      <c r="J69" s="7" t="s">
        <v>411</v>
      </c>
      <c r="K69" s="5" t="s">
        <v>60</v>
      </c>
      <c r="L69" s="11">
        <v>716</v>
      </c>
      <c r="M69" s="11">
        <v>1976</v>
      </c>
      <c r="N69" s="11">
        <v>1890</v>
      </c>
      <c r="O69" s="15"/>
      <c r="P69" s="8">
        <v>45173</v>
      </c>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4" t="s">
        <v>412</v>
      </c>
      <c r="AY69" s="5" t="s">
        <v>413</v>
      </c>
      <c r="AZ69" s="5" t="s">
        <v>38</v>
      </c>
      <c r="BA69" s="12"/>
      <c r="BB69" s="12"/>
      <c r="BC69" s="12"/>
      <c r="BD69" s="11">
        <v>0</v>
      </c>
      <c r="BE69" s="11">
        <v>0</v>
      </c>
    </row>
    <row x14ac:dyDescent="0.25" r="70" customHeight="1" ht="15.75">
      <c r="A70" s="11">
        <v>63185084</v>
      </c>
      <c r="B70" s="4" t="s">
        <v>414</v>
      </c>
      <c r="C70" s="5" t="s">
        <v>415</v>
      </c>
      <c r="D70" s="5" t="s">
        <v>416</v>
      </c>
      <c r="E70" s="5" t="s">
        <v>417</v>
      </c>
      <c r="F70" s="13">
        <f>"0593539648"</f>
      </c>
      <c r="G70" s="13">
        <f>"9780593539644"</f>
      </c>
      <c r="H70" s="11">
        <v>0</v>
      </c>
      <c r="I70" s="14">
        <v>3.71</v>
      </c>
      <c r="J70" s="7" t="s">
        <v>418</v>
      </c>
      <c r="K70" s="5" t="s">
        <v>72</v>
      </c>
      <c r="L70" s="11">
        <v>272</v>
      </c>
      <c r="M70" s="11">
        <v>2023</v>
      </c>
      <c r="N70" s="11">
        <v>2021</v>
      </c>
      <c r="O70" s="15"/>
      <c r="P70" s="8">
        <v>45176</v>
      </c>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4" t="s">
        <v>419</v>
      </c>
      <c r="AY70" s="5" t="s">
        <v>420</v>
      </c>
      <c r="AZ70" s="5" t="s">
        <v>38</v>
      </c>
      <c r="BA70" s="12"/>
      <c r="BB70" s="12"/>
      <c r="BC70" s="12"/>
      <c r="BD70" s="11">
        <v>0</v>
      </c>
      <c r="BE70" s="11">
        <v>0</v>
      </c>
    </row>
    <row x14ac:dyDescent="0.25" r="71" customHeight="1" ht="17.25">
      <c r="A71" s="11">
        <v>59808605</v>
      </c>
      <c r="B71" s="4" t="s">
        <v>421</v>
      </c>
      <c r="C71" s="5" t="s">
        <v>422</v>
      </c>
      <c r="D71" s="5" t="s">
        <v>423</v>
      </c>
      <c r="E71" s="12"/>
      <c r="F71" s="13">
        <f>"0374600848"</f>
      </c>
      <c r="G71" s="13">
        <f>"9780374600846"</f>
      </c>
      <c r="H71" s="11">
        <v>0</v>
      </c>
      <c r="I71" s="14">
        <v>4.15</v>
      </c>
      <c r="J71" s="7" t="s">
        <v>120</v>
      </c>
      <c r="K71" s="5" t="s">
        <v>72</v>
      </c>
      <c r="L71" s="11">
        <v>288</v>
      </c>
      <c r="M71" s="11">
        <v>2022</v>
      </c>
      <c r="N71" s="11">
        <v>2022</v>
      </c>
      <c r="O71" s="15"/>
      <c r="P71" s="8">
        <v>45180</v>
      </c>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4" t="s">
        <v>424</v>
      </c>
      <c r="AY71" s="5" t="s">
        <v>425</v>
      </c>
      <c r="AZ71" s="5" t="s">
        <v>38</v>
      </c>
      <c r="BA71" s="12"/>
      <c r="BB71" s="12"/>
      <c r="BC71" s="12"/>
      <c r="BD71" s="11">
        <v>0</v>
      </c>
      <c r="BE71" s="11">
        <v>0</v>
      </c>
    </row>
    <row x14ac:dyDescent="0.25" r="72" customHeight="1" ht="17.25">
      <c r="A72" s="11">
        <v>846170</v>
      </c>
      <c r="B72" s="4" t="s">
        <v>426</v>
      </c>
      <c r="C72" s="5" t="s">
        <v>427</v>
      </c>
      <c r="D72" s="5" t="s">
        <v>428</v>
      </c>
      <c r="E72" s="12"/>
      <c r="F72" s="13">
        <f>"0684870584"</f>
      </c>
      <c r="G72" s="13">
        <f>"9780684870588"</f>
      </c>
      <c r="H72" s="11">
        <v>0</v>
      </c>
      <c r="I72" s="14">
        <v>3.71</v>
      </c>
      <c r="J72" s="7" t="s">
        <v>311</v>
      </c>
      <c r="K72" s="5" t="s">
        <v>72</v>
      </c>
      <c r="L72" s="11">
        <v>208</v>
      </c>
      <c r="M72" s="11">
        <v>2000</v>
      </c>
      <c r="N72" s="11">
        <v>1999</v>
      </c>
      <c r="O72" s="15"/>
      <c r="P72" s="8">
        <v>45180</v>
      </c>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4" t="s">
        <v>424</v>
      </c>
      <c r="AY72" s="5" t="s">
        <v>429</v>
      </c>
      <c r="AZ72" s="5" t="s">
        <v>38</v>
      </c>
      <c r="BA72" s="12"/>
      <c r="BB72" s="12"/>
      <c r="BC72" s="12"/>
      <c r="BD72" s="11">
        <v>0</v>
      </c>
      <c r="BE72" s="11">
        <v>0</v>
      </c>
    </row>
    <row x14ac:dyDescent="0.25" r="73" customHeight="1" ht="17.25">
      <c r="A73" s="11">
        <v>174879</v>
      </c>
      <c r="B73" s="4" t="s">
        <v>430</v>
      </c>
      <c r="C73" s="5" t="s">
        <v>431</v>
      </c>
      <c r="D73" s="5" t="s">
        <v>432</v>
      </c>
      <c r="E73" s="5" t="s">
        <v>433</v>
      </c>
      <c r="F73" s="13">
        <f>"039575531X"</f>
      </c>
      <c r="G73" s="13">
        <f>"9780395755310"</f>
      </c>
      <c r="H73" s="11">
        <v>0</v>
      </c>
      <c r="I73" s="14">
        <v>4.16</v>
      </c>
      <c r="J73" s="7" t="s">
        <v>434</v>
      </c>
      <c r="K73" s="5" t="s">
        <v>60</v>
      </c>
      <c r="L73" s="11">
        <v>420</v>
      </c>
      <c r="M73" s="11">
        <v>1995</v>
      </c>
      <c r="N73" s="11">
        <v>1961</v>
      </c>
      <c r="O73" s="15"/>
      <c r="P73" s="8">
        <v>45180</v>
      </c>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4" t="s">
        <v>424</v>
      </c>
      <c r="AY73" s="5" t="s">
        <v>435</v>
      </c>
      <c r="AZ73" s="5" t="s">
        <v>38</v>
      </c>
      <c r="BA73" s="12"/>
      <c r="BB73" s="12"/>
      <c r="BC73" s="12"/>
      <c r="BD73" s="11">
        <v>0</v>
      </c>
      <c r="BE73" s="11">
        <v>0</v>
      </c>
    </row>
    <row x14ac:dyDescent="0.25" r="74" customHeight="1" ht="17.25">
      <c r="A74" s="11">
        <v>510537</v>
      </c>
      <c r="B74" s="4" t="s">
        <v>436</v>
      </c>
      <c r="C74" s="5" t="s">
        <v>437</v>
      </c>
      <c r="D74" s="5" t="s">
        <v>438</v>
      </c>
      <c r="E74" s="12"/>
      <c r="F74" s="13">
        <f>"0201441926"</f>
      </c>
      <c r="G74" s="13">
        <f>"9780201441925"</f>
      </c>
      <c r="H74" s="11">
        <v>0</v>
      </c>
      <c r="I74" s="14">
        <v>4.25</v>
      </c>
      <c r="J74" s="7" t="s">
        <v>335</v>
      </c>
      <c r="K74" s="5" t="s">
        <v>60</v>
      </c>
      <c r="L74" s="11">
        <v>449</v>
      </c>
      <c r="M74" s="11">
        <v>1996</v>
      </c>
      <c r="N74" s="11">
        <v>1995</v>
      </c>
      <c r="O74" s="15"/>
      <c r="P74" s="8">
        <v>45180</v>
      </c>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4" t="s">
        <v>424</v>
      </c>
      <c r="AY74" s="5" t="s">
        <v>439</v>
      </c>
      <c r="AZ74" s="5" t="s">
        <v>38</v>
      </c>
      <c r="BA74" s="12"/>
      <c r="BB74" s="12"/>
      <c r="BC74" s="12"/>
      <c r="BD74" s="11">
        <v>0</v>
      </c>
      <c r="BE74" s="11">
        <v>0</v>
      </c>
    </row>
    <row x14ac:dyDescent="0.25" r="75" customHeight="1" ht="17.25">
      <c r="A75" s="11">
        <v>49187</v>
      </c>
      <c r="B75" s="4" t="s">
        <v>440</v>
      </c>
      <c r="C75" s="5" t="s">
        <v>441</v>
      </c>
      <c r="D75" s="5" t="s">
        <v>442</v>
      </c>
      <c r="E75" s="5" t="s">
        <v>443</v>
      </c>
      <c r="F75" s="13">
        <f>"089106074X"</f>
      </c>
      <c r="G75" s="13">
        <f>"9780891060741"</f>
      </c>
      <c r="H75" s="11">
        <v>0</v>
      </c>
      <c r="I75" s="14">
        <v>4.09</v>
      </c>
      <c r="J75" s="7" t="s">
        <v>444</v>
      </c>
      <c r="K75" s="5" t="s">
        <v>60</v>
      </c>
      <c r="L75" s="11">
        <v>228</v>
      </c>
      <c r="M75" s="11">
        <v>1995</v>
      </c>
      <c r="N75" s="11">
        <v>1980</v>
      </c>
      <c r="O75" s="15"/>
      <c r="P75" s="8">
        <v>45180</v>
      </c>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4" t="s">
        <v>424</v>
      </c>
      <c r="AY75" s="5" t="s">
        <v>445</v>
      </c>
      <c r="AZ75" s="5" t="s">
        <v>38</v>
      </c>
      <c r="BA75" s="12"/>
      <c r="BB75" s="12"/>
      <c r="BC75" s="12"/>
      <c r="BD75" s="11">
        <v>0</v>
      </c>
      <c r="BE75" s="11">
        <v>0</v>
      </c>
    </row>
    <row x14ac:dyDescent="0.25" r="76" customHeight="1" ht="17.25">
      <c r="A76" s="11">
        <v>18797133</v>
      </c>
      <c r="B76" s="4" t="s">
        <v>446</v>
      </c>
      <c r="C76" s="5" t="s">
        <v>447</v>
      </c>
      <c r="D76" s="5" t="s">
        <v>448</v>
      </c>
      <c r="E76" s="12"/>
      <c r="F76" s="13">
        <f>"1938905377"</f>
      </c>
      <c r="G76" s="13">
        <f>"9781938905377"</f>
      </c>
      <c r="H76" s="11">
        <v>0</v>
      </c>
      <c r="I76" s="11">
        <v>5</v>
      </c>
      <c r="J76" s="7" t="s">
        <v>449</v>
      </c>
      <c r="K76" s="5" t="s">
        <v>72</v>
      </c>
      <c r="L76" s="11">
        <v>192</v>
      </c>
      <c r="M76" s="11">
        <v>2016</v>
      </c>
      <c r="N76" s="11">
        <v>2013</v>
      </c>
      <c r="O76" s="15"/>
      <c r="P76" s="8">
        <v>45145</v>
      </c>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4" t="s">
        <v>450</v>
      </c>
      <c r="AY76" s="5" t="s">
        <v>451</v>
      </c>
      <c r="AZ76" s="5" t="s">
        <v>38</v>
      </c>
      <c r="BA76" s="12"/>
      <c r="BB76" s="12"/>
      <c r="BC76" s="12"/>
      <c r="BD76" s="11">
        <v>0</v>
      </c>
      <c r="BE76" s="11">
        <v>0</v>
      </c>
    </row>
    <row x14ac:dyDescent="0.25" r="77" customHeight="1" ht="17.25">
      <c r="A77" s="11">
        <v>37801231</v>
      </c>
      <c r="B77" s="4" t="s">
        <v>452</v>
      </c>
      <c r="C77" s="5" t="s">
        <v>453</v>
      </c>
      <c r="D77" s="5" t="s">
        <v>454</v>
      </c>
      <c r="E77" s="12"/>
      <c r="F77" s="13">
        <f>"1507300425"</f>
      </c>
      <c r="G77" s="13">
        <f>"9781507300428"</f>
      </c>
      <c r="H77" s="11">
        <v>0</v>
      </c>
      <c r="I77" s="14">
        <v>4.42</v>
      </c>
      <c r="J77" s="7" t="s">
        <v>455</v>
      </c>
      <c r="K77" s="5" t="s">
        <v>90</v>
      </c>
      <c r="L77" s="11">
        <v>538</v>
      </c>
      <c r="M77" s="11">
        <v>1997</v>
      </c>
      <c r="N77" s="11">
        <v>1981</v>
      </c>
      <c r="O77" s="15"/>
      <c r="P77" s="8">
        <v>45140</v>
      </c>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4" t="s">
        <v>450</v>
      </c>
      <c r="AY77" s="5" t="s">
        <v>456</v>
      </c>
      <c r="AZ77" s="5" t="s">
        <v>38</v>
      </c>
      <c r="BA77" s="12"/>
      <c r="BB77" s="12"/>
      <c r="BC77" s="12"/>
      <c r="BD77" s="11">
        <v>0</v>
      </c>
      <c r="BE77" s="11">
        <v>0</v>
      </c>
    </row>
    <row x14ac:dyDescent="0.25" r="78" customHeight="1" ht="17.25">
      <c r="A78" s="11">
        <v>37385469</v>
      </c>
      <c r="B78" s="4" t="s">
        <v>457</v>
      </c>
      <c r="C78" s="5" t="s">
        <v>458</v>
      </c>
      <c r="D78" s="5" t="s">
        <v>459</v>
      </c>
      <c r="E78" s="12"/>
      <c r="F78" s="13">
        <f>"033151642X"</f>
      </c>
      <c r="G78" s="13">
        <f>"9780331516425"</f>
      </c>
      <c r="H78" s="11">
        <v>0</v>
      </c>
      <c r="I78" s="14">
        <v>4.24</v>
      </c>
      <c r="J78" s="7" t="s">
        <v>460</v>
      </c>
      <c r="K78" s="5" t="s">
        <v>72</v>
      </c>
      <c r="L78" s="11">
        <v>822</v>
      </c>
      <c r="M78" s="11">
        <v>2018</v>
      </c>
      <c r="N78" s="11">
        <v>1976</v>
      </c>
      <c r="O78" s="15"/>
      <c r="P78" s="8">
        <v>45134</v>
      </c>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4" t="s">
        <v>461</v>
      </c>
      <c r="AY78" s="5" t="s">
        <v>462</v>
      </c>
      <c r="AZ78" s="5" t="s">
        <v>38</v>
      </c>
      <c r="BA78" s="12"/>
      <c r="BB78" s="12"/>
      <c r="BC78" s="12"/>
      <c r="BD78" s="11">
        <v>0</v>
      </c>
      <c r="BE78" s="11">
        <v>0</v>
      </c>
    </row>
    <row x14ac:dyDescent="0.25" r="79" customHeight="1" ht="17.25">
      <c r="A79" s="11">
        <v>8583388</v>
      </c>
      <c r="B79" s="4" t="s">
        <v>463</v>
      </c>
      <c r="C79" s="5" t="s">
        <v>464</v>
      </c>
      <c r="D79" s="5" t="s">
        <v>465</v>
      </c>
      <c r="E79" s="12"/>
      <c r="F79" s="13">
        <f>"0500251738"</f>
      </c>
      <c r="G79" s="13">
        <f>"9780500251737"</f>
      </c>
      <c r="H79" s="11">
        <v>0</v>
      </c>
      <c r="I79" s="14">
        <v>4.01</v>
      </c>
      <c r="J79" s="7" t="s">
        <v>466</v>
      </c>
      <c r="K79" s="5" t="s">
        <v>72</v>
      </c>
      <c r="L79" s="11">
        <v>220</v>
      </c>
      <c r="M79" s="11">
        <v>2010</v>
      </c>
      <c r="N79" s="11">
        <v>2010</v>
      </c>
      <c r="O79" s="15"/>
      <c r="P79" s="8">
        <v>45114</v>
      </c>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4" t="s">
        <v>467</v>
      </c>
      <c r="AY79" s="5" t="s">
        <v>468</v>
      </c>
      <c r="AZ79" s="5" t="s">
        <v>38</v>
      </c>
      <c r="BA79" s="12"/>
      <c r="BB79" s="12"/>
      <c r="BC79" s="12"/>
      <c r="BD79" s="11">
        <v>0</v>
      </c>
      <c r="BE79" s="11">
        <v>0</v>
      </c>
    </row>
    <row x14ac:dyDescent="0.25" r="80" customHeight="1" ht="17.25">
      <c r="A80" s="11">
        <v>23461183</v>
      </c>
      <c r="B80" s="4" t="s">
        <v>469</v>
      </c>
      <c r="C80" s="5" t="s">
        <v>470</v>
      </c>
      <c r="D80" s="5" t="s">
        <v>471</v>
      </c>
      <c r="E80" s="5" t="s">
        <v>472</v>
      </c>
      <c r="F80" s="13">
        <f>"0198716982"</f>
      </c>
      <c r="G80" s="13">
        <f>"9780198716983"</f>
      </c>
      <c r="H80" s="11">
        <v>0</v>
      </c>
      <c r="I80" s="14">
        <v>3.81</v>
      </c>
      <c r="J80" s="7" t="s">
        <v>245</v>
      </c>
      <c r="K80" s="5" t="s">
        <v>60</v>
      </c>
      <c r="L80" s="11">
        <v>256</v>
      </c>
      <c r="M80" s="11">
        <v>2015</v>
      </c>
      <c r="N80" s="11">
        <v>-194</v>
      </c>
      <c r="O80" s="15"/>
      <c r="P80" s="8">
        <v>45124</v>
      </c>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4" t="s">
        <v>467</v>
      </c>
      <c r="AY80" s="5" t="s">
        <v>473</v>
      </c>
      <c r="AZ80" s="5" t="s">
        <v>38</v>
      </c>
      <c r="BA80" s="12"/>
      <c r="BB80" s="12"/>
      <c r="BC80" s="12"/>
      <c r="BD80" s="11">
        <v>0</v>
      </c>
      <c r="BE80" s="11">
        <v>0</v>
      </c>
    </row>
    <row x14ac:dyDescent="0.25" r="81" customHeight="1" ht="15.75">
      <c r="A81" s="11">
        <v>17329126</v>
      </c>
      <c r="B81" s="4" t="s">
        <v>474</v>
      </c>
      <c r="C81" s="5" t="s">
        <v>475</v>
      </c>
      <c r="D81" s="5" t="s">
        <v>476</v>
      </c>
      <c r="E81" s="12"/>
      <c r="F81" s="13">
        <f>"1907970118"</f>
      </c>
      <c r="G81" s="13">
        <f>"9781907970115"</f>
      </c>
      <c r="H81" s="11">
        <v>0</v>
      </c>
      <c r="I81" s="14">
        <v>3.84</v>
      </c>
      <c r="J81" s="7" t="s">
        <v>477</v>
      </c>
      <c r="K81" s="5" t="s">
        <v>60</v>
      </c>
      <c r="L81" s="11">
        <v>200</v>
      </c>
      <c r="M81" s="11">
        <v>2013</v>
      </c>
      <c r="N81" s="11">
        <v>1983</v>
      </c>
      <c r="O81" s="15"/>
      <c r="P81" s="8">
        <v>45120</v>
      </c>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4" t="s">
        <v>478</v>
      </c>
      <c r="AY81" s="5" t="s">
        <v>479</v>
      </c>
      <c r="AZ81" s="5" t="s">
        <v>38</v>
      </c>
      <c r="BA81" s="12"/>
      <c r="BB81" s="12"/>
      <c r="BC81" s="12"/>
      <c r="BD81" s="11">
        <v>0</v>
      </c>
      <c r="BE81" s="11">
        <v>0</v>
      </c>
    </row>
    <row x14ac:dyDescent="0.25" r="82" customHeight="1" ht="17.25">
      <c r="A82" s="11">
        <v>890626</v>
      </c>
      <c r="B82" s="4" t="s">
        <v>480</v>
      </c>
      <c r="C82" s="5" t="s">
        <v>458</v>
      </c>
      <c r="D82" s="5" t="s">
        <v>459</v>
      </c>
      <c r="E82" s="12"/>
      <c r="F82" s="13">
        <f>"1602390010"</f>
      </c>
      <c r="G82" s="13">
        <f>"9781602390010"</f>
      </c>
      <c r="H82" s="11">
        <v>0</v>
      </c>
      <c r="I82" s="14">
        <v>4.04</v>
      </c>
      <c r="J82" s="7" t="s">
        <v>481</v>
      </c>
      <c r="K82" s="5" t="s">
        <v>60</v>
      </c>
      <c r="L82" s="16"/>
      <c r="M82" s="11">
        <v>2007</v>
      </c>
      <c r="N82" s="11">
        <v>1929</v>
      </c>
      <c r="O82" s="15"/>
      <c r="P82" s="8">
        <v>45134</v>
      </c>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4" t="s">
        <v>450</v>
      </c>
      <c r="AY82" s="5" t="s">
        <v>482</v>
      </c>
      <c r="AZ82" s="5" t="s">
        <v>38</v>
      </c>
      <c r="BA82" s="12"/>
      <c r="BB82" s="12"/>
      <c r="BC82" s="12"/>
      <c r="BD82" s="11">
        <v>0</v>
      </c>
      <c r="BE82" s="11">
        <v>0</v>
      </c>
    </row>
    <row x14ac:dyDescent="0.25" r="83" customHeight="1" ht="17.25">
      <c r="A83" s="11">
        <v>1282241</v>
      </c>
      <c r="B83" s="4" t="s">
        <v>483</v>
      </c>
      <c r="C83" s="5" t="s">
        <v>484</v>
      </c>
      <c r="D83" s="5" t="s">
        <v>485</v>
      </c>
      <c r="E83" s="5" t="s">
        <v>486</v>
      </c>
      <c r="F83" s="13">
        <f>"0691097429"</f>
      </c>
      <c r="G83" s="13">
        <f>"9780691097428"</f>
      </c>
      <c r="H83" s="11">
        <v>0</v>
      </c>
      <c r="I83" s="14">
        <v>4.32</v>
      </c>
      <c r="J83" s="7" t="s">
        <v>186</v>
      </c>
      <c r="K83" s="5" t="s">
        <v>72</v>
      </c>
      <c r="L83" s="11">
        <v>624</v>
      </c>
      <c r="M83" s="11">
        <v>1991</v>
      </c>
      <c r="N83" s="11">
        <v>1955</v>
      </c>
      <c r="O83" s="15"/>
      <c r="P83" s="8">
        <v>45115</v>
      </c>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4" t="s">
        <v>450</v>
      </c>
      <c r="AY83" s="5" t="s">
        <v>487</v>
      </c>
      <c r="AZ83" s="5" t="s">
        <v>38</v>
      </c>
      <c r="BA83" s="12"/>
      <c r="BB83" s="12"/>
      <c r="BC83" s="12"/>
      <c r="BD83" s="11">
        <v>0</v>
      </c>
      <c r="BE83" s="11">
        <v>0</v>
      </c>
    </row>
    <row x14ac:dyDescent="0.25" r="84" customHeight="1" ht="17.25">
      <c r="A84" s="11">
        <v>6350013</v>
      </c>
      <c r="B84" s="4" t="s">
        <v>488</v>
      </c>
      <c r="C84" s="5" t="s">
        <v>489</v>
      </c>
      <c r="D84" s="5" t="s">
        <v>490</v>
      </c>
      <c r="E84" s="12"/>
      <c r="F84" s="13">
        <f>"0141020776"</f>
      </c>
      <c r="G84" s="13">
        <f>"9780141020778"</f>
      </c>
      <c r="H84" s="11">
        <v>0</v>
      </c>
      <c r="I84" s="14">
        <v>4.11</v>
      </c>
      <c r="J84" s="7" t="s">
        <v>491</v>
      </c>
      <c r="K84" s="5" t="s">
        <v>60</v>
      </c>
      <c r="L84" s="11">
        <v>590</v>
      </c>
      <c r="M84" s="11">
        <v>2009</v>
      </c>
      <c r="N84" s="11">
        <v>2008</v>
      </c>
      <c r="O84" s="15"/>
      <c r="P84" s="8">
        <v>45114</v>
      </c>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4" t="s">
        <v>467</v>
      </c>
      <c r="AY84" s="5" t="s">
        <v>492</v>
      </c>
      <c r="AZ84" s="5" t="s">
        <v>38</v>
      </c>
      <c r="BA84" s="12"/>
      <c r="BB84" s="12"/>
      <c r="BC84" s="12"/>
      <c r="BD84" s="11">
        <v>0</v>
      </c>
      <c r="BE84" s="11">
        <v>0</v>
      </c>
    </row>
    <row x14ac:dyDescent="0.25" r="85" customHeight="1" ht="17.25">
      <c r="A85" s="11">
        <v>1081081</v>
      </c>
      <c r="B85" s="4" t="s">
        <v>493</v>
      </c>
      <c r="C85" s="5" t="s">
        <v>494</v>
      </c>
      <c r="D85" s="5" t="s">
        <v>495</v>
      </c>
      <c r="E85" s="12"/>
      <c r="F85" s="13">
        <f>"0882142240"</f>
      </c>
      <c r="G85" s="13">
        <f>"9780882142241"</f>
      </c>
      <c r="H85" s="11">
        <v>0</v>
      </c>
      <c r="I85" s="14">
        <v>4.3</v>
      </c>
      <c r="J85" s="7" t="s">
        <v>496</v>
      </c>
      <c r="K85" s="5" t="s">
        <v>60</v>
      </c>
      <c r="L85" s="11">
        <v>104</v>
      </c>
      <c r="M85" s="11">
        <v>1998</v>
      </c>
      <c r="N85" s="11">
        <v>1944</v>
      </c>
      <c r="O85" s="15"/>
      <c r="P85" s="8">
        <v>45114</v>
      </c>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4" t="s">
        <v>467</v>
      </c>
      <c r="AY85" s="5" t="s">
        <v>497</v>
      </c>
      <c r="AZ85" s="5" t="s">
        <v>38</v>
      </c>
      <c r="BA85" s="12"/>
      <c r="BB85" s="12"/>
      <c r="BC85" s="12"/>
      <c r="BD85" s="11">
        <v>0</v>
      </c>
      <c r="BE85" s="11">
        <v>0</v>
      </c>
    </row>
    <row x14ac:dyDescent="0.25" r="86" customHeight="1" ht="17.25">
      <c r="A86" s="11">
        <v>1080876</v>
      </c>
      <c r="B86" s="4" t="s">
        <v>498</v>
      </c>
      <c r="C86" s="5" t="s">
        <v>494</v>
      </c>
      <c r="D86" s="5" t="s">
        <v>495</v>
      </c>
      <c r="E86" s="5" t="s">
        <v>499</v>
      </c>
      <c r="F86" s="13">
        <f>"0500270481"</f>
      </c>
      <c r="G86" s="13">
        <f>"9780500270486"</f>
      </c>
      <c r="H86" s="11">
        <v>0</v>
      </c>
      <c r="I86" s="14">
        <v>4.12</v>
      </c>
      <c r="J86" s="7" t="s">
        <v>466</v>
      </c>
      <c r="K86" s="5" t="s">
        <v>60</v>
      </c>
      <c r="L86" s="11">
        <v>304</v>
      </c>
      <c r="M86" s="11">
        <v>1980</v>
      </c>
      <c r="N86" s="11">
        <v>1951</v>
      </c>
      <c r="O86" s="15"/>
      <c r="P86" s="8">
        <v>45114</v>
      </c>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4" t="s">
        <v>450</v>
      </c>
      <c r="AY86" s="5" t="s">
        <v>500</v>
      </c>
      <c r="AZ86" s="5" t="s">
        <v>38</v>
      </c>
      <c r="BA86" s="12"/>
      <c r="BB86" s="12"/>
      <c r="BC86" s="12"/>
      <c r="BD86" s="11">
        <v>0</v>
      </c>
      <c r="BE86" s="11">
        <v>0</v>
      </c>
    </row>
    <row x14ac:dyDescent="0.25" r="87" customHeight="1" ht="17.25">
      <c r="A87" s="11">
        <v>82241</v>
      </c>
      <c r="B87" s="4" t="s">
        <v>501</v>
      </c>
      <c r="C87" s="5" t="s">
        <v>502</v>
      </c>
      <c r="D87" s="5" t="s">
        <v>503</v>
      </c>
      <c r="E87" s="5" t="s">
        <v>504</v>
      </c>
      <c r="F87" s="13">
        <f>"0060969598"</f>
      </c>
      <c r="G87" s="13">
        <f>"9780060969592"</f>
      </c>
      <c r="H87" s="11">
        <v>0</v>
      </c>
      <c r="I87" s="14">
        <v>4.11</v>
      </c>
      <c r="J87" s="7" t="s">
        <v>505</v>
      </c>
      <c r="K87" s="5" t="s">
        <v>60</v>
      </c>
      <c r="L87" s="11">
        <v>176</v>
      </c>
      <c r="M87" s="11">
        <v>1994</v>
      </c>
      <c r="N87" s="11">
        <v>-600</v>
      </c>
      <c r="O87" s="15"/>
      <c r="P87" s="8">
        <v>45113</v>
      </c>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4" t="s">
        <v>450</v>
      </c>
      <c r="AY87" s="5" t="s">
        <v>506</v>
      </c>
      <c r="AZ87" s="5" t="s">
        <v>38</v>
      </c>
      <c r="BA87" s="12"/>
      <c r="BB87" s="12"/>
      <c r="BC87" s="12"/>
      <c r="BD87" s="11">
        <v>0</v>
      </c>
      <c r="BE87" s="11">
        <v>0</v>
      </c>
    </row>
    <row x14ac:dyDescent="0.25" r="88" customHeight="1" ht="17.25">
      <c r="A88" s="11">
        <v>1152993</v>
      </c>
      <c r="B88" s="4" t="s">
        <v>507</v>
      </c>
      <c r="C88" s="5" t="s">
        <v>508</v>
      </c>
      <c r="D88" s="5" t="s">
        <v>509</v>
      </c>
      <c r="E88" s="5" t="s">
        <v>510</v>
      </c>
      <c r="F88" s="13">
        <f>"0195094514"</f>
      </c>
      <c r="G88" s="13">
        <f>"9780195094510"</f>
      </c>
      <c r="H88" s="11">
        <v>0</v>
      </c>
      <c r="I88" s="14">
        <v>3.69</v>
      </c>
      <c r="J88" s="7" t="s">
        <v>245</v>
      </c>
      <c r="K88" s="5" t="s">
        <v>60</v>
      </c>
      <c r="L88" s="11">
        <v>112</v>
      </c>
      <c r="M88" s="11">
        <v>1996</v>
      </c>
      <c r="N88" s="11">
        <v>-414</v>
      </c>
      <c r="O88" s="15"/>
      <c r="P88" s="8">
        <v>45111</v>
      </c>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4" t="s">
        <v>511</v>
      </c>
      <c r="AY88" s="5" t="s">
        <v>512</v>
      </c>
      <c r="AZ88" s="5" t="s">
        <v>38</v>
      </c>
      <c r="BA88" s="12"/>
      <c r="BB88" s="12"/>
      <c r="BC88" s="12"/>
      <c r="BD88" s="11">
        <v>0</v>
      </c>
      <c r="BE88" s="11">
        <v>0</v>
      </c>
    </row>
    <row x14ac:dyDescent="0.25" r="89" customHeight="1" ht="17.25">
      <c r="A89" s="11">
        <v>1334499</v>
      </c>
      <c r="B89" s="4" t="s">
        <v>513</v>
      </c>
      <c r="C89" s="5" t="s">
        <v>494</v>
      </c>
      <c r="D89" s="5" t="s">
        <v>495</v>
      </c>
      <c r="E89" s="5" t="s">
        <v>514</v>
      </c>
      <c r="F89" s="13">
        <f>"050027049X"</f>
      </c>
      <c r="G89" s="13">
        <f>"9780500270493"</f>
      </c>
      <c r="H89" s="11">
        <v>0</v>
      </c>
      <c r="I89" s="11">
        <v>4</v>
      </c>
      <c r="J89" s="7" t="s">
        <v>466</v>
      </c>
      <c r="K89" s="5" t="s">
        <v>60</v>
      </c>
      <c r="L89" s="11">
        <v>440</v>
      </c>
      <c r="M89" s="11">
        <v>2005</v>
      </c>
      <c r="N89" s="11">
        <v>1958</v>
      </c>
      <c r="O89" s="15"/>
      <c r="P89" s="8">
        <v>45114</v>
      </c>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4" t="s">
        <v>467</v>
      </c>
      <c r="AY89" s="5" t="s">
        <v>515</v>
      </c>
      <c r="AZ89" s="5" t="s">
        <v>38</v>
      </c>
      <c r="BA89" s="12"/>
      <c r="BB89" s="12"/>
      <c r="BC89" s="12"/>
      <c r="BD89" s="11">
        <v>0</v>
      </c>
      <c r="BE89" s="11">
        <v>0</v>
      </c>
    </row>
    <row x14ac:dyDescent="0.25" r="90" customHeight="1" ht="17.25">
      <c r="A90" s="11">
        <v>1483</v>
      </c>
      <c r="B90" s="4" t="s">
        <v>516</v>
      </c>
      <c r="C90" s="5" t="s">
        <v>508</v>
      </c>
      <c r="D90" s="5" t="s">
        <v>509</v>
      </c>
      <c r="E90" s="5" t="s">
        <v>517</v>
      </c>
      <c r="F90" s="13">
        <f>"019283987X"</f>
      </c>
      <c r="G90" s="13">
        <f>"9780192839879"</f>
      </c>
      <c r="H90" s="11">
        <v>0</v>
      </c>
      <c r="I90" s="14">
        <v>4.02</v>
      </c>
      <c r="J90" s="7" t="s">
        <v>245</v>
      </c>
      <c r="K90" s="5" t="s">
        <v>60</v>
      </c>
      <c r="L90" s="11">
        <v>224</v>
      </c>
      <c r="M90" s="11">
        <v>2001</v>
      </c>
      <c r="N90" s="11">
        <v>2001</v>
      </c>
      <c r="O90" s="15"/>
      <c r="P90" s="8">
        <v>45111</v>
      </c>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4" t="s">
        <v>511</v>
      </c>
      <c r="AY90" s="5" t="s">
        <v>518</v>
      </c>
      <c r="AZ90" s="5" t="s">
        <v>38</v>
      </c>
      <c r="BA90" s="12"/>
      <c r="BB90" s="12"/>
      <c r="BC90" s="12"/>
      <c r="BD90" s="11">
        <v>0</v>
      </c>
      <c r="BE90" s="11">
        <v>0</v>
      </c>
    </row>
    <row x14ac:dyDescent="0.25" r="91" customHeight="1" ht="17.25">
      <c r="A91" s="11">
        <v>56269247</v>
      </c>
      <c r="B91" s="4" t="s">
        <v>519</v>
      </c>
      <c r="C91" s="5" t="s">
        <v>520</v>
      </c>
      <c r="D91" s="5" t="s">
        <v>521</v>
      </c>
      <c r="E91" s="5" t="s">
        <v>522</v>
      </c>
      <c r="F91" s="13">
        <f>"0374601895"</f>
      </c>
      <c r="G91" s="13">
        <f>"9780374601898"</f>
      </c>
      <c r="H91" s="11">
        <v>0</v>
      </c>
      <c r="I91" s="14">
        <v>4.04</v>
      </c>
      <c r="J91" s="7" t="s">
        <v>120</v>
      </c>
      <c r="K91" s="5" t="s">
        <v>72</v>
      </c>
      <c r="L91" s="11">
        <v>464</v>
      </c>
      <c r="M91" s="11">
        <v>2021</v>
      </c>
      <c r="N91" s="16"/>
      <c r="O91" s="15"/>
      <c r="P91" s="8">
        <v>45101</v>
      </c>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4" t="s">
        <v>523</v>
      </c>
      <c r="AY91" s="5" t="s">
        <v>524</v>
      </c>
      <c r="AZ91" s="5" t="s">
        <v>38</v>
      </c>
      <c r="BA91" s="12"/>
      <c r="BB91" s="12"/>
      <c r="BC91" s="12"/>
      <c r="BD91" s="11">
        <v>0</v>
      </c>
      <c r="BE91" s="11">
        <v>0</v>
      </c>
    </row>
    <row x14ac:dyDescent="0.25" r="92" customHeight="1" ht="17.25">
      <c r="A92" s="11">
        <v>1171954</v>
      </c>
      <c r="B92" s="4" t="s">
        <v>525</v>
      </c>
      <c r="C92" s="5" t="s">
        <v>508</v>
      </c>
      <c r="D92" s="5" t="s">
        <v>509</v>
      </c>
      <c r="E92" s="5" t="s">
        <v>526</v>
      </c>
      <c r="F92" s="13">
        <f>"0195085760"</f>
      </c>
      <c r="G92" s="13">
        <f>"9780195085761"</f>
      </c>
      <c r="H92" s="11">
        <v>0</v>
      </c>
      <c r="I92" s="14">
        <v>3.95</v>
      </c>
      <c r="J92" s="7" t="s">
        <v>245</v>
      </c>
      <c r="K92" s="5" t="s">
        <v>60</v>
      </c>
      <c r="L92" s="11">
        <v>112</v>
      </c>
      <c r="M92" s="11">
        <v>1994</v>
      </c>
      <c r="N92" s="11">
        <v>-420</v>
      </c>
      <c r="O92" s="15"/>
      <c r="P92" s="8">
        <v>45111</v>
      </c>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4" t="s">
        <v>511</v>
      </c>
      <c r="AY92" s="5" t="s">
        <v>527</v>
      </c>
      <c r="AZ92" s="5" t="s">
        <v>38</v>
      </c>
      <c r="BA92" s="12"/>
      <c r="BB92" s="12"/>
      <c r="BC92" s="12"/>
      <c r="BD92" s="11">
        <v>0</v>
      </c>
      <c r="BE92" s="11">
        <v>0</v>
      </c>
    </row>
    <row x14ac:dyDescent="0.25" r="93" customHeight="1" ht="17.25">
      <c r="A93" s="11">
        <v>27410</v>
      </c>
      <c r="B93" s="4" t="s">
        <v>528</v>
      </c>
      <c r="C93" s="5" t="s">
        <v>529</v>
      </c>
      <c r="D93" s="5" t="s">
        <v>530</v>
      </c>
      <c r="E93" s="5" t="s">
        <v>531</v>
      </c>
      <c r="F93" s="13">
        <f>"0192839241"</f>
      </c>
      <c r="G93" s="13">
        <f>"9780192839244"</f>
      </c>
      <c r="H93" s="11">
        <v>0</v>
      </c>
      <c r="I93" s="14">
        <v>3.94</v>
      </c>
      <c r="J93" s="7" t="s">
        <v>245</v>
      </c>
      <c r="K93" s="5" t="s">
        <v>60</v>
      </c>
      <c r="L93" s="11">
        <v>336</v>
      </c>
      <c r="M93" s="11">
        <v>1999</v>
      </c>
      <c r="N93" s="11">
        <v>200</v>
      </c>
      <c r="O93" s="15"/>
      <c r="P93" s="8">
        <v>45109</v>
      </c>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4" t="s">
        <v>450</v>
      </c>
      <c r="AY93" s="5" t="s">
        <v>532</v>
      </c>
      <c r="AZ93" s="5" t="s">
        <v>38</v>
      </c>
      <c r="BA93" s="12"/>
      <c r="BB93" s="12"/>
      <c r="BC93" s="12"/>
      <c r="BD93" s="11">
        <v>0</v>
      </c>
      <c r="BE93" s="11">
        <v>0</v>
      </c>
    </row>
    <row x14ac:dyDescent="0.25" r="94" customHeight="1" ht="17.25">
      <c r="A94" s="11">
        <v>1350718</v>
      </c>
      <c r="B94" s="4" t="s">
        <v>533</v>
      </c>
      <c r="C94" s="5" t="s">
        <v>508</v>
      </c>
      <c r="D94" s="5" t="s">
        <v>509</v>
      </c>
      <c r="E94" s="12"/>
      <c r="F94" s="13">
        <f>"0865162662"</f>
      </c>
      <c r="G94" s="13">
        <f>"9780865162662"</f>
      </c>
      <c r="H94" s="11">
        <v>0</v>
      </c>
      <c r="I94" s="14">
        <v>4.14</v>
      </c>
      <c r="J94" s="7" t="s">
        <v>534</v>
      </c>
      <c r="K94" s="5" t="s">
        <v>72</v>
      </c>
      <c r="L94" s="11">
        <v>176</v>
      </c>
      <c r="M94" s="11">
        <v>1993</v>
      </c>
      <c r="N94" s="11">
        <v>-420</v>
      </c>
      <c r="O94" s="15"/>
      <c r="P94" s="8">
        <v>45111</v>
      </c>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4" t="s">
        <v>511</v>
      </c>
      <c r="AY94" s="5" t="s">
        <v>535</v>
      </c>
      <c r="AZ94" s="5" t="s">
        <v>38</v>
      </c>
      <c r="BA94" s="12"/>
      <c r="BB94" s="12"/>
      <c r="BC94" s="12"/>
      <c r="BD94" s="11">
        <v>0</v>
      </c>
      <c r="BE94" s="11">
        <v>0</v>
      </c>
    </row>
    <row x14ac:dyDescent="0.25" r="95" customHeight="1" ht="17.25">
      <c r="A95" s="11">
        <v>1489</v>
      </c>
      <c r="B95" s="4" t="s">
        <v>536</v>
      </c>
      <c r="C95" s="5" t="s">
        <v>508</v>
      </c>
      <c r="D95" s="5" t="s">
        <v>509</v>
      </c>
      <c r="E95" s="5" t="s">
        <v>537</v>
      </c>
      <c r="F95" s="13">
        <f>"0192832603"</f>
      </c>
      <c r="G95" s="13">
        <f>"9780192832603"</f>
      </c>
      <c r="H95" s="11">
        <v>0</v>
      </c>
      <c r="I95" s="14">
        <v>4.12</v>
      </c>
      <c r="J95" s="7" t="s">
        <v>245</v>
      </c>
      <c r="K95" s="5" t="s">
        <v>60</v>
      </c>
      <c r="L95" s="11">
        <v>282</v>
      </c>
      <c r="M95" s="11">
        <v>2001</v>
      </c>
      <c r="N95" s="11">
        <v>-408</v>
      </c>
      <c r="O95" s="15"/>
      <c r="P95" s="8">
        <v>45111</v>
      </c>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4" t="s">
        <v>511</v>
      </c>
      <c r="AY95" s="5" t="s">
        <v>538</v>
      </c>
      <c r="AZ95" s="5" t="s">
        <v>38</v>
      </c>
      <c r="BA95" s="12"/>
      <c r="BB95" s="12"/>
      <c r="BC95" s="12"/>
      <c r="BD95" s="11">
        <v>0</v>
      </c>
      <c r="BE95" s="11">
        <v>0</v>
      </c>
    </row>
    <row x14ac:dyDescent="0.25" r="96" customHeight="1" ht="17.25">
      <c r="A96" s="11">
        <v>133951</v>
      </c>
      <c r="B96" s="4" t="s">
        <v>539</v>
      </c>
      <c r="C96" s="5" t="s">
        <v>540</v>
      </c>
      <c r="D96" s="5" t="s">
        <v>541</v>
      </c>
      <c r="E96" s="5" t="s">
        <v>542</v>
      </c>
      <c r="F96" s="13">
        <f>"0374525870"</f>
      </c>
      <c r="G96" s="13">
        <f>"9780374525873"</f>
      </c>
      <c r="H96" s="11">
        <v>0</v>
      </c>
      <c r="I96" s="14">
        <v>4.25</v>
      </c>
      <c r="J96" s="7" t="s">
        <v>120</v>
      </c>
      <c r="K96" s="5" t="s">
        <v>60</v>
      </c>
      <c r="L96" s="11">
        <v>257</v>
      </c>
      <c r="M96" s="11">
        <v>1999</v>
      </c>
      <c r="N96" s="11">
        <v>1997</v>
      </c>
      <c r="O96" s="15"/>
      <c r="P96" s="8">
        <v>45109</v>
      </c>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4" t="s">
        <v>450</v>
      </c>
      <c r="AY96" s="5" t="s">
        <v>543</v>
      </c>
      <c r="AZ96" s="5" t="s">
        <v>38</v>
      </c>
      <c r="BA96" s="12"/>
      <c r="BB96" s="12"/>
      <c r="BC96" s="12"/>
      <c r="BD96" s="11">
        <v>0</v>
      </c>
      <c r="BE96" s="11">
        <v>0</v>
      </c>
    </row>
    <row x14ac:dyDescent="0.25" r="97" customHeight="1" ht="17.25">
      <c r="A97" s="11">
        <v>45892234</v>
      </c>
      <c r="B97" s="4" t="s">
        <v>544</v>
      </c>
      <c r="C97" s="5" t="s">
        <v>520</v>
      </c>
      <c r="D97" s="5" t="s">
        <v>521</v>
      </c>
      <c r="E97" s="5" t="s">
        <v>545</v>
      </c>
      <c r="F97" s="13">
        <f>"0374120064"</f>
      </c>
      <c r="G97" s="13">
        <f>"9780374120061"</f>
      </c>
      <c r="H97" s="11">
        <v>0</v>
      </c>
      <c r="I97" s="14">
        <v>4.2</v>
      </c>
      <c r="J97" s="7" t="s">
        <v>120</v>
      </c>
      <c r="K97" s="5" t="s">
        <v>72</v>
      </c>
      <c r="L97" s="11">
        <v>464</v>
      </c>
      <c r="M97" s="11">
        <v>2020</v>
      </c>
      <c r="N97" s="11">
        <v>2016</v>
      </c>
      <c r="O97" s="15"/>
      <c r="P97" s="8">
        <v>45101</v>
      </c>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4" t="s">
        <v>523</v>
      </c>
      <c r="AY97" s="5" t="s">
        <v>546</v>
      </c>
      <c r="AZ97" s="5" t="s">
        <v>38</v>
      </c>
      <c r="BA97" s="12"/>
      <c r="BB97" s="12"/>
      <c r="BC97" s="12"/>
      <c r="BD97" s="11">
        <v>0</v>
      </c>
      <c r="BE97" s="11">
        <v>0</v>
      </c>
    </row>
    <row x14ac:dyDescent="0.25" r="98" customHeight="1" ht="17.25">
      <c r="A98" s="11">
        <v>438544</v>
      </c>
      <c r="B98" s="4" t="s">
        <v>547</v>
      </c>
      <c r="C98" s="5" t="s">
        <v>520</v>
      </c>
      <c r="D98" s="5" t="s">
        <v>521</v>
      </c>
      <c r="E98" s="12"/>
      <c r="F98" s="13">
        <f>"0375725431"</f>
      </c>
      <c r="G98" s="13">
        <f>"9780375725432"</f>
      </c>
      <c r="H98" s="11">
        <v>0</v>
      </c>
      <c r="I98" s="14">
        <v>3.97</v>
      </c>
      <c r="J98" s="7" t="s">
        <v>114</v>
      </c>
      <c r="K98" s="5" t="s">
        <v>60</v>
      </c>
      <c r="L98" s="11">
        <v>224</v>
      </c>
      <c r="M98" s="11">
        <v>2002</v>
      </c>
      <c r="N98" s="11">
        <v>2001</v>
      </c>
      <c r="O98" s="15"/>
      <c r="P98" s="8">
        <v>45101</v>
      </c>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4" t="s">
        <v>450</v>
      </c>
      <c r="AY98" s="5" t="s">
        <v>548</v>
      </c>
      <c r="AZ98" s="5" t="s">
        <v>38</v>
      </c>
      <c r="BA98" s="12"/>
      <c r="BB98" s="12"/>
      <c r="BC98" s="12"/>
      <c r="BD98" s="11">
        <v>0</v>
      </c>
      <c r="BE98" s="11">
        <v>0</v>
      </c>
    </row>
    <row x14ac:dyDescent="0.25" r="99" customHeight="1" ht="17.25">
      <c r="A99" s="11">
        <v>588147</v>
      </c>
      <c r="B99" s="4" t="s">
        <v>549</v>
      </c>
      <c r="C99" s="5" t="s">
        <v>550</v>
      </c>
      <c r="D99" s="5" t="s">
        <v>551</v>
      </c>
      <c r="E99" s="5" t="s">
        <v>552</v>
      </c>
      <c r="F99" s="13">
        <f>"0375751475"</f>
      </c>
      <c r="G99" s="13">
        <f>"9780375751479"</f>
      </c>
      <c r="H99" s="11">
        <v>0</v>
      </c>
      <c r="I99" s="14">
        <v>4.13</v>
      </c>
      <c r="J99" s="7" t="s">
        <v>553</v>
      </c>
      <c r="K99" s="5" t="s">
        <v>60</v>
      </c>
      <c r="L99" s="11">
        <v>862</v>
      </c>
      <c r="M99" s="11">
        <v>1998</v>
      </c>
      <c r="N99" s="11">
        <v>1855</v>
      </c>
      <c r="O99" s="15"/>
      <c r="P99" s="8">
        <v>45080</v>
      </c>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4" t="s">
        <v>450</v>
      </c>
      <c r="AY99" s="5" t="s">
        <v>554</v>
      </c>
      <c r="AZ99" s="5" t="s">
        <v>38</v>
      </c>
      <c r="BA99" s="12"/>
      <c r="BB99" s="12"/>
      <c r="BC99" s="12"/>
      <c r="BD99" s="11">
        <v>0</v>
      </c>
      <c r="BE99" s="11">
        <v>0</v>
      </c>
    </row>
    <row x14ac:dyDescent="0.25" r="100" customHeight="1" ht="17.25">
      <c r="A100" s="11">
        <v>94706</v>
      </c>
      <c r="B100" s="4" t="s">
        <v>555</v>
      </c>
      <c r="C100" s="5" t="s">
        <v>556</v>
      </c>
      <c r="D100" s="5" t="s">
        <v>557</v>
      </c>
      <c r="E100" s="12"/>
      <c r="F100" s="13">
        <f>"0500201250"</f>
      </c>
      <c r="G100" s="13">
        <f>"9780500201251"</f>
      </c>
      <c r="H100" s="11">
        <v>0</v>
      </c>
      <c r="I100" s="14">
        <v>3.86</v>
      </c>
      <c r="J100" s="7" t="s">
        <v>558</v>
      </c>
      <c r="K100" s="5" t="s">
        <v>60</v>
      </c>
      <c r="L100" s="11">
        <v>216</v>
      </c>
      <c r="M100" s="11">
        <v>1985</v>
      </c>
      <c r="N100" s="11">
        <v>1972</v>
      </c>
      <c r="O100" s="15"/>
      <c r="P100" s="8">
        <v>45086</v>
      </c>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4" t="s">
        <v>461</v>
      </c>
      <c r="AY100" s="5" t="s">
        <v>559</v>
      </c>
      <c r="AZ100" s="5" t="s">
        <v>38</v>
      </c>
      <c r="BA100" s="12"/>
      <c r="BB100" s="12"/>
      <c r="BC100" s="12"/>
      <c r="BD100" s="11">
        <v>0</v>
      </c>
      <c r="BE100" s="11">
        <v>0</v>
      </c>
    </row>
    <row x14ac:dyDescent="0.25" r="101" customHeight="1" ht="17.25">
      <c r="A101" s="11">
        <v>7170651</v>
      </c>
      <c r="B101" s="4" t="s">
        <v>560</v>
      </c>
      <c r="C101" s="5" t="s">
        <v>556</v>
      </c>
      <c r="D101" s="5" t="s">
        <v>557</v>
      </c>
      <c r="E101" s="12"/>
      <c r="F101" s="13">
        <f>"0061787779"</f>
      </c>
      <c r="G101" s="13">
        <f>"9780061787775"</f>
      </c>
      <c r="H101" s="11">
        <v>0</v>
      </c>
      <c r="I101" s="14">
        <v>4.4</v>
      </c>
      <c r="J101" s="7" t="s">
        <v>225</v>
      </c>
      <c r="K101" s="5" t="s">
        <v>72</v>
      </c>
      <c r="L101" s="11">
        <v>192</v>
      </c>
      <c r="M101" s="11">
        <v>2009</v>
      </c>
      <c r="N101" s="11">
        <v>2009</v>
      </c>
      <c r="O101" s="15"/>
      <c r="P101" s="8">
        <v>45086</v>
      </c>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4" t="s">
        <v>461</v>
      </c>
      <c r="AY101" s="5" t="s">
        <v>561</v>
      </c>
      <c r="AZ101" s="5" t="s">
        <v>38</v>
      </c>
      <c r="BA101" s="12"/>
      <c r="BB101" s="12"/>
      <c r="BC101" s="12"/>
      <c r="BD101" s="11">
        <v>0</v>
      </c>
      <c r="BE101" s="11">
        <v>0</v>
      </c>
    </row>
    <row x14ac:dyDescent="0.25" r="102" customHeight="1" ht="17.25">
      <c r="A102" s="11">
        <v>163014</v>
      </c>
      <c r="B102" s="4" t="s">
        <v>562</v>
      </c>
      <c r="C102" s="5" t="s">
        <v>520</v>
      </c>
      <c r="D102" s="5" t="s">
        <v>521</v>
      </c>
      <c r="E102" s="12"/>
      <c r="F102" s="13">
        <f>"0679775471"</f>
      </c>
      <c r="G102" s="13">
        <f>"9780679775478"</f>
      </c>
      <c r="H102" s="11">
        <v>0</v>
      </c>
      <c r="I102" s="14">
        <v>4.14</v>
      </c>
      <c r="J102" s="7" t="s">
        <v>114</v>
      </c>
      <c r="K102" s="5" t="s">
        <v>60</v>
      </c>
      <c r="L102" s="11">
        <v>464</v>
      </c>
      <c r="M102" s="11">
        <v>1999</v>
      </c>
      <c r="N102" s="11">
        <v>1996</v>
      </c>
      <c r="O102" s="15"/>
      <c r="P102" s="8">
        <v>45101</v>
      </c>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4" t="s">
        <v>523</v>
      </c>
      <c r="AY102" s="5" t="s">
        <v>563</v>
      </c>
      <c r="AZ102" s="5" t="s">
        <v>38</v>
      </c>
      <c r="BA102" s="12"/>
      <c r="BB102" s="12"/>
      <c r="BC102" s="12"/>
      <c r="BD102" s="11">
        <v>0</v>
      </c>
      <c r="BE102" s="11">
        <v>0</v>
      </c>
    </row>
    <row x14ac:dyDescent="0.25" r="103" customHeight="1" ht="17.25">
      <c r="A103" s="11">
        <v>820465</v>
      </c>
      <c r="B103" s="4" t="s">
        <v>564</v>
      </c>
      <c r="C103" s="5" t="s">
        <v>565</v>
      </c>
      <c r="D103" s="5" t="s">
        <v>566</v>
      </c>
      <c r="E103" s="12"/>
      <c r="F103" s="13">
        <f>"0374504938"</f>
      </c>
      <c r="G103" s="13">
        <f>"9780374504939"</f>
      </c>
      <c r="H103" s="11">
        <v>0</v>
      </c>
      <c r="I103" s="14">
        <v>4.03</v>
      </c>
      <c r="J103" s="7" t="s">
        <v>120</v>
      </c>
      <c r="K103" s="5" t="s">
        <v>60</v>
      </c>
      <c r="L103" s="11">
        <v>512</v>
      </c>
      <c r="M103" s="11">
        <v>1966</v>
      </c>
      <c r="N103" s="11">
        <v>1948</v>
      </c>
      <c r="O103" s="15"/>
      <c r="P103" s="8">
        <v>45070</v>
      </c>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4" t="s">
        <v>523</v>
      </c>
      <c r="AY103" s="5" t="s">
        <v>567</v>
      </c>
      <c r="AZ103" s="5" t="s">
        <v>38</v>
      </c>
      <c r="BA103" s="12"/>
      <c r="BB103" s="12"/>
      <c r="BC103" s="12"/>
      <c r="BD103" s="11">
        <v>0</v>
      </c>
      <c r="BE103" s="11">
        <v>0</v>
      </c>
    </row>
    <row x14ac:dyDescent="0.25" r="104" customHeight="1" ht="17.25">
      <c r="A104" s="11">
        <v>2827577</v>
      </c>
      <c r="B104" s="4" t="s">
        <v>568</v>
      </c>
      <c r="C104" s="5" t="s">
        <v>569</v>
      </c>
      <c r="D104" s="5" t="s">
        <v>570</v>
      </c>
      <c r="E104" s="12"/>
      <c r="F104" s="13">
        <f>"0486414302"</f>
      </c>
      <c r="G104" s="13">
        <f>"9780486414300"</f>
      </c>
      <c r="H104" s="11">
        <v>0</v>
      </c>
      <c r="I104" s="14">
        <v>3.59</v>
      </c>
      <c r="J104" s="7" t="s">
        <v>571</v>
      </c>
      <c r="K104" s="5" t="s">
        <v>60</v>
      </c>
      <c r="L104" s="11">
        <v>272</v>
      </c>
      <c r="M104" s="11">
        <v>2011</v>
      </c>
      <c r="N104" s="11">
        <v>1969</v>
      </c>
      <c r="O104" s="15"/>
      <c r="P104" s="8">
        <v>45063</v>
      </c>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4" t="s">
        <v>450</v>
      </c>
      <c r="AY104" s="5" t="s">
        <v>572</v>
      </c>
      <c r="AZ104" s="5" t="s">
        <v>38</v>
      </c>
      <c r="BA104" s="12"/>
      <c r="BB104" s="12"/>
      <c r="BC104" s="12"/>
      <c r="BD104" s="11">
        <v>0</v>
      </c>
      <c r="BE104" s="11">
        <v>0</v>
      </c>
    </row>
    <row x14ac:dyDescent="0.25" r="105" customHeight="1" ht="17.25">
      <c r="A105" s="11">
        <v>34324501</v>
      </c>
      <c r="B105" s="4" t="s">
        <v>573</v>
      </c>
      <c r="C105" s="5" t="s">
        <v>574</v>
      </c>
      <c r="D105" s="5" t="s">
        <v>575</v>
      </c>
      <c r="E105" s="12"/>
      <c r="F105" s="13">
        <f>"0300229046"</f>
      </c>
      <c r="G105" s="13">
        <f>"9780300229042"</f>
      </c>
      <c r="H105" s="11">
        <v>0</v>
      </c>
      <c r="I105" s="14">
        <v>3.62</v>
      </c>
      <c r="J105" s="7" t="s">
        <v>576</v>
      </c>
      <c r="K105" s="5" t="s">
        <v>72</v>
      </c>
      <c r="L105" s="11">
        <v>360</v>
      </c>
      <c r="M105" s="11">
        <v>2017</v>
      </c>
      <c r="N105" s="11">
        <v>2017</v>
      </c>
      <c r="O105" s="15"/>
      <c r="P105" s="8">
        <v>45078</v>
      </c>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4" t="s">
        <v>577</v>
      </c>
      <c r="AY105" s="5" t="s">
        <v>578</v>
      </c>
      <c r="AZ105" s="5" t="s">
        <v>38</v>
      </c>
      <c r="BA105" s="12"/>
      <c r="BB105" s="12"/>
      <c r="BC105" s="12"/>
      <c r="BD105" s="11">
        <v>0</v>
      </c>
      <c r="BE105" s="11">
        <v>0</v>
      </c>
    </row>
    <row x14ac:dyDescent="0.25" r="106" customHeight="1" ht="17.25">
      <c r="A106" s="11">
        <v>23522</v>
      </c>
      <c r="B106" s="4" t="s">
        <v>579</v>
      </c>
      <c r="C106" s="5" t="s">
        <v>580</v>
      </c>
      <c r="D106" s="5" t="s">
        <v>581</v>
      </c>
      <c r="E106" s="5" t="s">
        <v>582</v>
      </c>
      <c r="F106" s="13">
        <f>"0316341517"</f>
      </c>
      <c r="G106" s="13">
        <f>"9780316341516"</f>
      </c>
      <c r="H106" s="11">
        <v>0</v>
      </c>
      <c r="I106" s="14">
        <v>4.03</v>
      </c>
      <c r="J106" s="7" t="s">
        <v>411</v>
      </c>
      <c r="K106" s="5" t="s">
        <v>60</v>
      </c>
      <c r="L106" s="11">
        <v>497</v>
      </c>
      <c r="M106" s="11">
        <v>1998</v>
      </c>
      <c r="N106" s="11">
        <v>1942</v>
      </c>
      <c r="O106" s="15"/>
      <c r="P106" s="8">
        <v>45070</v>
      </c>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4" t="s">
        <v>467</v>
      </c>
      <c r="AY106" s="5" t="s">
        <v>583</v>
      </c>
      <c r="AZ106" s="5" t="s">
        <v>38</v>
      </c>
      <c r="BA106" s="12"/>
      <c r="BB106" s="12"/>
      <c r="BC106" s="12"/>
      <c r="BD106" s="11">
        <v>0</v>
      </c>
      <c r="BE106" s="11">
        <v>0</v>
      </c>
    </row>
    <row x14ac:dyDescent="0.25" r="107" customHeight="1" ht="17.25">
      <c r="A107" s="11">
        <v>479570</v>
      </c>
      <c r="B107" s="4" t="s">
        <v>584</v>
      </c>
      <c r="C107" s="5" t="s">
        <v>585</v>
      </c>
      <c r="D107" s="5" t="s">
        <v>586</v>
      </c>
      <c r="E107" s="12"/>
      <c r="F107" s="13">
        <f>"1840680245"</f>
      </c>
      <c r="G107" s="13">
        <f>"9781840680249"</f>
      </c>
      <c r="H107" s="11">
        <v>0</v>
      </c>
      <c r="I107" s="14">
        <v>4.33</v>
      </c>
      <c r="J107" s="7" t="s">
        <v>587</v>
      </c>
      <c r="K107" s="5" t="s">
        <v>60</v>
      </c>
      <c r="L107" s="11">
        <v>288</v>
      </c>
      <c r="M107" s="11">
        <v>2001</v>
      </c>
      <c r="N107" s="11">
        <v>2001</v>
      </c>
      <c r="O107" s="15"/>
      <c r="P107" s="8">
        <v>45070</v>
      </c>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4" t="s">
        <v>450</v>
      </c>
      <c r="AY107" s="5" t="s">
        <v>588</v>
      </c>
      <c r="AZ107" s="5" t="s">
        <v>38</v>
      </c>
      <c r="BA107" s="12"/>
      <c r="BB107" s="12"/>
      <c r="BC107" s="12"/>
      <c r="BD107" s="11">
        <v>0</v>
      </c>
      <c r="BE107" s="11">
        <v>0</v>
      </c>
    </row>
    <row x14ac:dyDescent="0.25" r="108" customHeight="1" ht="17.25">
      <c r="A108" s="11">
        <v>588138</v>
      </c>
      <c r="B108" s="4" t="s">
        <v>589</v>
      </c>
      <c r="C108" s="5" t="s">
        <v>590</v>
      </c>
      <c r="D108" s="5" t="s">
        <v>591</v>
      </c>
      <c r="E108" s="12"/>
      <c r="F108" s="13">
        <f>"0691017840"</f>
      </c>
      <c r="G108" s="13">
        <f>"9780691017846"</f>
      </c>
      <c r="H108" s="11">
        <v>0</v>
      </c>
      <c r="I108" s="14">
        <v>4.13</v>
      </c>
      <c r="J108" s="7" t="s">
        <v>172</v>
      </c>
      <c r="K108" s="5" t="s">
        <v>60</v>
      </c>
      <c r="L108" s="11">
        <v>416</v>
      </c>
      <c r="M108" s="11">
        <v>1972</v>
      </c>
      <c r="N108" s="11">
        <v>1949</v>
      </c>
      <c r="O108" s="15"/>
      <c r="P108" s="8">
        <v>45059</v>
      </c>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4" t="s">
        <v>450</v>
      </c>
      <c r="AY108" s="5" t="s">
        <v>592</v>
      </c>
      <c r="AZ108" s="5" t="s">
        <v>38</v>
      </c>
      <c r="BA108" s="12"/>
      <c r="BB108" s="12"/>
      <c r="BC108" s="12"/>
      <c r="BD108" s="11">
        <v>0</v>
      </c>
      <c r="BE108" s="11">
        <v>0</v>
      </c>
    </row>
    <row x14ac:dyDescent="0.25" r="109" customHeight="1" ht="17.25">
      <c r="A109" s="11">
        <v>873200</v>
      </c>
      <c r="B109" s="4" t="s">
        <v>593</v>
      </c>
      <c r="C109" s="5" t="s">
        <v>594</v>
      </c>
      <c r="D109" s="5" t="s">
        <v>595</v>
      </c>
      <c r="E109" s="12"/>
      <c r="F109" s="13">
        <f>"0486222411"</f>
      </c>
      <c r="G109" s="13">
        <f>"9780486222417"</f>
      </c>
      <c r="H109" s="11">
        <v>0</v>
      </c>
      <c r="I109" s="14">
        <v>3.81</v>
      </c>
      <c r="J109" s="7" t="s">
        <v>571</v>
      </c>
      <c r="K109" s="5" t="s">
        <v>60</v>
      </c>
      <c r="L109" s="11">
        <v>218</v>
      </c>
      <c r="M109" s="11">
        <v>1969</v>
      </c>
      <c r="N109" s="11">
        <v>1969</v>
      </c>
      <c r="O109" s="15"/>
      <c r="P109" s="8">
        <v>44820</v>
      </c>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4" t="s">
        <v>461</v>
      </c>
      <c r="AY109" s="5" t="s">
        <v>596</v>
      </c>
      <c r="AZ109" s="5" t="s">
        <v>38</v>
      </c>
      <c r="BA109" s="12"/>
      <c r="BB109" s="12"/>
      <c r="BC109" s="12"/>
      <c r="BD109" s="11">
        <v>0</v>
      </c>
      <c r="BE109" s="11">
        <v>0</v>
      </c>
    </row>
    <row x14ac:dyDescent="0.25" r="110" customHeight="1" ht="17.25">
      <c r="A110" s="11">
        <v>1094363</v>
      </c>
      <c r="B110" s="4" t="s">
        <v>597</v>
      </c>
      <c r="C110" s="5" t="s">
        <v>598</v>
      </c>
      <c r="D110" s="5" t="s">
        <v>599</v>
      </c>
      <c r="E110" s="12"/>
      <c r="F110" s="13">
        <f>"0195014324"</f>
      </c>
      <c r="G110" s="13">
        <f>"9780195014327"</f>
      </c>
      <c r="H110" s="11">
        <v>0</v>
      </c>
      <c r="I110" s="14">
        <v>3.96</v>
      </c>
      <c r="J110" s="7" t="s">
        <v>245</v>
      </c>
      <c r="K110" s="5" t="s">
        <v>60</v>
      </c>
      <c r="L110" s="11">
        <v>304</v>
      </c>
      <c r="M110" s="11">
        <v>1961</v>
      </c>
      <c r="N110" s="11">
        <v>1959</v>
      </c>
      <c r="O110" s="15"/>
      <c r="P110" s="8">
        <v>44959</v>
      </c>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4" t="s">
        <v>450</v>
      </c>
      <c r="AY110" s="5" t="s">
        <v>600</v>
      </c>
      <c r="AZ110" s="5" t="s">
        <v>38</v>
      </c>
      <c r="BA110" s="12"/>
      <c r="BB110" s="12"/>
      <c r="BC110" s="12"/>
      <c r="BD110" s="11">
        <v>0</v>
      </c>
      <c r="BE110" s="11">
        <v>0</v>
      </c>
    </row>
    <row x14ac:dyDescent="0.25" r="111" customHeight="1" ht="17.25">
      <c r="A111" s="11">
        <v>4143256</v>
      </c>
      <c r="B111" s="4" t="s">
        <v>601</v>
      </c>
      <c r="C111" s="5" t="s">
        <v>602</v>
      </c>
      <c r="D111" s="5" t="s">
        <v>603</v>
      </c>
      <c r="E111" s="12"/>
      <c r="F111" s="13">
        <f>"0892540729"</f>
      </c>
      <c r="G111" s="13">
        <f>"9780892540723"</f>
      </c>
      <c r="H111" s="11">
        <v>0</v>
      </c>
      <c r="I111" s="14">
        <v>3.88</v>
      </c>
      <c r="J111" s="7" t="s">
        <v>604</v>
      </c>
      <c r="K111" s="5" t="s">
        <v>60</v>
      </c>
      <c r="L111" s="11">
        <v>284</v>
      </c>
      <c r="M111" s="11">
        <v>2003</v>
      </c>
      <c r="N111" s="16"/>
      <c r="O111" s="15"/>
      <c r="P111" s="8">
        <v>44960</v>
      </c>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4" t="s">
        <v>450</v>
      </c>
      <c r="AY111" s="5" t="s">
        <v>605</v>
      </c>
      <c r="AZ111" s="5" t="s">
        <v>38</v>
      </c>
      <c r="BA111" s="12"/>
      <c r="BB111" s="12"/>
      <c r="BC111" s="12"/>
      <c r="BD111" s="11">
        <v>0</v>
      </c>
      <c r="BE111" s="11">
        <v>0</v>
      </c>
    </row>
    <row x14ac:dyDescent="0.25" r="112" customHeight="1" ht="17.25">
      <c r="A112" s="11">
        <v>66776</v>
      </c>
      <c r="B112" s="4" t="s">
        <v>606</v>
      </c>
      <c r="C112" s="5" t="s">
        <v>607</v>
      </c>
      <c r="D112" s="5" t="s">
        <v>608</v>
      </c>
      <c r="E112" s="12"/>
      <c r="F112" s="13">
        <f>"0486447871"</f>
      </c>
      <c r="G112" s="13">
        <f>"9780486447872"</f>
      </c>
      <c r="H112" s="11">
        <v>0</v>
      </c>
      <c r="I112" s="14">
        <v>4.15</v>
      </c>
      <c r="J112" s="7" t="s">
        <v>571</v>
      </c>
      <c r="K112" s="5" t="s">
        <v>60</v>
      </c>
      <c r="L112" s="11">
        <v>784</v>
      </c>
      <c r="M112" s="11">
        <v>2006</v>
      </c>
      <c r="N112" s="11">
        <v>1974</v>
      </c>
      <c r="O112" s="15"/>
      <c r="P112" s="8">
        <v>44959</v>
      </c>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4" t="s">
        <v>450</v>
      </c>
      <c r="AY112" s="5" t="s">
        <v>609</v>
      </c>
      <c r="AZ112" s="5" t="s">
        <v>38</v>
      </c>
      <c r="BA112" s="12"/>
      <c r="BB112" s="12"/>
      <c r="BC112" s="12"/>
      <c r="BD112" s="11">
        <v>0</v>
      </c>
      <c r="BE112" s="11">
        <v>0</v>
      </c>
    </row>
    <row x14ac:dyDescent="0.25" r="113" customHeight="1" ht="17.25">
      <c r="A113" s="11">
        <v>380609</v>
      </c>
      <c r="B113" s="4" t="s">
        <v>610</v>
      </c>
      <c r="C113" s="5" t="s">
        <v>508</v>
      </c>
      <c r="D113" s="5" t="s">
        <v>509</v>
      </c>
      <c r="E113" s="5" t="s">
        <v>611</v>
      </c>
      <c r="F113" s="13">
        <f>"1854594117"</f>
      </c>
      <c r="G113" s="13">
        <f>"9781854594112"</f>
      </c>
      <c r="H113" s="11">
        <v>0</v>
      </c>
      <c r="I113" s="14">
        <v>3.91</v>
      </c>
      <c r="J113" s="7" t="s">
        <v>612</v>
      </c>
      <c r="K113" s="5" t="s">
        <v>60</v>
      </c>
      <c r="L113" s="11">
        <v>96</v>
      </c>
      <c r="M113" s="11">
        <v>1999</v>
      </c>
      <c r="N113" s="11">
        <v>-405</v>
      </c>
      <c r="O113" s="15"/>
      <c r="P113" s="8">
        <v>45036</v>
      </c>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4" t="s">
        <v>511</v>
      </c>
      <c r="AY113" s="5" t="s">
        <v>613</v>
      </c>
      <c r="AZ113" s="5" t="s">
        <v>38</v>
      </c>
      <c r="BA113" s="12"/>
      <c r="BB113" s="12"/>
      <c r="BC113" s="12"/>
      <c r="BD113" s="11">
        <v>0</v>
      </c>
      <c r="BE113" s="11">
        <v>0</v>
      </c>
    </row>
    <row x14ac:dyDescent="0.25" r="114" customHeight="1" ht="17.25">
      <c r="A114" s="11">
        <v>820461</v>
      </c>
      <c r="B114" s="4" t="s">
        <v>614</v>
      </c>
      <c r="C114" s="5" t="s">
        <v>565</v>
      </c>
      <c r="D114" s="5" t="s">
        <v>566</v>
      </c>
      <c r="E114" s="12"/>
      <c r="F114" s="13">
        <f>"0140171991"</f>
      </c>
      <c r="G114" s="13">
        <f>"9780140171990"</f>
      </c>
      <c r="H114" s="11">
        <v>0</v>
      </c>
      <c r="I114" s="14">
        <v>4.15</v>
      </c>
      <c r="J114" s="7" t="s">
        <v>615</v>
      </c>
      <c r="K114" s="5" t="s">
        <v>60</v>
      </c>
      <c r="L114" s="11">
        <v>782</v>
      </c>
      <c r="M114" s="11">
        <v>1992</v>
      </c>
      <c r="N114" s="11">
        <v>1955</v>
      </c>
      <c r="O114" s="15"/>
      <c r="P114" s="8">
        <v>44988</v>
      </c>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4" t="s">
        <v>467</v>
      </c>
      <c r="AY114" s="5" t="s">
        <v>616</v>
      </c>
      <c r="AZ114" s="5" t="s">
        <v>38</v>
      </c>
      <c r="BA114" s="12"/>
      <c r="BB114" s="12"/>
      <c r="BC114" s="12"/>
      <c r="BD114" s="11">
        <v>0</v>
      </c>
      <c r="BE114" s="11">
        <v>0</v>
      </c>
    </row>
    <row x14ac:dyDescent="0.25" r="115" customHeight="1" ht="17.25">
      <c r="A115" s="11">
        <v>168032</v>
      </c>
      <c r="B115" s="4" t="s">
        <v>617</v>
      </c>
      <c r="C115" s="5" t="s">
        <v>618</v>
      </c>
      <c r="D115" s="5" t="s">
        <v>619</v>
      </c>
      <c r="E115" s="5" t="s">
        <v>620</v>
      </c>
      <c r="F115" s="13">
        <f>"0674362810"</f>
      </c>
      <c r="G115" s="13">
        <f>"9780674362819"</f>
      </c>
      <c r="H115" s="11">
        <v>0</v>
      </c>
      <c r="I115" s="14">
        <v>4.23</v>
      </c>
      <c r="J115" s="7" t="s">
        <v>138</v>
      </c>
      <c r="K115" s="5" t="s">
        <v>60</v>
      </c>
      <c r="L115" s="11">
        <v>512</v>
      </c>
      <c r="M115" s="11">
        <v>1985</v>
      </c>
      <c r="N115" s="11">
        <v>1977</v>
      </c>
      <c r="O115" s="15"/>
      <c r="P115" s="8">
        <v>45036</v>
      </c>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4" t="s">
        <v>467</v>
      </c>
      <c r="AY115" s="5" t="s">
        <v>621</v>
      </c>
      <c r="AZ115" s="5" t="s">
        <v>38</v>
      </c>
      <c r="BA115" s="12"/>
      <c r="BB115" s="12"/>
      <c r="BC115" s="12"/>
      <c r="BD115" s="11">
        <v>0</v>
      </c>
      <c r="BE115" s="11">
        <v>0</v>
      </c>
    </row>
    <row x14ac:dyDescent="0.25" r="116" customHeight="1" ht="17.25">
      <c r="A116" s="11">
        <v>11092237</v>
      </c>
      <c r="B116" s="4" t="s">
        <v>622</v>
      </c>
      <c r="C116" s="5" t="s">
        <v>623</v>
      </c>
      <c r="D116" s="5" t="s">
        <v>624</v>
      </c>
      <c r="E116" s="12"/>
      <c r="F116" s="13">
        <f>"1456548441"</f>
      </c>
      <c r="G116" s="13">
        <f>"9781456548445"</f>
      </c>
      <c r="H116" s="11">
        <v>0</v>
      </c>
      <c r="I116" s="14">
        <v>4.56</v>
      </c>
      <c r="J116" s="7" t="s">
        <v>625</v>
      </c>
      <c r="K116" s="5" t="s">
        <v>60</v>
      </c>
      <c r="L116" s="11">
        <v>138</v>
      </c>
      <c r="M116" s="11">
        <v>2011</v>
      </c>
      <c r="N116" s="11">
        <v>2011</v>
      </c>
      <c r="O116" s="15"/>
      <c r="P116" s="8">
        <v>44808</v>
      </c>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4" t="s">
        <v>450</v>
      </c>
      <c r="AY116" s="5" t="s">
        <v>626</v>
      </c>
      <c r="AZ116" s="5" t="s">
        <v>38</v>
      </c>
      <c r="BA116" s="12"/>
      <c r="BB116" s="12"/>
      <c r="BC116" s="12"/>
      <c r="BD116" s="11">
        <v>0</v>
      </c>
      <c r="BE116" s="11">
        <v>0</v>
      </c>
    </row>
    <row x14ac:dyDescent="0.25" r="117" customHeight="1" ht="17.25">
      <c r="A117" s="11">
        <v>566087</v>
      </c>
      <c r="B117" s="4" t="s">
        <v>627</v>
      </c>
      <c r="C117" s="5" t="s">
        <v>628</v>
      </c>
      <c r="D117" s="5" t="s">
        <v>629</v>
      </c>
      <c r="E117" s="12"/>
      <c r="F117" s="13">
        <f>""</f>
      </c>
      <c r="G117" s="13">
        <f>"9780919123045"</f>
      </c>
      <c r="H117" s="11">
        <v>0</v>
      </c>
      <c r="I117" s="14">
        <v>4.38</v>
      </c>
      <c r="J117" s="7" t="s">
        <v>630</v>
      </c>
      <c r="K117" s="5" t="s">
        <v>60</v>
      </c>
      <c r="L117" s="11">
        <v>272</v>
      </c>
      <c r="M117" s="11">
        <v>1980</v>
      </c>
      <c r="N117" s="11">
        <v>1981</v>
      </c>
      <c r="O117" s="15"/>
      <c r="P117" s="8">
        <v>44809</v>
      </c>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4" t="s">
        <v>450</v>
      </c>
      <c r="AY117" s="5" t="s">
        <v>631</v>
      </c>
      <c r="AZ117" s="5" t="s">
        <v>38</v>
      </c>
      <c r="BA117" s="12"/>
      <c r="BB117" s="12"/>
      <c r="BC117" s="12"/>
      <c r="BD117" s="11">
        <v>0</v>
      </c>
      <c r="BE117" s="11">
        <v>0</v>
      </c>
    </row>
    <row x14ac:dyDescent="0.25" r="118" customHeight="1" ht="17.25">
      <c r="A118" s="11">
        <v>435338</v>
      </c>
      <c r="B118" s="4" t="s">
        <v>632</v>
      </c>
      <c r="C118" s="5" t="s">
        <v>633</v>
      </c>
      <c r="D118" s="5" t="s">
        <v>634</v>
      </c>
      <c r="E118" s="5" t="s">
        <v>635</v>
      </c>
      <c r="F118" s="13">
        <f>"0521655641"</f>
      </c>
      <c r="G118" s="13">
        <f>"9780521655644"</f>
      </c>
      <c r="H118" s="11">
        <v>0</v>
      </c>
      <c r="I118" s="14">
        <v>3.93</v>
      </c>
      <c r="J118" s="7" t="s">
        <v>636</v>
      </c>
      <c r="K118" s="5" t="s">
        <v>60</v>
      </c>
      <c r="L118" s="11">
        <v>122</v>
      </c>
      <c r="M118" s="11">
        <v>2001</v>
      </c>
      <c r="N118" s="11">
        <v>-440</v>
      </c>
      <c r="O118" s="15"/>
      <c r="P118" s="8">
        <v>43967</v>
      </c>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4" t="s">
        <v>511</v>
      </c>
      <c r="AY118" s="5" t="s">
        <v>637</v>
      </c>
      <c r="AZ118" s="5" t="s">
        <v>38</v>
      </c>
      <c r="BA118" s="12"/>
      <c r="BB118" s="12"/>
      <c r="BC118" s="12"/>
      <c r="BD118" s="11">
        <v>0</v>
      </c>
      <c r="BE118" s="11">
        <v>0</v>
      </c>
    </row>
    <row x14ac:dyDescent="0.25" r="119" customHeight="1" ht="17.25">
      <c r="A119" s="11">
        <v>188878</v>
      </c>
      <c r="B119" s="4" t="s">
        <v>638</v>
      </c>
      <c r="C119" s="5" t="s">
        <v>639</v>
      </c>
      <c r="D119" s="5" t="s">
        <v>640</v>
      </c>
      <c r="E119" s="12"/>
      <c r="F119" s="13">
        <f>"0064301001"</f>
      </c>
      <c r="G119" s="13">
        <f>"9780064301008"</f>
      </c>
      <c r="H119" s="11">
        <v>0</v>
      </c>
      <c r="I119" s="14">
        <v>4.26</v>
      </c>
      <c r="J119" s="7" t="s">
        <v>641</v>
      </c>
      <c r="K119" s="5" t="s">
        <v>60</v>
      </c>
      <c r="L119" s="11">
        <v>384</v>
      </c>
      <c r="M119" s="11">
        <v>1979</v>
      </c>
      <c r="N119" s="11">
        <v>1973</v>
      </c>
      <c r="O119" s="15"/>
      <c r="P119" s="8">
        <v>44808</v>
      </c>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4" t="s">
        <v>461</v>
      </c>
      <c r="AY119" s="5" t="s">
        <v>642</v>
      </c>
      <c r="AZ119" s="5" t="s">
        <v>38</v>
      </c>
      <c r="BA119" s="12"/>
      <c r="BB119" s="12"/>
      <c r="BC119" s="12"/>
      <c r="BD119" s="11">
        <v>0</v>
      </c>
      <c r="BE119" s="11">
        <v>0</v>
      </c>
    </row>
    <row x14ac:dyDescent="0.25" r="120" customHeight="1" ht="17.25">
      <c r="A120" s="11">
        <v>32284040</v>
      </c>
      <c r="B120" s="4" t="s">
        <v>643</v>
      </c>
      <c r="C120" s="5" t="s">
        <v>644</v>
      </c>
      <c r="D120" s="5" t="s">
        <v>645</v>
      </c>
      <c r="E120" s="12"/>
      <c r="F120" s="13">
        <f>"0738752282"</f>
      </c>
      <c r="G120" s="13">
        <f>"9780738752280"</f>
      </c>
      <c r="H120" s="11">
        <v>0</v>
      </c>
      <c r="I120" s="14">
        <v>4.39</v>
      </c>
      <c r="J120" s="7" t="s">
        <v>646</v>
      </c>
      <c r="K120" s="5" t="s">
        <v>60</v>
      </c>
      <c r="L120" s="11">
        <v>384</v>
      </c>
      <c r="M120" s="11">
        <v>2017</v>
      </c>
      <c r="N120" s="11">
        <v>2013</v>
      </c>
      <c r="O120" s="15"/>
      <c r="P120" s="8">
        <v>44790</v>
      </c>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4" t="s">
        <v>450</v>
      </c>
      <c r="AY120" s="5" t="s">
        <v>647</v>
      </c>
      <c r="AZ120" s="5" t="s">
        <v>38</v>
      </c>
      <c r="BA120" s="12"/>
      <c r="BB120" s="12"/>
      <c r="BC120" s="12"/>
      <c r="BD120" s="11">
        <v>0</v>
      </c>
      <c r="BE120" s="11">
        <v>0</v>
      </c>
    </row>
    <row x14ac:dyDescent="0.25" r="121" customHeight="1" ht="17.25">
      <c r="A121" s="11">
        <v>621933</v>
      </c>
      <c r="B121" s="4" t="s">
        <v>648</v>
      </c>
      <c r="C121" s="5" t="s">
        <v>649</v>
      </c>
      <c r="D121" s="5" t="s">
        <v>650</v>
      </c>
      <c r="E121" s="12"/>
      <c r="F121" s="13">
        <f>"0691086613"</f>
      </c>
      <c r="G121" s="13">
        <f>"9780691086613"</f>
      </c>
      <c r="H121" s="11">
        <v>0</v>
      </c>
      <c r="I121" s="11">
        <v>4</v>
      </c>
      <c r="J121" s="7" t="s">
        <v>172</v>
      </c>
      <c r="K121" s="5" t="s">
        <v>60</v>
      </c>
      <c r="L121" s="11">
        <v>480</v>
      </c>
      <c r="M121" s="11">
        <v>2001</v>
      </c>
      <c r="N121" s="11">
        <v>1998</v>
      </c>
      <c r="O121" s="15"/>
      <c r="P121" s="8">
        <v>44803</v>
      </c>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4" t="s">
        <v>450</v>
      </c>
      <c r="AY121" s="5" t="s">
        <v>651</v>
      </c>
      <c r="AZ121" s="5" t="s">
        <v>38</v>
      </c>
      <c r="BA121" s="12"/>
      <c r="BB121" s="12"/>
      <c r="BC121" s="12"/>
      <c r="BD121" s="11">
        <v>0</v>
      </c>
      <c r="BE121" s="11">
        <v>0</v>
      </c>
    </row>
    <row x14ac:dyDescent="0.25" r="122" customHeight="1" ht="17.25">
      <c r="A122" s="11">
        <v>89271</v>
      </c>
      <c r="B122" s="4" t="s">
        <v>652</v>
      </c>
      <c r="C122" s="5" t="s">
        <v>653</v>
      </c>
      <c r="D122" s="5" t="s">
        <v>654</v>
      </c>
      <c r="E122" s="5" t="s">
        <v>655</v>
      </c>
      <c r="F122" s="13">
        <f>"0140512543"</f>
      </c>
      <c r="G122" s="13">
        <f>"9780140512540"</f>
      </c>
      <c r="H122" s="11">
        <v>0</v>
      </c>
      <c r="I122" s="14">
        <v>4.32</v>
      </c>
      <c r="J122" s="7" t="s">
        <v>182</v>
      </c>
      <c r="K122" s="5" t="s">
        <v>60</v>
      </c>
      <c r="L122" s="11">
        <v>1184</v>
      </c>
      <c r="M122" s="11">
        <v>1997</v>
      </c>
      <c r="N122" s="11">
        <v>1982</v>
      </c>
      <c r="O122" s="15"/>
      <c r="P122" s="8">
        <v>43934</v>
      </c>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4" t="s">
        <v>461</v>
      </c>
      <c r="AY122" s="5" t="s">
        <v>656</v>
      </c>
      <c r="AZ122" s="5" t="s">
        <v>38</v>
      </c>
      <c r="BA122" s="12"/>
      <c r="BB122" s="12"/>
      <c r="BC122" s="12"/>
      <c r="BD122" s="11">
        <v>0</v>
      </c>
      <c r="BE122" s="11">
        <v>0</v>
      </c>
    </row>
    <row x14ac:dyDescent="0.25" r="123" customHeight="1" ht="15.75">
      <c r="A123" s="11">
        <v>525544</v>
      </c>
      <c r="B123" s="4" t="s">
        <v>657</v>
      </c>
      <c r="C123" s="5" t="s">
        <v>658</v>
      </c>
      <c r="D123" s="5" t="s">
        <v>659</v>
      </c>
      <c r="E123" s="12"/>
      <c r="F123" s="13">
        <f>""</f>
      </c>
      <c r="G123" s="13">
        <f>""</f>
      </c>
      <c r="H123" s="11">
        <v>5</v>
      </c>
      <c r="I123" s="14">
        <v>3.42</v>
      </c>
      <c r="J123" s="7" t="s">
        <v>491</v>
      </c>
      <c r="K123" s="5" t="s">
        <v>60</v>
      </c>
      <c r="L123" s="11">
        <v>157</v>
      </c>
      <c r="M123" s="11">
        <v>1987</v>
      </c>
      <c r="N123" s="11">
        <v>1986</v>
      </c>
      <c r="O123" s="8">
        <v>44462</v>
      </c>
      <c r="P123" s="8">
        <v>44441</v>
      </c>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4" t="s">
        <v>660</v>
      </c>
      <c r="AY123" s="5" t="s">
        <v>661</v>
      </c>
      <c r="AZ123" s="5" t="s">
        <v>158</v>
      </c>
      <c r="BA123" s="12"/>
      <c r="BB123" s="12"/>
      <c r="BC123" s="12"/>
      <c r="BD123" s="11">
        <v>1</v>
      </c>
      <c r="BE123" s="11">
        <v>1</v>
      </c>
    </row>
    <row x14ac:dyDescent="0.25" r="124" customHeight="1" ht="17.25">
      <c r="A124" s="11">
        <v>19288207</v>
      </c>
      <c r="B124" s="4" t="s">
        <v>662</v>
      </c>
      <c r="C124" s="5" t="s">
        <v>663</v>
      </c>
      <c r="D124" s="5" t="s">
        <v>664</v>
      </c>
      <c r="E124" s="12"/>
      <c r="F124" s="13">
        <f>"0375711767"</f>
      </c>
      <c r="G124" s="13">
        <f>"9780375711763"</f>
      </c>
      <c r="H124" s="11">
        <v>4</v>
      </c>
      <c r="I124" s="14">
        <v>4.45</v>
      </c>
      <c r="J124" s="7" t="s">
        <v>665</v>
      </c>
      <c r="K124" s="5" t="s">
        <v>60</v>
      </c>
      <c r="L124" s="11">
        <v>432</v>
      </c>
      <c r="M124" s="11">
        <v>2014</v>
      </c>
      <c r="N124" s="11">
        <v>2012</v>
      </c>
      <c r="O124" s="15"/>
      <c r="P124" s="8">
        <v>43263</v>
      </c>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4" t="s">
        <v>666</v>
      </c>
      <c r="AY124" s="5" t="s">
        <v>667</v>
      </c>
      <c r="AZ124" s="5" t="s">
        <v>158</v>
      </c>
      <c r="BA124" s="12"/>
      <c r="BB124" s="12"/>
      <c r="BC124" s="12"/>
      <c r="BD124" s="11">
        <v>1</v>
      </c>
      <c r="BE124" s="11">
        <v>1</v>
      </c>
    </row>
    <row x14ac:dyDescent="0.25" r="125" customHeight="1" ht="17.25">
      <c r="A125" s="11">
        <v>61049</v>
      </c>
      <c r="B125" s="4" t="s">
        <v>668</v>
      </c>
      <c r="C125" s="5" t="s">
        <v>669</v>
      </c>
      <c r="D125" s="5" t="s">
        <v>670</v>
      </c>
      <c r="E125" s="12"/>
      <c r="F125" s="13">
        <f>"037570129X"</f>
      </c>
      <c r="G125" s="13">
        <f>"9780375701290"</f>
      </c>
      <c r="H125" s="11">
        <v>5</v>
      </c>
      <c r="I125" s="14">
        <v>4.28</v>
      </c>
      <c r="J125" s="7" t="s">
        <v>114</v>
      </c>
      <c r="K125" s="5" t="s">
        <v>60</v>
      </c>
      <c r="L125" s="11">
        <v>160</v>
      </c>
      <c r="M125" s="11">
        <v>1998</v>
      </c>
      <c r="N125" s="11">
        <v>1998</v>
      </c>
      <c r="O125" s="8">
        <v>43880</v>
      </c>
      <c r="P125" s="8">
        <v>43101</v>
      </c>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4" t="s">
        <v>671</v>
      </c>
      <c r="AY125" s="5" t="s">
        <v>672</v>
      </c>
      <c r="AZ125" s="5" t="s">
        <v>158</v>
      </c>
      <c r="BA125" s="12"/>
      <c r="BB125" s="12"/>
      <c r="BC125" s="12"/>
      <c r="BD125" s="11">
        <v>1</v>
      </c>
      <c r="BE125" s="11">
        <v>0</v>
      </c>
    </row>
    <row x14ac:dyDescent="0.25" r="126" customHeight="1" ht="17.25">
      <c r="A126" s="11">
        <v>21532793</v>
      </c>
      <c r="B126" s="4" t="s">
        <v>673</v>
      </c>
      <c r="C126" s="5" t="s">
        <v>674</v>
      </c>
      <c r="D126" s="5" t="s">
        <v>675</v>
      </c>
      <c r="E126" s="12"/>
      <c r="F126" s="13">
        <f>"1556594771"</f>
      </c>
      <c r="G126" s="13">
        <f>"9781556594779"</f>
      </c>
      <c r="H126" s="11">
        <v>5</v>
      </c>
      <c r="I126" s="14">
        <v>4.15</v>
      </c>
      <c r="J126" s="7" t="s">
        <v>676</v>
      </c>
      <c r="K126" s="5" t="s">
        <v>60</v>
      </c>
      <c r="L126" s="11">
        <v>49</v>
      </c>
      <c r="M126" s="11">
        <v>2015</v>
      </c>
      <c r="N126" s="11">
        <v>2015</v>
      </c>
      <c r="O126" s="15"/>
      <c r="P126" s="8">
        <v>44087</v>
      </c>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4" t="s">
        <v>671</v>
      </c>
      <c r="AY126" s="5" t="s">
        <v>677</v>
      </c>
      <c r="AZ126" s="5" t="s">
        <v>158</v>
      </c>
      <c r="BA126" s="12"/>
      <c r="BB126" s="12"/>
      <c r="BC126" s="12"/>
      <c r="BD126" s="11">
        <v>1</v>
      </c>
      <c r="BE126" s="11">
        <v>0</v>
      </c>
    </row>
    <row x14ac:dyDescent="0.25" r="127" customHeight="1" ht="17.25">
      <c r="A127" s="11">
        <v>150252</v>
      </c>
      <c r="B127" s="4" t="s">
        <v>678</v>
      </c>
      <c r="C127" s="5" t="s">
        <v>669</v>
      </c>
      <c r="D127" s="5" t="s">
        <v>670</v>
      </c>
      <c r="E127" s="12"/>
      <c r="F127" s="13">
        <f>"0375707573"</f>
      </c>
      <c r="G127" s="13">
        <f>"9780375707575"</f>
      </c>
      <c r="H127" s="11">
        <v>5</v>
      </c>
      <c r="I127" s="14">
        <v>4.24</v>
      </c>
      <c r="J127" s="7" t="s">
        <v>114</v>
      </c>
      <c r="K127" s="5" t="s">
        <v>60</v>
      </c>
      <c r="L127" s="11">
        <v>160</v>
      </c>
      <c r="M127" s="11">
        <v>2002</v>
      </c>
      <c r="N127" s="11">
        <v>2001</v>
      </c>
      <c r="O127" s="8">
        <v>44211</v>
      </c>
      <c r="P127" s="9">
        <v>44193</v>
      </c>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4" t="s">
        <v>679</v>
      </c>
      <c r="AY127" s="5" t="s">
        <v>680</v>
      </c>
      <c r="AZ127" s="5" t="s">
        <v>38</v>
      </c>
      <c r="BA127" s="12"/>
      <c r="BB127" s="12"/>
      <c r="BC127" s="12"/>
      <c r="BD127" s="11">
        <v>2</v>
      </c>
      <c r="BE127" s="11">
        <v>1</v>
      </c>
    </row>
    <row x14ac:dyDescent="0.25" r="128" customHeight="1" ht="15.75">
      <c r="A128" s="11">
        <v>22290</v>
      </c>
      <c r="B128" s="4" t="s">
        <v>681</v>
      </c>
      <c r="C128" s="5" t="s">
        <v>682</v>
      </c>
      <c r="D128" s="5" t="s">
        <v>683</v>
      </c>
      <c r="E128" s="12"/>
      <c r="F128" s="13">
        <f>"0099285444"</f>
      </c>
      <c r="G128" s="13">
        <f>"9780099285441"</f>
      </c>
      <c r="H128" s="11">
        <v>5</v>
      </c>
      <c r="I128" s="11">
        <v>4</v>
      </c>
      <c r="J128" s="7" t="s">
        <v>114</v>
      </c>
      <c r="K128" s="5" t="s">
        <v>60</v>
      </c>
      <c r="L128" s="11">
        <v>297</v>
      </c>
      <c r="M128" s="11">
        <v>2000</v>
      </c>
      <c r="N128" s="11">
        <v>1999</v>
      </c>
      <c r="O128" s="9">
        <v>40901</v>
      </c>
      <c r="P128" s="9">
        <v>40888</v>
      </c>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4" t="s">
        <v>684</v>
      </c>
      <c r="AY128" s="5" t="s">
        <v>685</v>
      </c>
      <c r="AZ128" s="5" t="s">
        <v>158</v>
      </c>
      <c r="BA128" s="12"/>
      <c r="BB128" s="12"/>
      <c r="BC128" s="12"/>
      <c r="BD128" s="11">
        <v>1</v>
      </c>
      <c r="BE128" s="11">
        <v>0</v>
      </c>
    </row>
    <row x14ac:dyDescent="0.25" r="129" customHeight="1" ht="17.25">
      <c r="A129" s="11">
        <v>920696</v>
      </c>
      <c r="B129" s="4" t="s">
        <v>686</v>
      </c>
      <c r="C129" s="5" t="s">
        <v>687</v>
      </c>
      <c r="D129" s="5" t="s">
        <v>688</v>
      </c>
      <c r="E129" s="12"/>
      <c r="F129" s="13">
        <f>"0451158237"</f>
      </c>
      <c r="G129" s="13">
        <f>"9780451158239"</f>
      </c>
      <c r="H129" s="11">
        <v>5</v>
      </c>
      <c r="I129" s="14">
        <v>3.88</v>
      </c>
      <c r="J129" s="7" t="s">
        <v>689</v>
      </c>
      <c r="K129" s="5" t="s">
        <v>346</v>
      </c>
      <c r="L129" s="11">
        <v>696</v>
      </c>
      <c r="M129" s="11">
        <v>1981</v>
      </c>
      <c r="N129" s="11">
        <v>1943</v>
      </c>
      <c r="O129" s="8">
        <v>41480</v>
      </c>
      <c r="P129" s="8">
        <v>41456</v>
      </c>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4" t="s">
        <v>690</v>
      </c>
      <c r="AY129" s="5" t="s">
        <v>691</v>
      </c>
      <c r="AZ129" s="5" t="s">
        <v>38</v>
      </c>
      <c r="BA129" s="12"/>
      <c r="BB129" s="12"/>
      <c r="BC129" s="12"/>
      <c r="BD129" s="11">
        <v>1</v>
      </c>
      <c r="BE129" s="11">
        <v>1</v>
      </c>
    </row>
    <row x14ac:dyDescent="0.25" r="130" customHeight="1" ht="17.25">
      <c r="A130" s="11">
        <v>49552</v>
      </c>
      <c r="B130" s="4" t="s">
        <v>692</v>
      </c>
      <c r="C130" s="5" t="s">
        <v>281</v>
      </c>
      <c r="D130" s="5" t="s">
        <v>282</v>
      </c>
      <c r="E130" s="5" t="s">
        <v>693</v>
      </c>
      <c r="F130" s="13">
        <f>""</f>
      </c>
      <c r="G130" s="13">
        <f>""</f>
      </c>
      <c r="H130" s="11">
        <v>5</v>
      </c>
      <c r="I130" s="14">
        <v>4.02</v>
      </c>
      <c r="J130" s="7" t="s">
        <v>284</v>
      </c>
      <c r="K130" s="5" t="s">
        <v>60</v>
      </c>
      <c r="L130" s="11">
        <v>159</v>
      </c>
      <c r="M130" s="11">
        <v>1989</v>
      </c>
      <c r="N130" s="11">
        <v>1942</v>
      </c>
      <c r="O130" s="8">
        <v>41027</v>
      </c>
      <c r="P130" s="8">
        <v>41027</v>
      </c>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4" t="s">
        <v>19</v>
      </c>
      <c r="AY130" s="5" t="s">
        <v>694</v>
      </c>
      <c r="AZ130" s="5" t="s">
        <v>158</v>
      </c>
      <c r="BA130" s="12"/>
      <c r="BB130" s="12"/>
      <c r="BC130" s="12"/>
      <c r="BD130" s="11">
        <v>1</v>
      </c>
      <c r="BE130" s="11">
        <v>0</v>
      </c>
    </row>
    <row x14ac:dyDescent="0.25" r="131" customHeight="1" ht="17.25">
      <c r="A131" s="11">
        <v>11990</v>
      </c>
      <c r="B131" s="4" t="s">
        <v>695</v>
      </c>
      <c r="C131" s="5" t="s">
        <v>281</v>
      </c>
      <c r="D131" s="5" t="s">
        <v>282</v>
      </c>
      <c r="E131" s="12"/>
      <c r="F131" s="13">
        <f>"0679733841"</f>
      </c>
      <c r="G131" s="13">
        <f>"9780679733843"</f>
      </c>
      <c r="H131" s="11">
        <v>0</v>
      </c>
      <c r="I131" s="14">
        <v>4.14</v>
      </c>
      <c r="J131" s="7" t="s">
        <v>114</v>
      </c>
      <c r="K131" s="5" t="s">
        <v>60</v>
      </c>
      <c r="L131" s="11">
        <v>320</v>
      </c>
      <c r="M131" s="11">
        <v>1992</v>
      </c>
      <c r="N131" s="11">
        <v>1951</v>
      </c>
      <c r="O131" s="15"/>
      <c r="P131" s="8">
        <v>41306</v>
      </c>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4" t="s">
        <v>38</v>
      </c>
      <c r="AY131" s="5" t="s">
        <v>696</v>
      </c>
      <c r="AZ131" s="5" t="s">
        <v>38</v>
      </c>
      <c r="BA131" s="12"/>
      <c r="BB131" s="12"/>
      <c r="BC131" s="12"/>
      <c r="BD131" s="11">
        <v>0</v>
      </c>
      <c r="BE131" s="11">
        <v>0</v>
      </c>
    </row>
    <row x14ac:dyDescent="0.25" r="132" customHeight="1" ht="15.75">
      <c r="A132" s="11">
        <v>53404868</v>
      </c>
      <c r="B132" s="4" t="s">
        <v>697</v>
      </c>
      <c r="C132" s="5" t="s">
        <v>698</v>
      </c>
      <c r="D132" s="5" t="s">
        <v>699</v>
      </c>
      <c r="E132" s="5" t="s">
        <v>700</v>
      </c>
      <c r="F132" s="13">
        <f>""</f>
      </c>
      <c r="G132" s="13">
        <f>"9781681374642"</f>
      </c>
      <c r="H132" s="11">
        <v>5</v>
      </c>
      <c r="I132" s="11">
        <v>4</v>
      </c>
      <c r="J132" s="7" t="s">
        <v>701</v>
      </c>
      <c r="K132" s="5" t="s">
        <v>60</v>
      </c>
      <c r="L132" s="11">
        <v>210</v>
      </c>
      <c r="M132" s="11">
        <v>2021</v>
      </c>
      <c r="N132" s="11">
        <v>1974</v>
      </c>
      <c r="O132" s="8">
        <v>45059</v>
      </c>
      <c r="P132" s="8">
        <v>42485</v>
      </c>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4" t="s">
        <v>702</v>
      </c>
      <c r="AY132" s="5" t="s">
        <v>703</v>
      </c>
      <c r="AZ132" s="5" t="s">
        <v>158</v>
      </c>
      <c r="BA132" s="12"/>
      <c r="BB132" s="12"/>
      <c r="BC132" s="12"/>
      <c r="BD132" s="11">
        <v>1</v>
      </c>
      <c r="BE132" s="11">
        <v>0</v>
      </c>
    </row>
    <row x14ac:dyDescent="0.25" r="133" customHeight="1" ht="15.75">
      <c r="A133" s="11">
        <v>5215</v>
      </c>
      <c r="B133" s="4" t="s">
        <v>704</v>
      </c>
      <c r="C133" s="5" t="s">
        <v>705</v>
      </c>
      <c r="D133" s="5" t="s">
        <v>706</v>
      </c>
      <c r="E133" s="5" t="s">
        <v>707</v>
      </c>
      <c r="F133" s="13">
        <f>"0060740450"</f>
      </c>
      <c r="G133" s="13">
        <f>"9780060740450"</f>
      </c>
      <c r="H133" s="11">
        <v>5</v>
      </c>
      <c r="I133" s="14">
        <v>4.11</v>
      </c>
      <c r="J133" s="7" t="s">
        <v>505</v>
      </c>
      <c r="K133" s="5" t="s">
        <v>60</v>
      </c>
      <c r="L133" s="11">
        <v>464</v>
      </c>
      <c r="M133" s="11">
        <v>2004</v>
      </c>
      <c r="N133" s="11">
        <v>1967</v>
      </c>
      <c r="O133" s="8">
        <v>41658</v>
      </c>
      <c r="P133" s="9">
        <v>41620</v>
      </c>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4" t="s">
        <v>660</v>
      </c>
      <c r="AY133" s="5" t="s">
        <v>708</v>
      </c>
      <c r="AZ133" s="5" t="s">
        <v>158</v>
      </c>
      <c r="BA133" s="12"/>
      <c r="BB133" s="12"/>
      <c r="BC133" s="12"/>
      <c r="BD133" s="11">
        <v>1</v>
      </c>
      <c r="BE133" s="11">
        <v>1</v>
      </c>
    </row>
    <row x14ac:dyDescent="0.25" r="134" customHeight="1" ht="15.75">
      <c r="A134" s="11">
        <v>12384322</v>
      </c>
      <c r="B134" s="4" t="s">
        <v>709</v>
      </c>
      <c r="C134" s="5" t="s">
        <v>710</v>
      </c>
      <c r="D134" s="5" t="s">
        <v>711</v>
      </c>
      <c r="E134" s="12"/>
      <c r="F134" s="13">
        <f>"0571275761"</f>
      </c>
      <c r="G134" s="13">
        <f>"9780571275762"</f>
      </c>
      <c r="H134" s="11">
        <v>5</v>
      </c>
      <c r="I134" s="14">
        <v>3.43</v>
      </c>
      <c r="J134" s="7" t="s">
        <v>316</v>
      </c>
      <c r="K134" s="5" t="s">
        <v>60</v>
      </c>
      <c r="L134" s="11">
        <v>292</v>
      </c>
      <c r="M134" s="11">
        <v>2012</v>
      </c>
      <c r="N134" s="11">
        <v>2012</v>
      </c>
      <c r="O134" s="8">
        <v>41334</v>
      </c>
      <c r="P134" s="8">
        <v>41323</v>
      </c>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4" t="s">
        <v>660</v>
      </c>
      <c r="AY134" s="5" t="s">
        <v>712</v>
      </c>
      <c r="AZ134" s="5" t="s">
        <v>158</v>
      </c>
      <c r="BA134" s="12"/>
      <c r="BB134" s="12"/>
      <c r="BC134" s="12"/>
      <c r="BD134" s="11">
        <v>1</v>
      </c>
      <c r="BE134" s="11">
        <v>1</v>
      </c>
    </row>
    <row x14ac:dyDescent="0.25" r="135" customHeight="1" ht="17.25">
      <c r="A135" s="11">
        <v>22822858</v>
      </c>
      <c r="B135" s="4" t="s">
        <v>713</v>
      </c>
      <c r="C135" s="5" t="s">
        <v>714</v>
      </c>
      <c r="D135" s="5" t="s">
        <v>715</v>
      </c>
      <c r="E135" s="12"/>
      <c r="F135" s="13">
        <f>""</f>
      </c>
      <c r="G135" s="13">
        <f>""</f>
      </c>
      <c r="H135" s="11">
        <v>5</v>
      </c>
      <c r="I135" s="14">
        <v>4.34</v>
      </c>
      <c r="J135" s="7" t="s">
        <v>716</v>
      </c>
      <c r="K135" s="5" t="s">
        <v>72</v>
      </c>
      <c r="L135" s="11">
        <v>720</v>
      </c>
      <c r="M135" s="11">
        <v>2015</v>
      </c>
      <c r="N135" s="11">
        <v>2015</v>
      </c>
      <c r="O135" s="9">
        <v>42338</v>
      </c>
      <c r="P135" s="9">
        <v>42321</v>
      </c>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4" t="s">
        <v>717</v>
      </c>
      <c r="AY135" s="5" t="s">
        <v>718</v>
      </c>
      <c r="AZ135" s="5" t="s">
        <v>158</v>
      </c>
      <c r="BA135" s="5" t="s">
        <v>719</v>
      </c>
      <c r="BB135" s="12"/>
      <c r="BC135" s="12"/>
      <c r="BD135" s="11">
        <v>1</v>
      </c>
      <c r="BE135" s="11">
        <v>1</v>
      </c>
    </row>
    <row x14ac:dyDescent="0.25" r="136" customHeight="1" ht="17.25">
      <c r="A136" s="11">
        <v>16000664</v>
      </c>
      <c r="B136" s="4" t="s">
        <v>720</v>
      </c>
      <c r="C136" s="5" t="s">
        <v>721</v>
      </c>
      <c r="D136" s="5" t="s">
        <v>722</v>
      </c>
      <c r="E136" s="12"/>
      <c r="F136" s="13">
        <f>"0141192151"</f>
      </c>
      <c r="G136" s="13">
        <f>"9780141192154"</f>
      </c>
      <c r="H136" s="11">
        <v>0</v>
      </c>
      <c r="I136" s="14">
        <v>3.83</v>
      </c>
      <c r="J136" s="7" t="s">
        <v>263</v>
      </c>
      <c r="K136" s="5" t="s">
        <v>60</v>
      </c>
      <c r="L136" s="11">
        <v>144</v>
      </c>
      <c r="M136" s="11">
        <v>2012</v>
      </c>
      <c r="N136" s="11">
        <v>1958</v>
      </c>
      <c r="O136" s="15"/>
      <c r="P136" s="8">
        <v>45094</v>
      </c>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4" t="s">
        <v>723</v>
      </c>
      <c r="AY136" s="5" t="s">
        <v>724</v>
      </c>
      <c r="AZ136" s="5" t="s">
        <v>38</v>
      </c>
      <c r="BA136" s="12"/>
      <c r="BB136" s="12"/>
      <c r="BC136" s="12"/>
      <c r="BD136" s="11">
        <v>0</v>
      </c>
      <c r="BE136" s="11">
        <v>0</v>
      </c>
    </row>
    <row x14ac:dyDescent="0.25" r="137" customHeight="1" ht="17.25">
      <c r="A137" s="11">
        <v>16842</v>
      </c>
      <c r="B137" s="4" t="s">
        <v>725</v>
      </c>
      <c r="C137" s="5" t="s">
        <v>726</v>
      </c>
      <c r="D137" s="5" t="s">
        <v>727</v>
      </c>
      <c r="E137" s="12"/>
      <c r="F137" s="13">
        <f>"0816638624"</f>
      </c>
      <c r="G137" s="13">
        <f>"9780816638628"</f>
      </c>
      <c r="H137" s="11">
        <v>0</v>
      </c>
      <c r="I137" s="14">
        <v>4.07</v>
      </c>
      <c r="J137" s="7" t="s">
        <v>728</v>
      </c>
      <c r="K137" s="5" t="s">
        <v>60</v>
      </c>
      <c r="L137" s="11">
        <v>186</v>
      </c>
      <c r="M137" s="11">
        <v>2001</v>
      </c>
      <c r="N137" s="11">
        <v>1964</v>
      </c>
      <c r="O137" s="15"/>
      <c r="P137" s="8">
        <v>44256</v>
      </c>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4" t="s">
        <v>723</v>
      </c>
      <c r="AY137" s="5" t="s">
        <v>729</v>
      </c>
      <c r="AZ137" s="5" t="s">
        <v>38</v>
      </c>
      <c r="BA137" s="12"/>
      <c r="BB137" s="12"/>
      <c r="BC137" s="12"/>
      <c r="BD137" s="11">
        <v>0</v>
      </c>
      <c r="BE137" s="11">
        <v>0</v>
      </c>
    </row>
    <row x14ac:dyDescent="0.25" r="138" customHeight="1" ht="17.25">
      <c r="A138" s="11">
        <v>62337366</v>
      </c>
      <c r="B138" s="4" t="s">
        <v>730</v>
      </c>
      <c r="C138" s="5" t="s">
        <v>731</v>
      </c>
      <c r="D138" s="5" t="s">
        <v>732</v>
      </c>
      <c r="E138" s="12"/>
      <c r="F138" s="13">
        <f>"164622146X"</f>
      </c>
      <c r="G138" s="13">
        <f>"9781646221462"</f>
      </c>
      <c r="H138" s="11">
        <v>0</v>
      </c>
      <c r="I138" s="14">
        <v>3.67</v>
      </c>
      <c r="J138" s="7" t="s">
        <v>733</v>
      </c>
      <c r="K138" s="5" t="s">
        <v>72</v>
      </c>
      <c r="L138" s="11">
        <v>208</v>
      </c>
      <c r="M138" s="11">
        <v>2023</v>
      </c>
      <c r="N138" s="11">
        <v>2023</v>
      </c>
      <c r="O138" s="15"/>
      <c r="P138" s="8">
        <v>45088</v>
      </c>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4" t="s">
        <v>734</v>
      </c>
      <c r="AY138" s="5" t="s">
        <v>735</v>
      </c>
      <c r="AZ138" s="5" t="s">
        <v>38</v>
      </c>
      <c r="BA138" s="12"/>
      <c r="BB138" s="12"/>
      <c r="BC138" s="12"/>
      <c r="BD138" s="11">
        <v>0</v>
      </c>
      <c r="BE138" s="11">
        <v>0</v>
      </c>
    </row>
    <row x14ac:dyDescent="0.25" r="139" customHeight="1" ht="17.25">
      <c r="A139" s="11">
        <v>58950685</v>
      </c>
      <c r="B139" s="4" t="s">
        <v>736</v>
      </c>
      <c r="C139" s="5" t="s">
        <v>737</v>
      </c>
      <c r="D139" s="5" t="s">
        <v>738</v>
      </c>
      <c r="E139" s="12"/>
      <c r="F139" s="13">
        <f>"1668605031"</f>
      </c>
      <c r="G139" s="13">
        <f>"9781668605035"</f>
      </c>
      <c r="H139" s="11">
        <v>0</v>
      </c>
      <c r="I139" s="14">
        <v>4.43</v>
      </c>
      <c r="J139" s="7" t="s">
        <v>739</v>
      </c>
      <c r="K139" s="5" t="s">
        <v>740</v>
      </c>
      <c r="L139" s="16"/>
      <c r="M139" s="11">
        <v>2022</v>
      </c>
      <c r="N139" s="11">
        <v>2022</v>
      </c>
      <c r="O139" s="15"/>
      <c r="P139" s="9">
        <v>44852</v>
      </c>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4" t="s">
        <v>741</v>
      </c>
      <c r="AY139" s="5" t="s">
        <v>742</v>
      </c>
      <c r="AZ139" s="5" t="s">
        <v>38</v>
      </c>
      <c r="BA139" s="12"/>
      <c r="BB139" s="12"/>
      <c r="BC139" s="12"/>
      <c r="BD139" s="11">
        <v>0</v>
      </c>
      <c r="BE139" s="11">
        <v>0</v>
      </c>
    </row>
    <row x14ac:dyDescent="0.25" r="140" customHeight="1" ht="15.75">
      <c r="A140" s="11">
        <v>58891551</v>
      </c>
      <c r="B140" s="4" t="s">
        <v>743</v>
      </c>
      <c r="C140" s="5" t="s">
        <v>744</v>
      </c>
      <c r="D140" s="5" t="s">
        <v>745</v>
      </c>
      <c r="E140" s="12"/>
      <c r="F140" s="13">
        <f>"0802159559"</f>
      </c>
      <c r="G140" s="13">
        <f>"9780802159557"</f>
      </c>
      <c r="H140" s="11">
        <v>0</v>
      </c>
      <c r="I140" s="14">
        <v>4.38</v>
      </c>
      <c r="J140" s="7" t="s">
        <v>66</v>
      </c>
      <c r="K140" s="5" t="s">
        <v>72</v>
      </c>
      <c r="L140" s="11">
        <v>390</v>
      </c>
      <c r="M140" s="11">
        <v>2022</v>
      </c>
      <c r="N140" s="11">
        <v>2022</v>
      </c>
      <c r="O140" s="15"/>
      <c r="P140" s="8">
        <v>44808</v>
      </c>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4" t="s">
        <v>746</v>
      </c>
      <c r="AY140" s="5" t="s">
        <v>747</v>
      </c>
      <c r="AZ140" s="5" t="s">
        <v>38</v>
      </c>
      <c r="BA140" s="12"/>
      <c r="BB140" s="12"/>
      <c r="BC140" s="12"/>
      <c r="BD140" s="11">
        <v>0</v>
      </c>
      <c r="BE140" s="11">
        <v>0</v>
      </c>
    </row>
    <row x14ac:dyDescent="0.25" r="141" customHeight="1" ht="15.75">
      <c r="A141" s="11">
        <v>1107872</v>
      </c>
      <c r="B141" s="4" t="s">
        <v>748</v>
      </c>
      <c r="C141" s="5" t="s">
        <v>749</v>
      </c>
      <c r="D141" s="5" t="s">
        <v>750</v>
      </c>
      <c r="E141" s="12"/>
      <c r="F141" s="13">
        <f>"0452258855"</f>
      </c>
      <c r="G141" s="13">
        <f>"9780452258853"</f>
      </c>
      <c r="H141" s="11">
        <v>0</v>
      </c>
      <c r="I141" s="11">
        <v>4</v>
      </c>
      <c r="J141" s="7" t="s">
        <v>751</v>
      </c>
      <c r="K141" s="5" t="s">
        <v>60</v>
      </c>
      <c r="L141" s="11">
        <v>344</v>
      </c>
      <c r="M141" s="11">
        <v>1986</v>
      </c>
      <c r="N141" s="11">
        <v>1979</v>
      </c>
      <c r="O141" s="15"/>
      <c r="P141" s="8">
        <v>44254</v>
      </c>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4" t="s">
        <v>746</v>
      </c>
      <c r="AY141" s="5" t="s">
        <v>752</v>
      </c>
      <c r="AZ141" s="5" t="s">
        <v>38</v>
      </c>
      <c r="BA141" s="12"/>
      <c r="BB141" s="12"/>
      <c r="BC141" s="12"/>
      <c r="BD141" s="11">
        <v>0</v>
      </c>
      <c r="BE141" s="11">
        <v>0</v>
      </c>
    </row>
    <row x14ac:dyDescent="0.25" r="142" customHeight="1" ht="17.25">
      <c r="A142" s="11">
        <v>53317498</v>
      </c>
      <c r="B142" s="4" t="s">
        <v>753</v>
      </c>
      <c r="C142" s="5" t="s">
        <v>754</v>
      </c>
      <c r="D142" s="5" t="s">
        <v>755</v>
      </c>
      <c r="E142" s="12"/>
      <c r="F142" s="13">
        <f>"0374538980"</f>
      </c>
      <c r="G142" s="13">
        <f>"9780374538989"</f>
      </c>
      <c r="H142" s="11">
        <v>0</v>
      </c>
      <c r="I142" s="14">
        <v>3.77</v>
      </c>
      <c r="J142" s="7" t="s">
        <v>756</v>
      </c>
      <c r="K142" s="5" t="s">
        <v>60</v>
      </c>
      <c r="L142" s="11">
        <v>192</v>
      </c>
      <c r="M142" s="11">
        <v>2021</v>
      </c>
      <c r="N142" s="11">
        <v>2021</v>
      </c>
      <c r="O142" s="15"/>
      <c r="P142" s="8">
        <v>44216</v>
      </c>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4" t="s">
        <v>757</v>
      </c>
      <c r="AY142" s="5" t="s">
        <v>758</v>
      </c>
      <c r="AZ142" s="5" t="s">
        <v>38</v>
      </c>
      <c r="BA142" s="12"/>
      <c r="BB142" s="12"/>
      <c r="BC142" s="12"/>
      <c r="BD142" s="11">
        <v>0</v>
      </c>
      <c r="BE142" s="11">
        <v>0</v>
      </c>
    </row>
    <row x14ac:dyDescent="0.25" r="143" customHeight="1" ht="17.25">
      <c r="A143" s="11">
        <v>56080246</v>
      </c>
      <c r="B143" s="4" t="s">
        <v>759</v>
      </c>
      <c r="C143" s="5" t="s">
        <v>760</v>
      </c>
      <c r="D143" s="5" t="s">
        <v>761</v>
      </c>
      <c r="E143" s="12"/>
      <c r="F143" s="13">
        <f>"1999058879"</f>
      </c>
      <c r="G143" s="13">
        <f>"9781999058876"</f>
      </c>
      <c r="H143" s="11">
        <v>0</v>
      </c>
      <c r="I143" s="14">
        <v>4.25</v>
      </c>
      <c r="J143" s="7" t="s">
        <v>762</v>
      </c>
      <c r="K143" s="5" t="s">
        <v>60</v>
      </c>
      <c r="L143" s="11">
        <v>200</v>
      </c>
      <c r="M143" s="11">
        <v>2021</v>
      </c>
      <c r="N143" s="11">
        <v>2021</v>
      </c>
      <c r="O143" s="15"/>
      <c r="P143" s="8">
        <v>44216</v>
      </c>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4" t="s">
        <v>757</v>
      </c>
      <c r="AY143" s="5" t="s">
        <v>763</v>
      </c>
      <c r="AZ143" s="5" t="s">
        <v>38</v>
      </c>
      <c r="BA143" s="12"/>
      <c r="BB143" s="12"/>
      <c r="BC143" s="12"/>
      <c r="BD143" s="11">
        <v>0</v>
      </c>
      <c r="BE143" s="11">
        <v>0</v>
      </c>
    </row>
    <row x14ac:dyDescent="0.25" r="144" customHeight="1" ht="17.25">
      <c r="A144" s="11">
        <v>85862</v>
      </c>
      <c r="B144" s="4" t="s">
        <v>764</v>
      </c>
      <c r="C144" s="5" t="s">
        <v>765</v>
      </c>
      <c r="D144" s="5" t="s">
        <v>766</v>
      </c>
      <c r="E144" s="12"/>
      <c r="F144" s="13">
        <f>"0814719201"</f>
      </c>
      <c r="G144" s="13">
        <f>"9780814719206"</f>
      </c>
      <c r="H144" s="11">
        <v>0</v>
      </c>
      <c r="I144" s="14">
        <v>4.18</v>
      </c>
      <c r="J144" s="7" t="s">
        <v>767</v>
      </c>
      <c r="K144" s="5" t="s">
        <v>60</v>
      </c>
      <c r="L144" s="11">
        <v>203</v>
      </c>
      <c r="M144" s="11">
        <v>2001</v>
      </c>
      <c r="N144" s="11">
        <v>1999</v>
      </c>
      <c r="O144" s="15"/>
      <c r="P144" s="8">
        <v>44216</v>
      </c>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4" t="s">
        <v>723</v>
      </c>
      <c r="AY144" s="5" t="s">
        <v>768</v>
      </c>
      <c r="AZ144" s="5" t="s">
        <v>38</v>
      </c>
      <c r="BA144" s="12"/>
      <c r="BB144" s="12"/>
      <c r="BC144" s="12"/>
      <c r="BD144" s="11">
        <v>0</v>
      </c>
      <c r="BE144" s="11">
        <v>0</v>
      </c>
    </row>
    <row x14ac:dyDescent="0.25" r="145" customHeight="1" ht="17.25">
      <c r="A145" s="11">
        <v>8613193</v>
      </c>
      <c r="B145" s="4" t="s">
        <v>769</v>
      </c>
      <c r="C145" s="5" t="s">
        <v>770</v>
      </c>
      <c r="D145" s="5" t="s">
        <v>771</v>
      </c>
      <c r="E145" s="5" t="s">
        <v>772</v>
      </c>
      <c r="F145" s="13">
        <f>"081667101X"</f>
      </c>
      <c r="G145" s="13">
        <f>"9780816671014"</f>
      </c>
      <c r="H145" s="11">
        <v>0</v>
      </c>
      <c r="I145" s="14">
        <v>4.08</v>
      </c>
      <c r="J145" s="7" t="s">
        <v>728</v>
      </c>
      <c r="K145" s="5" t="s">
        <v>60</v>
      </c>
      <c r="L145" s="11">
        <v>230</v>
      </c>
      <c r="M145" s="11">
        <v>2010</v>
      </c>
      <c r="N145" s="11">
        <v>1921</v>
      </c>
      <c r="O145" s="15"/>
      <c r="P145" s="8">
        <v>44252</v>
      </c>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4" t="s">
        <v>773</v>
      </c>
      <c r="AY145" s="5" t="s">
        <v>774</v>
      </c>
      <c r="AZ145" s="5" t="s">
        <v>38</v>
      </c>
      <c r="BA145" s="12"/>
      <c r="BB145" s="12"/>
      <c r="BC145" s="12"/>
      <c r="BD145" s="11">
        <v>0</v>
      </c>
      <c r="BE145" s="11">
        <v>0</v>
      </c>
    </row>
    <row x14ac:dyDescent="0.25" r="146" customHeight="1" ht="17.25">
      <c r="A146" s="11">
        <v>6361516</v>
      </c>
      <c r="B146" s="4" t="s">
        <v>775</v>
      </c>
      <c r="C146" s="5" t="s">
        <v>776</v>
      </c>
      <c r="D146" s="5" t="s">
        <v>777</v>
      </c>
      <c r="E146" s="5" t="s">
        <v>328</v>
      </c>
      <c r="F146" s="13">
        <f>"1593501196"</f>
      </c>
      <c r="G146" s="13">
        <f>"9781593501198"</f>
      </c>
      <c r="H146" s="11">
        <v>0</v>
      </c>
      <c r="I146" s="14">
        <v>3.65</v>
      </c>
      <c r="J146" s="7" t="s">
        <v>778</v>
      </c>
      <c r="K146" s="5" t="s">
        <v>60</v>
      </c>
      <c r="L146" s="11">
        <v>342</v>
      </c>
      <c r="M146" s="11">
        <v>2009</v>
      </c>
      <c r="N146" s="11">
        <v>2009</v>
      </c>
      <c r="O146" s="15"/>
      <c r="P146" s="8">
        <v>44214</v>
      </c>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4" t="s">
        <v>723</v>
      </c>
      <c r="AY146" s="5" t="s">
        <v>779</v>
      </c>
      <c r="AZ146" s="5" t="s">
        <v>38</v>
      </c>
      <c r="BA146" s="12"/>
      <c r="BB146" s="12"/>
      <c r="BC146" s="12"/>
      <c r="BD146" s="11">
        <v>0</v>
      </c>
      <c r="BE146" s="11">
        <v>0</v>
      </c>
    </row>
    <row x14ac:dyDescent="0.25" r="147" customHeight="1" ht="17.25">
      <c r="A147" s="11">
        <v>38923635</v>
      </c>
      <c r="B147" s="4" t="s">
        <v>780</v>
      </c>
      <c r="C147" s="5" t="s">
        <v>781</v>
      </c>
      <c r="D147" s="5" t="s">
        <v>782</v>
      </c>
      <c r="E147" s="12"/>
      <c r="F147" s="13">
        <f>"022657668X"</f>
      </c>
      <c r="G147" s="13">
        <f>"9780226576688"</f>
      </c>
      <c r="H147" s="11">
        <v>0</v>
      </c>
      <c r="I147" s="14">
        <v>4.5</v>
      </c>
      <c r="J147" s="7" t="s">
        <v>255</v>
      </c>
      <c r="K147" s="5" t="s">
        <v>60</v>
      </c>
      <c r="L147" s="11">
        <v>272</v>
      </c>
      <c r="M147" s="11">
        <v>2018</v>
      </c>
      <c r="N147" s="16"/>
      <c r="O147" s="15"/>
      <c r="P147" s="9">
        <v>44192</v>
      </c>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4" t="s">
        <v>741</v>
      </c>
      <c r="AY147" s="5" t="s">
        <v>783</v>
      </c>
      <c r="AZ147" s="5" t="s">
        <v>38</v>
      </c>
      <c r="BA147" s="12"/>
      <c r="BB147" s="12"/>
      <c r="BC147" s="12"/>
      <c r="BD147" s="11">
        <v>0</v>
      </c>
      <c r="BE147" s="11">
        <v>0</v>
      </c>
    </row>
    <row x14ac:dyDescent="0.25" r="148" customHeight="1" ht="17.25">
      <c r="A148" s="11">
        <v>179028</v>
      </c>
      <c r="B148" s="4" t="s">
        <v>784</v>
      </c>
      <c r="C148" s="5" t="s">
        <v>785</v>
      </c>
      <c r="D148" s="5" t="s">
        <v>786</v>
      </c>
      <c r="E148" s="12"/>
      <c r="F148" s="13">
        <f>"0226426165"</f>
      </c>
      <c r="G148" s="13">
        <f>"9780226426167"</f>
      </c>
      <c r="H148" s="11">
        <v>0</v>
      </c>
      <c r="I148" s="14">
        <v>3.92</v>
      </c>
      <c r="J148" s="7" t="s">
        <v>255</v>
      </c>
      <c r="K148" s="5" t="s">
        <v>60</v>
      </c>
      <c r="L148" s="11">
        <v>426</v>
      </c>
      <c r="M148" s="11">
        <v>2003</v>
      </c>
      <c r="N148" s="11">
        <v>2001</v>
      </c>
      <c r="O148" s="15"/>
      <c r="P148" s="9">
        <v>44192</v>
      </c>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4" t="s">
        <v>787</v>
      </c>
      <c r="AY148" s="5" t="s">
        <v>788</v>
      </c>
      <c r="AZ148" s="5" t="s">
        <v>38</v>
      </c>
      <c r="BA148" s="12"/>
      <c r="BB148" s="12"/>
      <c r="BC148" s="12"/>
      <c r="BD148" s="11">
        <v>0</v>
      </c>
      <c r="BE148" s="11">
        <v>0</v>
      </c>
    </row>
    <row x14ac:dyDescent="0.25" r="149" customHeight="1" ht="15.75">
      <c r="A149" s="11">
        <v>52576333</v>
      </c>
      <c r="B149" s="4" t="s">
        <v>789</v>
      </c>
      <c r="C149" s="5" t="s">
        <v>790</v>
      </c>
      <c r="D149" s="5" t="s">
        <v>791</v>
      </c>
      <c r="E149" s="12"/>
      <c r="F149" s="13">
        <f>""</f>
      </c>
      <c r="G149" s="13">
        <f>""</f>
      </c>
      <c r="H149" s="11">
        <v>0</v>
      </c>
      <c r="I149" s="14">
        <v>3.93</v>
      </c>
      <c r="J149" s="7" t="s">
        <v>792</v>
      </c>
      <c r="K149" s="5" t="s">
        <v>72</v>
      </c>
      <c r="L149" s="11">
        <v>400</v>
      </c>
      <c r="M149" s="11">
        <v>2021</v>
      </c>
      <c r="N149" s="11">
        <v>2021</v>
      </c>
      <c r="O149" s="15"/>
      <c r="P149" s="8">
        <v>44199</v>
      </c>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4" t="s">
        <v>746</v>
      </c>
      <c r="AY149" s="5" t="s">
        <v>793</v>
      </c>
      <c r="AZ149" s="5" t="s">
        <v>38</v>
      </c>
      <c r="BA149" s="12"/>
      <c r="BB149" s="12"/>
      <c r="BC149" s="12"/>
      <c r="BD149" s="11">
        <v>0</v>
      </c>
      <c r="BE149" s="11">
        <v>0</v>
      </c>
    </row>
    <row x14ac:dyDescent="0.25" r="150" customHeight="1" ht="17.25">
      <c r="A150" s="11">
        <v>44179374</v>
      </c>
      <c r="B150" s="4" t="s">
        <v>794</v>
      </c>
      <c r="C150" s="5" t="s">
        <v>781</v>
      </c>
      <c r="D150" s="5" t="s">
        <v>782</v>
      </c>
      <c r="E150" s="12"/>
      <c r="F150" s="13">
        <f>"022665608X"</f>
      </c>
      <c r="G150" s="13">
        <f>"9780226656083"</f>
      </c>
      <c r="H150" s="11">
        <v>0</v>
      </c>
      <c r="I150" s="14">
        <v>3.17</v>
      </c>
      <c r="J150" s="7" t="s">
        <v>255</v>
      </c>
      <c r="K150" s="5" t="s">
        <v>72</v>
      </c>
      <c r="L150" s="11">
        <v>176</v>
      </c>
      <c r="M150" s="11">
        <v>2019</v>
      </c>
      <c r="N150" s="16"/>
      <c r="O150" s="15"/>
      <c r="P150" s="9">
        <v>44192</v>
      </c>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4" t="s">
        <v>741</v>
      </c>
      <c r="AY150" s="5" t="s">
        <v>795</v>
      </c>
      <c r="AZ150" s="5" t="s">
        <v>38</v>
      </c>
      <c r="BA150" s="12"/>
      <c r="BB150" s="12"/>
      <c r="BC150" s="12"/>
      <c r="BD150" s="11">
        <v>0</v>
      </c>
      <c r="BE150" s="11">
        <v>0</v>
      </c>
    </row>
    <row x14ac:dyDescent="0.25" r="151" customHeight="1" ht="17.25">
      <c r="A151" s="11">
        <v>85357</v>
      </c>
      <c r="B151" s="4" t="s">
        <v>796</v>
      </c>
      <c r="C151" s="5" t="s">
        <v>785</v>
      </c>
      <c r="D151" s="5" t="s">
        <v>786</v>
      </c>
      <c r="E151" s="5" t="s">
        <v>797</v>
      </c>
      <c r="F151" s="13">
        <f>"0452275423"</f>
      </c>
      <c r="G151" s="13">
        <f>"9780452275423"</f>
      </c>
      <c r="H151" s="11">
        <v>0</v>
      </c>
      <c r="I151" s="14">
        <v>3.93</v>
      </c>
      <c r="J151" s="7" t="s">
        <v>751</v>
      </c>
      <c r="K151" s="5" t="s">
        <v>346</v>
      </c>
      <c r="L151" s="11">
        <v>304</v>
      </c>
      <c r="M151" s="11">
        <v>1996</v>
      </c>
      <c r="N151" s="11">
        <v>1995</v>
      </c>
      <c r="O151" s="15"/>
      <c r="P151" s="9">
        <v>44192</v>
      </c>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4" t="s">
        <v>798</v>
      </c>
      <c r="AY151" s="5" t="s">
        <v>799</v>
      </c>
      <c r="AZ151" s="5" t="s">
        <v>38</v>
      </c>
      <c r="BA151" s="12"/>
      <c r="BB151" s="12"/>
      <c r="BC151" s="12"/>
      <c r="BD151" s="11">
        <v>0</v>
      </c>
      <c r="BE151" s="11">
        <v>0</v>
      </c>
    </row>
    <row x14ac:dyDescent="0.25" r="152" customHeight="1" ht="17.25">
      <c r="A152" s="11">
        <v>1643712</v>
      </c>
      <c r="B152" s="4" t="s">
        <v>800</v>
      </c>
      <c r="C152" s="5" t="s">
        <v>801</v>
      </c>
      <c r="D152" s="5" t="s">
        <v>802</v>
      </c>
      <c r="E152" s="12"/>
      <c r="F152" s="13">
        <f>"0226314472"</f>
      </c>
      <c r="G152" s="13">
        <f>"9780226314471"</f>
      </c>
      <c r="H152" s="11">
        <v>0</v>
      </c>
      <c r="I152" s="14">
        <v>4.19</v>
      </c>
      <c r="J152" s="7" t="s">
        <v>255</v>
      </c>
      <c r="K152" s="5" t="s">
        <v>72</v>
      </c>
      <c r="L152" s="11">
        <v>208</v>
      </c>
      <c r="M152" s="11">
        <v>2002</v>
      </c>
      <c r="N152" s="11">
        <v>2002</v>
      </c>
      <c r="O152" s="15"/>
      <c r="P152" s="9">
        <v>44192</v>
      </c>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4" t="s">
        <v>723</v>
      </c>
      <c r="AY152" s="5" t="s">
        <v>803</v>
      </c>
      <c r="AZ152" s="5" t="s">
        <v>38</v>
      </c>
      <c r="BA152" s="12"/>
      <c r="BB152" s="12"/>
      <c r="BC152" s="12"/>
      <c r="BD152" s="11">
        <v>0</v>
      </c>
      <c r="BE152" s="11">
        <v>0</v>
      </c>
    </row>
    <row x14ac:dyDescent="0.25" r="153" customHeight="1" ht="17.25">
      <c r="A153" s="11">
        <v>1344593</v>
      </c>
      <c r="B153" s="4" t="s">
        <v>804</v>
      </c>
      <c r="C153" s="5" t="s">
        <v>805</v>
      </c>
      <c r="D153" s="5" t="s">
        <v>806</v>
      </c>
      <c r="E153" s="12"/>
      <c r="F153" s="13">
        <f>"0814756743"</f>
      </c>
      <c r="G153" s="13">
        <f>"9780814756744"</f>
      </c>
      <c r="H153" s="11">
        <v>0</v>
      </c>
      <c r="I153" s="11">
        <v>4</v>
      </c>
      <c r="J153" s="7" t="s">
        <v>807</v>
      </c>
      <c r="K153" s="5" t="s">
        <v>60</v>
      </c>
      <c r="L153" s="11">
        <v>216</v>
      </c>
      <c r="M153" s="11">
        <v>2002</v>
      </c>
      <c r="N153" s="11">
        <v>2002</v>
      </c>
      <c r="O153" s="15"/>
      <c r="P153" s="8">
        <v>43984</v>
      </c>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4" t="s">
        <v>808</v>
      </c>
      <c r="AY153" s="5" t="s">
        <v>809</v>
      </c>
      <c r="AZ153" s="5" t="s">
        <v>38</v>
      </c>
      <c r="BA153" s="12"/>
      <c r="BB153" s="12"/>
      <c r="BC153" s="12"/>
      <c r="BD153" s="11">
        <v>0</v>
      </c>
      <c r="BE153" s="11">
        <v>0</v>
      </c>
    </row>
    <row x14ac:dyDescent="0.25" r="154" customHeight="1" ht="17.25">
      <c r="A154" s="11">
        <v>1126732</v>
      </c>
      <c r="B154" s="4" t="s">
        <v>810</v>
      </c>
      <c r="C154" s="5" t="s">
        <v>811</v>
      </c>
      <c r="D154" s="5" t="s">
        <v>812</v>
      </c>
      <c r="E154" s="12"/>
      <c r="F154" s="13">
        <f>"0674406206"</f>
      </c>
      <c r="G154" s="13">
        <f>"9780674406209"</f>
      </c>
      <c r="H154" s="11">
        <v>0</v>
      </c>
      <c r="I154" s="14">
        <v>3.79</v>
      </c>
      <c r="J154" s="7" t="s">
        <v>138</v>
      </c>
      <c r="K154" s="5" t="s">
        <v>60</v>
      </c>
      <c r="L154" s="11">
        <v>208</v>
      </c>
      <c r="M154" s="11">
        <v>1996</v>
      </c>
      <c r="N154" s="11">
        <v>1995</v>
      </c>
      <c r="O154" s="15"/>
      <c r="P154" s="8">
        <v>43949</v>
      </c>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4" t="s">
        <v>723</v>
      </c>
      <c r="AY154" s="5" t="s">
        <v>813</v>
      </c>
      <c r="AZ154" s="5" t="s">
        <v>38</v>
      </c>
      <c r="BA154" s="12"/>
      <c r="BB154" s="12"/>
      <c r="BC154" s="12"/>
      <c r="BD154" s="11">
        <v>0</v>
      </c>
      <c r="BE154" s="11">
        <v>0</v>
      </c>
    </row>
    <row x14ac:dyDescent="0.25" r="155" customHeight="1" ht="15.75">
      <c r="A155" s="11">
        <v>1028853</v>
      </c>
      <c r="B155" s="4" t="s">
        <v>814</v>
      </c>
      <c r="C155" s="5" t="s">
        <v>815</v>
      </c>
      <c r="D155" s="5" t="s">
        <v>816</v>
      </c>
      <c r="E155" s="5" t="s">
        <v>817</v>
      </c>
      <c r="F155" s="13">
        <f>"1551522306"</f>
      </c>
      <c r="G155" s="13">
        <f>"9781551522302"</f>
      </c>
      <c r="H155" s="11">
        <v>0</v>
      </c>
      <c r="I155" s="14">
        <v>4.28</v>
      </c>
      <c r="J155" s="7" t="s">
        <v>818</v>
      </c>
      <c r="K155" s="5" t="s">
        <v>60</v>
      </c>
      <c r="L155" s="11">
        <v>288</v>
      </c>
      <c r="M155" s="11">
        <v>2007</v>
      </c>
      <c r="N155" s="11">
        <v>1975</v>
      </c>
      <c r="O155" s="15"/>
      <c r="P155" s="8">
        <v>43926</v>
      </c>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4" t="s">
        <v>746</v>
      </c>
      <c r="AY155" s="5" t="s">
        <v>819</v>
      </c>
      <c r="AZ155" s="5" t="s">
        <v>38</v>
      </c>
      <c r="BA155" s="12"/>
      <c r="BB155" s="12"/>
      <c r="BC155" s="12"/>
      <c r="BD155" s="11">
        <v>0</v>
      </c>
      <c r="BE155" s="11">
        <v>0</v>
      </c>
    </row>
    <row x14ac:dyDescent="0.25" r="156" customHeight="1" ht="17.25">
      <c r="A156" s="11">
        <v>25429331</v>
      </c>
      <c r="B156" s="4" t="s">
        <v>820</v>
      </c>
      <c r="C156" s="5" t="s">
        <v>821</v>
      </c>
      <c r="D156" s="5" t="s">
        <v>822</v>
      </c>
      <c r="E156" s="12"/>
      <c r="F156" s="13">
        <f>""</f>
      </c>
      <c r="G156" s="13">
        <f>""</f>
      </c>
      <c r="H156" s="11">
        <v>0</v>
      </c>
      <c r="I156" s="14">
        <v>4.5</v>
      </c>
      <c r="J156" s="7" t="s">
        <v>823</v>
      </c>
      <c r="K156" s="1"/>
      <c r="L156" s="11">
        <v>20</v>
      </c>
      <c r="M156" s="11">
        <v>2015</v>
      </c>
      <c r="N156" s="11">
        <v>2015</v>
      </c>
      <c r="O156" s="15"/>
      <c r="P156" s="8">
        <v>43952</v>
      </c>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4" t="s">
        <v>773</v>
      </c>
      <c r="AY156" s="5" t="s">
        <v>824</v>
      </c>
      <c r="AZ156" s="5" t="s">
        <v>38</v>
      </c>
      <c r="BA156" s="12"/>
      <c r="BB156" s="12"/>
      <c r="BC156" s="12"/>
      <c r="BD156" s="11">
        <v>0</v>
      </c>
      <c r="BE156" s="11">
        <v>0</v>
      </c>
    </row>
    <row x14ac:dyDescent="0.25" r="157" customHeight="1" ht="17.25">
      <c r="A157" s="11">
        <v>55773286</v>
      </c>
      <c r="B157" s="4" t="s">
        <v>825</v>
      </c>
      <c r="C157" s="5" t="s">
        <v>826</v>
      </c>
      <c r="D157" s="5" t="s">
        <v>827</v>
      </c>
      <c r="E157" s="5" t="s">
        <v>828</v>
      </c>
      <c r="F157" s="13">
        <f>""</f>
      </c>
      <c r="G157" s="13">
        <f>""</f>
      </c>
      <c r="H157" s="11">
        <v>0</v>
      </c>
      <c r="I157" s="14">
        <v>4.73</v>
      </c>
      <c r="J157" s="7" t="s">
        <v>829</v>
      </c>
      <c r="K157" s="1"/>
      <c r="L157" s="16"/>
      <c r="M157" s="11">
        <v>2020</v>
      </c>
      <c r="N157" s="11">
        <v>2020</v>
      </c>
      <c r="O157" s="15"/>
      <c r="P157" s="9">
        <v>44131</v>
      </c>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4" t="s">
        <v>830</v>
      </c>
      <c r="AY157" s="5" t="s">
        <v>831</v>
      </c>
      <c r="AZ157" s="5" t="s">
        <v>38</v>
      </c>
      <c r="BA157" s="12"/>
      <c r="BB157" s="12"/>
      <c r="BC157" s="12"/>
      <c r="BD157" s="11">
        <v>0</v>
      </c>
      <c r="BE157" s="11">
        <v>0</v>
      </c>
    </row>
    <row x14ac:dyDescent="0.25" r="158" customHeight="1" ht="17.25">
      <c r="A158" s="11">
        <v>1098368</v>
      </c>
      <c r="B158" s="4" t="s">
        <v>832</v>
      </c>
      <c r="C158" s="5" t="s">
        <v>833</v>
      </c>
      <c r="D158" s="5" t="s">
        <v>834</v>
      </c>
      <c r="E158" s="12"/>
      <c r="F158" s="13">
        <f>"0415223768"</f>
      </c>
      <c r="G158" s="13">
        <f>"9780415223768"</f>
      </c>
      <c r="H158" s="11">
        <v>0</v>
      </c>
      <c r="I158" s="14">
        <v>3.67</v>
      </c>
      <c r="J158" s="7" t="s">
        <v>163</v>
      </c>
      <c r="K158" s="5" t="s">
        <v>60</v>
      </c>
      <c r="L158" s="16"/>
      <c r="M158" s="11">
        <v>2001</v>
      </c>
      <c r="N158" s="11">
        <v>2001</v>
      </c>
      <c r="O158" s="15"/>
      <c r="P158" s="8">
        <v>43926</v>
      </c>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4" t="s">
        <v>723</v>
      </c>
      <c r="AY158" s="5" t="s">
        <v>835</v>
      </c>
      <c r="AZ158" s="5" t="s">
        <v>38</v>
      </c>
      <c r="BA158" s="12"/>
      <c r="BB158" s="12"/>
      <c r="BC158" s="12"/>
      <c r="BD158" s="11">
        <v>0</v>
      </c>
      <c r="BE158" s="11">
        <v>0</v>
      </c>
    </row>
    <row x14ac:dyDescent="0.25" r="159" customHeight="1" ht="15.75">
      <c r="A159" s="11">
        <v>271487</v>
      </c>
      <c r="B159" s="4" t="s">
        <v>836</v>
      </c>
      <c r="C159" s="5" t="s">
        <v>837</v>
      </c>
      <c r="D159" s="5" t="s">
        <v>838</v>
      </c>
      <c r="E159" s="12"/>
      <c r="F159" s="13">
        <f>"015601226X"</f>
      </c>
      <c r="G159" s="13">
        <f>"9780156012263"</f>
      </c>
      <c r="H159" s="11">
        <v>0</v>
      </c>
      <c r="I159" s="14">
        <v>3.91</v>
      </c>
      <c r="J159" s="7" t="s">
        <v>839</v>
      </c>
      <c r="K159" s="5" t="s">
        <v>60</v>
      </c>
      <c r="L159" s="11">
        <v>565</v>
      </c>
      <c r="M159" s="11">
        <v>2003</v>
      </c>
      <c r="N159" s="11">
        <v>2001</v>
      </c>
      <c r="O159" s="15"/>
      <c r="P159" s="8">
        <v>43922</v>
      </c>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4" t="s">
        <v>746</v>
      </c>
      <c r="AY159" s="5" t="s">
        <v>840</v>
      </c>
      <c r="AZ159" s="5" t="s">
        <v>38</v>
      </c>
      <c r="BA159" s="12"/>
      <c r="BB159" s="12"/>
      <c r="BC159" s="12"/>
      <c r="BD159" s="11">
        <v>0</v>
      </c>
      <c r="BE159" s="11">
        <v>0</v>
      </c>
    </row>
    <row x14ac:dyDescent="0.25" r="160" customHeight="1" ht="17.25">
      <c r="A160" s="11">
        <v>35721123</v>
      </c>
      <c r="B160" s="4" t="s">
        <v>841</v>
      </c>
      <c r="C160" s="5" t="s">
        <v>842</v>
      </c>
      <c r="D160" s="5" t="s">
        <v>843</v>
      </c>
      <c r="E160" s="12"/>
      <c r="F160" s="13">
        <f>"1328764524"</f>
      </c>
      <c r="G160" s="13">
        <f>"9781328764522"</f>
      </c>
      <c r="H160" s="11">
        <v>4</v>
      </c>
      <c r="I160" s="14">
        <v>4.41</v>
      </c>
      <c r="J160" s="7" t="s">
        <v>434</v>
      </c>
      <c r="K160" s="5" t="s">
        <v>60</v>
      </c>
      <c r="L160" s="11">
        <v>277</v>
      </c>
      <c r="M160" s="11">
        <v>2018</v>
      </c>
      <c r="N160" s="11">
        <v>2018</v>
      </c>
      <c r="O160" s="8">
        <v>43932</v>
      </c>
      <c r="P160" s="8">
        <v>43919</v>
      </c>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4" t="s">
        <v>844</v>
      </c>
      <c r="AY160" s="5" t="s">
        <v>845</v>
      </c>
      <c r="AZ160" s="5" t="s">
        <v>158</v>
      </c>
      <c r="BA160" s="12"/>
      <c r="BB160" s="12"/>
      <c r="BC160" s="12"/>
      <c r="BD160" s="11">
        <v>1</v>
      </c>
      <c r="BE160" s="11">
        <v>0</v>
      </c>
    </row>
    <row x14ac:dyDescent="0.25" r="161" customHeight="1" ht="17.25">
      <c r="A161" s="11">
        <v>200686</v>
      </c>
      <c r="B161" s="4" t="s">
        <v>846</v>
      </c>
      <c r="C161" s="5" t="s">
        <v>847</v>
      </c>
      <c r="D161" s="5" t="s">
        <v>848</v>
      </c>
      <c r="E161" s="5" t="s">
        <v>849</v>
      </c>
      <c r="F161" s="13">
        <f>"0394508211"</f>
      </c>
      <c r="G161" s="13">
        <f>"9780394508214"</f>
      </c>
      <c r="H161" s="11">
        <v>0</v>
      </c>
      <c r="I161" s="14">
        <v>3.77</v>
      </c>
      <c r="J161" s="7" t="s">
        <v>850</v>
      </c>
      <c r="K161" s="5" t="s">
        <v>60</v>
      </c>
      <c r="L161" s="11">
        <v>219</v>
      </c>
      <c r="M161" s="11">
        <v>1980</v>
      </c>
      <c r="N161" s="11">
        <v>1978</v>
      </c>
      <c r="O161" s="15"/>
      <c r="P161" s="9">
        <v>43423</v>
      </c>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4" t="s">
        <v>851</v>
      </c>
      <c r="AY161" s="5" t="s">
        <v>852</v>
      </c>
      <c r="AZ161" s="5" t="s">
        <v>38</v>
      </c>
      <c r="BA161" s="12"/>
      <c r="BB161" s="12"/>
      <c r="BC161" s="12"/>
      <c r="BD161" s="11">
        <v>0</v>
      </c>
      <c r="BE161" s="11">
        <v>0</v>
      </c>
    </row>
    <row x14ac:dyDescent="0.25" r="162" customHeight="1" ht="15.75">
      <c r="A162" s="11">
        <v>6016851</v>
      </c>
      <c r="B162" s="4" t="s">
        <v>853</v>
      </c>
      <c r="C162" s="5" t="s">
        <v>854</v>
      </c>
      <c r="D162" s="5" t="s">
        <v>855</v>
      </c>
      <c r="E162" s="12"/>
      <c r="F162" s="13">
        <f>"1595691030"</f>
      </c>
      <c r="G162" s="13">
        <f>"9781595691033"</f>
      </c>
      <c r="H162" s="11">
        <v>0</v>
      </c>
      <c r="I162" s="14">
        <v>3.69</v>
      </c>
      <c r="J162" s="7" t="s">
        <v>856</v>
      </c>
      <c r="K162" s="5" t="s">
        <v>60</v>
      </c>
      <c r="L162" s="11">
        <v>192</v>
      </c>
      <c r="M162" s="11">
        <v>2008</v>
      </c>
      <c r="N162" s="11">
        <v>1965</v>
      </c>
      <c r="O162" s="15"/>
      <c r="P162" s="8">
        <v>43926</v>
      </c>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4" t="s">
        <v>746</v>
      </c>
      <c r="AY162" s="5" t="s">
        <v>857</v>
      </c>
      <c r="AZ162" s="5" t="s">
        <v>38</v>
      </c>
      <c r="BA162" s="12"/>
      <c r="BB162" s="12"/>
      <c r="BC162" s="12"/>
      <c r="BD162" s="11">
        <v>0</v>
      </c>
      <c r="BE162" s="11">
        <v>0</v>
      </c>
    </row>
    <row x14ac:dyDescent="0.25" r="163" customHeight="1" ht="17.25">
      <c r="A163" s="11">
        <v>1344316</v>
      </c>
      <c r="B163" s="4" t="s">
        <v>858</v>
      </c>
      <c r="C163" s="5" t="s">
        <v>859</v>
      </c>
      <c r="D163" s="5" t="s">
        <v>860</v>
      </c>
      <c r="E163" s="12"/>
      <c r="F163" s="13">
        <f>"080707957X"</f>
      </c>
      <c r="G163" s="13">
        <f>"9780807079577"</f>
      </c>
      <c r="H163" s="11">
        <v>0</v>
      </c>
      <c r="I163" s="14">
        <v>3.9</v>
      </c>
      <c r="J163" s="7" t="s">
        <v>861</v>
      </c>
      <c r="K163" s="5" t="s">
        <v>60</v>
      </c>
      <c r="L163" s="11">
        <v>264</v>
      </c>
      <c r="M163" s="11">
        <v>2004</v>
      </c>
      <c r="N163" s="11">
        <v>2004</v>
      </c>
      <c r="O163" s="15"/>
      <c r="P163" s="8">
        <v>43046</v>
      </c>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4" t="s">
        <v>723</v>
      </c>
      <c r="AY163" s="5" t="s">
        <v>862</v>
      </c>
      <c r="AZ163" s="5" t="s">
        <v>38</v>
      </c>
      <c r="BA163" s="12"/>
      <c r="BB163" s="12"/>
      <c r="BC163" s="12"/>
      <c r="BD163" s="11">
        <v>0</v>
      </c>
      <c r="BE163" s="11">
        <v>0</v>
      </c>
    </row>
    <row x14ac:dyDescent="0.25" r="164" customHeight="1" ht="17.25">
      <c r="A164" s="11">
        <v>459733</v>
      </c>
      <c r="B164" s="4" t="s">
        <v>863</v>
      </c>
      <c r="C164" s="5" t="s">
        <v>864</v>
      </c>
      <c r="D164" s="5" t="s">
        <v>865</v>
      </c>
      <c r="E164" s="5" t="s">
        <v>866</v>
      </c>
      <c r="F164" s="13">
        <f>"156024724X"</f>
      </c>
      <c r="G164" s="13">
        <f>"9781560247241"</f>
      </c>
      <c r="H164" s="11">
        <v>0</v>
      </c>
      <c r="I164" s="11">
        <v>5</v>
      </c>
      <c r="J164" s="7" t="s">
        <v>163</v>
      </c>
      <c r="K164" s="5" t="s">
        <v>72</v>
      </c>
      <c r="L164" s="11">
        <v>408</v>
      </c>
      <c r="M164" s="11">
        <v>1995</v>
      </c>
      <c r="N164" s="11">
        <v>1995</v>
      </c>
      <c r="O164" s="15"/>
      <c r="P164" s="8">
        <v>43046</v>
      </c>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4" t="s">
        <v>741</v>
      </c>
      <c r="AY164" s="5" t="s">
        <v>867</v>
      </c>
      <c r="AZ164" s="5" t="s">
        <v>38</v>
      </c>
      <c r="BA164" s="12"/>
      <c r="BB164" s="12"/>
      <c r="BC164" s="12"/>
      <c r="BD164" s="11">
        <v>0</v>
      </c>
      <c r="BE164" s="11">
        <v>0</v>
      </c>
    </row>
    <row x14ac:dyDescent="0.25" r="165" customHeight="1" ht="17.25">
      <c r="A165" s="11">
        <v>31573608</v>
      </c>
      <c r="B165" s="4" t="s">
        <v>868</v>
      </c>
      <c r="C165" s="5" t="s">
        <v>869</v>
      </c>
      <c r="D165" s="5" t="s">
        <v>870</v>
      </c>
      <c r="E165" s="5" t="s">
        <v>871</v>
      </c>
      <c r="F165" s="13">
        <f>"0745399525"</f>
      </c>
      <c r="G165" s="13">
        <f>"9780745399522"</f>
      </c>
      <c r="H165" s="11">
        <v>0</v>
      </c>
      <c r="I165" s="11">
        <v>4</v>
      </c>
      <c r="J165" s="7" t="s">
        <v>872</v>
      </c>
      <c r="K165" s="5" t="s">
        <v>72</v>
      </c>
      <c r="L165" s="11">
        <v>272</v>
      </c>
      <c r="M165" s="11">
        <v>2018</v>
      </c>
      <c r="N165" s="11">
        <v>1977</v>
      </c>
      <c r="O165" s="15"/>
      <c r="P165" s="8">
        <v>43139</v>
      </c>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4" t="s">
        <v>723</v>
      </c>
      <c r="AY165" s="5" t="s">
        <v>873</v>
      </c>
      <c r="AZ165" s="5" t="s">
        <v>38</v>
      </c>
      <c r="BA165" s="12"/>
      <c r="BB165" s="12"/>
      <c r="BC165" s="12"/>
      <c r="BD165" s="11">
        <v>0</v>
      </c>
      <c r="BE165" s="11">
        <v>0</v>
      </c>
    </row>
    <row x14ac:dyDescent="0.25" r="166" customHeight="1" ht="17.25">
      <c r="A166" s="11">
        <v>370065</v>
      </c>
      <c r="B166" s="4" t="s">
        <v>874</v>
      </c>
      <c r="C166" s="5" t="s">
        <v>875</v>
      </c>
      <c r="D166" s="5" t="s">
        <v>876</v>
      </c>
      <c r="E166" s="12"/>
      <c r="F166" s="13">
        <f>"0226577600"</f>
      </c>
      <c r="G166" s="13">
        <f>"9780226577609"</f>
      </c>
      <c r="H166" s="11">
        <v>0</v>
      </c>
      <c r="I166" s="14">
        <v>3.94</v>
      </c>
      <c r="J166" s="7" t="s">
        <v>255</v>
      </c>
      <c r="K166" s="5" t="s">
        <v>60</v>
      </c>
      <c r="L166" s="11">
        <v>158</v>
      </c>
      <c r="M166" s="11">
        <v>1979</v>
      </c>
      <c r="N166" s="11">
        <v>1972</v>
      </c>
      <c r="O166" s="15"/>
      <c r="P166" s="9">
        <v>43422</v>
      </c>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4" t="s">
        <v>723</v>
      </c>
      <c r="AY166" s="5" t="s">
        <v>877</v>
      </c>
      <c r="AZ166" s="5" t="s">
        <v>38</v>
      </c>
      <c r="BA166" s="12"/>
      <c r="BB166" s="12"/>
      <c r="BC166" s="12"/>
      <c r="BD166" s="11">
        <v>0</v>
      </c>
      <c r="BE166" s="11">
        <v>0</v>
      </c>
    </row>
    <row x14ac:dyDescent="0.25" r="167" customHeight="1" ht="15.75">
      <c r="A167" s="11">
        <v>25651020</v>
      </c>
      <c r="B167" s="4" t="s">
        <v>878</v>
      </c>
      <c r="C167" s="5" t="s">
        <v>879</v>
      </c>
      <c r="D167" s="5" t="s">
        <v>880</v>
      </c>
      <c r="E167" s="12"/>
      <c r="F167" s="13">
        <f>"1632863383"</f>
      </c>
      <c r="G167" s="13">
        <f>"9781632863386"</f>
      </c>
      <c r="H167" s="11">
        <v>0</v>
      </c>
      <c r="I167" s="14">
        <v>3.72</v>
      </c>
      <c r="J167" s="7" t="s">
        <v>881</v>
      </c>
      <c r="K167" s="5" t="s">
        <v>72</v>
      </c>
      <c r="L167" s="11">
        <v>252</v>
      </c>
      <c r="M167" s="11">
        <v>2016</v>
      </c>
      <c r="N167" s="11">
        <v>2016</v>
      </c>
      <c r="O167" s="15"/>
      <c r="P167" s="8">
        <v>43139</v>
      </c>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4" t="s">
        <v>746</v>
      </c>
      <c r="AY167" s="5" t="s">
        <v>882</v>
      </c>
      <c r="AZ167" s="5" t="s">
        <v>38</v>
      </c>
      <c r="BA167" s="12"/>
      <c r="BB167" s="12"/>
      <c r="BC167" s="12"/>
      <c r="BD167" s="11">
        <v>0</v>
      </c>
      <c r="BE167" s="11">
        <v>0</v>
      </c>
    </row>
    <row x14ac:dyDescent="0.25" r="168" customHeight="1" ht="17.25">
      <c r="A168" s="11">
        <v>30968235</v>
      </c>
      <c r="B168" s="4" t="s">
        <v>883</v>
      </c>
      <c r="C168" s="5" t="s">
        <v>884</v>
      </c>
      <c r="D168" s="5" t="s">
        <v>885</v>
      </c>
      <c r="E168" s="12"/>
      <c r="F168" s="13">
        <f>"0991429869"</f>
      </c>
      <c r="G168" s="13">
        <f>"9780991429868"</f>
      </c>
      <c r="H168" s="11">
        <v>0</v>
      </c>
      <c r="I168" s="14">
        <v>4.27</v>
      </c>
      <c r="J168" s="7" t="s">
        <v>886</v>
      </c>
      <c r="K168" s="5" t="s">
        <v>60</v>
      </c>
      <c r="L168" s="11">
        <v>98</v>
      </c>
      <c r="M168" s="11">
        <v>2016</v>
      </c>
      <c r="N168" s="11">
        <v>2016</v>
      </c>
      <c r="O168" s="15"/>
      <c r="P168" s="8">
        <v>42816</v>
      </c>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4" t="s">
        <v>723</v>
      </c>
      <c r="AY168" s="5" t="s">
        <v>887</v>
      </c>
      <c r="AZ168" s="5" t="s">
        <v>38</v>
      </c>
      <c r="BA168" s="12"/>
      <c r="BB168" s="12"/>
      <c r="BC168" s="12"/>
      <c r="BD168" s="11">
        <v>0</v>
      </c>
      <c r="BE168" s="11">
        <v>0</v>
      </c>
    </row>
    <row x14ac:dyDescent="0.25" r="169" customHeight="1" ht="17.25">
      <c r="A169" s="11">
        <v>109713</v>
      </c>
      <c r="B169" s="4" t="s">
        <v>888</v>
      </c>
      <c r="C169" s="5" t="s">
        <v>889</v>
      </c>
      <c r="D169" s="5" t="s">
        <v>890</v>
      </c>
      <c r="E169" s="12"/>
      <c r="F169" s="13">
        <f>"0802130836"</f>
      </c>
      <c r="G169" s="13">
        <f>"9780802130839"</f>
      </c>
      <c r="H169" s="11">
        <v>0</v>
      </c>
      <c r="I169" s="14">
        <v>3.92</v>
      </c>
      <c r="J169" s="7" t="s">
        <v>891</v>
      </c>
      <c r="K169" s="5" t="s">
        <v>60</v>
      </c>
      <c r="L169" s="11">
        <v>400</v>
      </c>
      <c r="M169" s="11">
        <v>1994</v>
      </c>
      <c r="N169" s="11">
        <v>1963</v>
      </c>
      <c r="O169" s="15"/>
      <c r="P169" s="8">
        <v>42806</v>
      </c>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4" t="s">
        <v>723</v>
      </c>
      <c r="AY169" s="5" t="s">
        <v>892</v>
      </c>
      <c r="AZ169" s="5" t="s">
        <v>38</v>
      </c>
      <c r="BA169" s="12"/>
      <c r="BB169" s="12"/>
      <c r="BC169" s="12"/>
      <c r="BD169" s="11">
        <v>0</v>
      </c>
      <c r="BE169" s="11">
        <v>0</v>
      </c>
    </row>
    <row x14ac:dyDescent="0.25" r="170" customHeight="1" ht="17.25">
      <c r="A170" s="11">
        <v>503672</v>
      </c>
      <c r="B170" s="4" t="s">
        <v>893</v>
      </c>
      <c r="C170" s="5" t="s">
        <v>894</v>
      </c>
      <c r="D170" s="5" t="s">
        <v>895</v>
      </c>
      <c r="E170" s="12"/>
      <c r="F170" s="13">
        <f>"0195126602"</f>
      </c>
      <c r="G170" s="13">
        <f>"9780195126600"</f>
      </c>
      <c r="H170" s="11">
        <v>0</v>
      </c>
      <c r="I170" s="14">
        <v>3.96</v>
      </c>
      <c r="J170" s="7" t="s">
        <v>245</v>
      </c>
      <c r="K170" s="5" t="s">
        <v>60</v>
      </c>
      <c r="L170" s="11">
        <v>240</v>
      </c>
      <c r="M170" s="11">
        <v>1998</v>
      </c>
      <c r="N170" s="11">
        <v>1996</v>
      </c>
      <c r="O170" s="15"/>
      <c r="P170" s="8">
        <v>42647</v>
      </c>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4" t="s">
        <v>723</v>
      </c>
      <c r="AY170" s="5" t="s">
        <v>896</v>
      </c>
      <c r="AZ170" s="5" t="s">
        <v>38</v>
      </c>
      <c r="BA170" s="12"/>
      <c r="BB170" s="12"/>
      <c r="BC170" s="12"/>
      <c r="BD170" s="11">
        <v>0</v>
      </c>
      <c r="BE170" s="11">
        <v>0</v>
      </c>
    </row>
    <row x14ac:dyDescent="0.25" r="171" customHeight="1" ht="17.25">
      <c r="A171" s="11">
        <v>1295517</v>
      </c>
      <c r="B171" s="4" t="s">
        <v>897</v>
      </c>
      <c r="C171" s="5" t="s">
        <v>898</v>
      </c>
      <c r="D171" s="5" t="s">
        <v>899</v>
      </c>
      <c r="E171" s="5" t="s">
        <v>900</v>
      </c>
      <c r="F171" s="13">
        <f>"0814746950"</f>
      </c>
      <c r="G171" s="13">
        <f>"9780814746950"</f>
      </c>
      <c r="H171" s="11">
        <v>0</v>
      </c>
      <c r="I171" s="14">
        <v>3.72</v>
      </c>
      <c r="J171" s="7" t="s">
        <v>807</v>
      </c>
      <c r="K171" s="5" t="s">
        <v>60</v>
      </c>
      <c r="L171" s="11">
        <v>274</v>
      </c>
      <c r="M171" s="11">
        <v>1998</v>
      </c>
      <c r="N171" s="11">
        <v>1988</v>
      </c>
      <c r="O171" s="15"/>
      <c r="P171" s="9">
        <v>43039</v>
      </c>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4" t="s">
        <v>723</v>
      </c>
      <c r="AY171" s="5" t="s">
        <v>901</v>
      </c>
      <c r="AZ171" s="5" t="s">
        <v>38</v>
      </c>
      <c r="BA171" s="12"/>
      <c r="BB171" s="12"/>
      <c r="BC171" s="12"/>
      <c r="BD171" s="11">
        <v>0</v>
      </c>
      <c r="BE171" s="11">
        <v>0</v>
      </c>
    </row>
    <row x14ac:dyDescent="0.25" r="172" customHeight="1" ht="17.25">
      <c r="A172" s="11">
        <v>999506</v>
      </c>
      <c r="B172" s="4" t="s">
        <v>902</v>
      </c>
      <c r="C172" s="5" t="s">
        <v>903</v>
      </c>
      <c r="D172" s="5" t="s">
        <v>904</v>
      </c>
      <c r="E172" s="12"/>
      <c r="F172" s="13">
        <f>"0674022335"</f>
      </c>
      <c r="G172" s="13">
        <f>"9780674022331"</f>
      </c>
      <c r="H172" s="11">
        <v>0</v>
      </c>
      <c r="I172" s="14">
        <v>4.17</v>
      </c>
      <c r="J172" s="7" t="s">
        <v>905</v>
      </c>
      <c r="K172" s="5" t="s">
        <v>60</v>
      </c>
      <c r="L172" s="11">
        <v>648</v>
      </c>
      <c r="M172" s="11">
        <v>2006</v>
      </c>
      <c r="N172" s="11">
        <v>2003</v>
      </c>
      <c r="O172" s="15"/>
      <c r="P172" s="8">
        <v>42603</v>
      </c>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4" t="s">
        <v>723</v>
      </c>
      <c r="AY172" s="5" t="s">
        <v>906</v>
      </c>
      <c r="AZ172" s="5" t="s">
        <v>38</v>
      </c>
      <c r="BA172" s="12"/>
      <c r="BB172" s="12"/>
      <c r="BC172" s="12"/>
      <c r="BD172" s="11">
        <v>0</v>
      </c>
      <c r="BE172" s="11">
        <v>0</v>
      </c>
    </row>
    <row x14ac:dyDescent="0.25" r="173" customHeight="1" ht="17.25">
      <c r="A173" s="11">
        <v>10065595</v>
      </c>
      <c r="B173" s="4" t="s">
        <v>907</v>
      </c>
      <c r="C173" s="5" t="s">
        <v>908</v>
      </c>
      <c r="D173" s="5" t="s">
        <v>909</v>
      </c>
      <c r="E173" s="12"/>
      <c r="F173" s="13">
        <f>"0807044393"</f>
      </c>
      <c r="G173" s="13">
        <f>"9780807044391"</f>
      </c>
      <c r="H173" s="11">
        <v>0</v>
      </c>
      <c r="I173" s="14">
        <v>3.87</v>
      </c>
      <c r="J173" s="7" t="s">
        <v>861</v>
      </c>
      <c r="K173" s="5" t="s">
        <v>72</v>
      </c>
      <c r="L173" s="11">
        <v>312</v>
      </c>
      <c r="M173" s="11">
        <v>2011</v>
      </c>
      <c r="N173" s="11">
        <v>2011</v>
      </c>
      <c r="O173" s="15"/>
      <c r="P173" s="8">
        <v>42603</v>
      </c>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4" t="s">
        <v>798</v>
      </c>
      <c r="AY173" s="5" t="s">
        <v>910</v>
      </c>
      <c r="AZ173" s="5" t="s">
        <v>38</v>
      </c>
      <c r="BA173" s="12"/>
      <c r="BB173" s="12"/>
      <c r="BC173" s="12"/>
      <c r="BD173" s="11">
        <v>0</v>
      </c>
      <c r="BE173" s="11">
        <v>0</v>
      </c>
    </row>
    <row x14ac:dyDescent="0.25" r="174" customHeight="1" ht="17.25">
      <c r="A174" s="11">
        <v>53003</v>
      </c>
      <c r="B174" s="4" t="s">
        <v>911</v>
      </c>
      <c r="C174" s="5" t="s">
        <v>912</v>
      </c>
      <c r="D174" s="5" t="s">
        <v>913</v>
      </c>
      <c r="E174" s="5" t="s">
        <v>914</v>
      </c>
      <c r="F174" s="13">
        <f>"1596541369"</f>
      </c>
      <c r="G174" s="13">
        <f>"9781596541368"</f>
      </c>
      <c r="H174" s="11">
        <v>0</v>
      </c>
      <c r="I174" s="14">
        <v>4.02</v>
      </c>
      <c r="J174" s="17" t="s">
        <v>915</v>
      </c>
      <c r="K174" s="5" t="s">
        <v>60</v>
      </c>
      <c r="L174" s="11">
        <v>216</v>
      </c>
      <c r="M174" s="11">
        <v>2004</v>
      </c>
      <c r="N174" s="11">
        <v>1943</v>
      </c>
      <c r="O174" s="15"/>
      <c r="P174" s="8">
        <v>42573</v>
      </c>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4" t="s">
        <v>723</v>
      </c>
      <c r="AY174" s="5" t="s">
        <v>916</v>
      </c>
      <c r="AZ174" s="5" t="s">
        <v>38</v>
      </c>
      <c r="BA174" s="12"/>
      <c r="BB174" s="12"/>
      <c r="BC174" s="12"/>
      <c r="BD174" s="11">
        <v>0</v>
      </c>
      <c r="BE174" s="11">
        <v>0</v>
      </c>
    </row>
    <row x14ac:dyDescent="0.25" r="175" customHeight="1" ht="17.25">
      <c r="A175" s="11">
        <v>12651419</v>
      </c>
      <c r="B175" s="4" t="s">
        <v>917</v>
      </c>
      <c r="C175" s="5" t="s">
        <v>918</v>
      </c>
      <c r="D175" s="5" t="s">
        <v>919</v>
      </c>
      <c r="E175" s="12"/>
      <c r="F175" s="13">
        <f>"0807001651"</f>
      </c>
      <c r="G175" s="13">
        <f>"9780807001653"</f>
      </c>
      <c r="H175" s="11">
        <v>0</v>
      </c>
      <c r="I175" s="14">
        <v>3.94</v>
      </c>
      <c r="J175" s="7" t="s">
        <v>861</v>
      </c>
      <c r="K175" s="5" t="s">
        <v>72</v>
      </c>
      <c r="L175" s="11">
        <v>258</v>
      </c>
      <c r="M175" s="11">
        <v>2012</v>
      </c>
      <c r="N175" s="11">
        <v>2012</v>
      </c>
      <c r="O175" s="15"/>
      <c r="P175" s="8">
        <v>42559</v>
      </c>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4" t="s">
        <v>723</v>
      </c>
      <c r="AY175" s="5" t="s">
        <v>920</v>
      </c>
      <c r="AZ175" s="5" t="s">
        <v>38</v>
      </c>
      <c r="BA175" s="12"/>
      <c r="BB175" s="12"/>
      <c r="BC175" s="12"/>
      <c r="BD175" s="11">
        <v>0</v>
      </c>
      <c r="BE175" s="11">
        <v>0</v>
      </c>
    </row>
    <row x14ac:dyDescent="0.25" r="176" customHeight="1" ht="17.25">
      <c r="A176" s="11">
        <v>43501412</v>
      </c>
      <c r="B176" s="4" t="s">
        <v>921</v>
      </c>
      <c r="C176" s="5" t="s">
        <v>785</v>
      </c>
      <c r="D176" s="5" t="s">
        <v>786</v>
      </c>
      <c r="E176" s="12"/>
      <c r="F176" s="13">
        <f>""</f>
      </c>
      <c r="G176" s="13">
        <f>""</f>
      </c>
      <c r="H176" s="11">
        <v>0</v>
      </c>
      <c r="I176" s="14">
        <v>4.29</v>
      </c>
      <c r="J176" s="7" t="s">
        <v>751</v>
      </c>
      <c r="K176" s="5" t="s">
        <v>60</v>
      </c>
      <c r="L176" s="11">
        <v>720</v>
      </c>
      <c r="M176" s="11">
        <v>1992</v>
      </c>
      <c r="N176" s="11">
        <v>1975</v>
      </c>
      <c r="O176" s="15"/>
      <c r="P176" s="8">
        <v>42544</v>
      </c>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4" t="s">
        <v>798</v>
      </c>
      <c r="AY176" s="5" t="s">
        <v>922</v>
      </c>
      <c r="AZ176" s="5" t="s">
        <v>38</v>
      </c>
      <c r="BA176" s="12"/>
      <c r="BB176" s="12"/>
      <c r="BC176" s="12"/>
      <c r="BD176" s="11">
        <v>0</v>
      </c>
      <c r="BE176" s="11">
        <v>0</v>
      </c>
    </row>
    <row x14ac:dyDescent="0.25" r="177" customHeight="1" ht="17.25">
      <c r="A177" s="11">
        <v>306941</v>
      </c>
      <c r="B177" s="4" t="s">
        <v>923</v>
      </c>
      <c r="C177" s="5" t="s">
        <v>924</v>
      </c>
      <c r="D177" s="5" t="s">
        <v>925</v>
      </c>
      <c r="E177" s="12"/>
      <c r="F177" s="13">
        <f>"0822333694"</f>
      </c>
      <c r="G177" s="13">
        <f>"9780822333692"</f>
      </c>
      <c r="H177" s="11">
        <v>0</v>
      </c>
      <c r="I177" s="14">
        <v>3.71</v>
      </c>
      <c r="J177" s="7" t="s">
        <v>926</v>
      </c>
      <c r="K177" s="5" t="s">
        <v>60</v>
      </c>
      <c r="L177" s="11">
        <v>208</v>
      </c>
      <c r="M177" s="11">
        <v>2004</v>
      </c>
      <c r="N177" s="11">
        <v>2004</v>
      </c>
      <c r="O177" s="15"/>
      <c r="P177" s="8">
        <v>42561</v>
      </c>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4" t="s">
        <v>723</v>
      </c>
      <c r="AY177" s="5" t="s">
        <v>927</v>
      </c>
      <c r="AZ177" s="5" t="s">
        <v>38</v>
      </c>
      <c r="BA177" s="12"/>
      <c r="BB177" s="12"/>
      <c r="BC177" s="12"/>
      <c r="BD177" s="11">
        <v>0</v>
      </c>
      <c r="BE177" s="11">
        <v>0</v>
      </c>
    </row>
    <row x14ac:dyDescent="0.25" r="178" customHeight="1" ht="17.25">
      <c r="A178" s="11">
        <v>883195</v>
      </c>
      <c r="B178" s="4" t="s">
        <v>928</v>
      </c>
      <c r="C178" s="5" t="s">
        <v>929</v>
      </c>
      <c r="D178" s="5" t="s">
        <v>930</v>
      </c>
      <c r="E178" s="12"/>
      <c r="F178" s="13">
        <f>"0241143950"</f>
      </c>
      <c r="G178" s="13">
        <f>"9780241143957"</f>
      </c>
      <c r="H178" s="11">
        <v>0</v>
      </c>
      <c r="I178" s="14">
        <v>3.68</v>
      </c>
      <c r="J178" s="7" t="s">
        <v>931</v>
      </c>
      <c r="K178" s="5" t="s">
        <v>72</v>
      </c>
      <c r="L178" s="11">
        <v>207</v>
      </c>
      <c r="M178" s="11">
        <v>2007</v>
      </c>
      <c r="N178" s="11">
        <v>2007</v>
      </c>
      <c r="O178" s="15"/>
      <c r="P178" s="8">
        <v>42573</v>
      </c>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4" t="s">
        <v>723</v>
      </c>
      <c r="AY178" s="5" t="s">
        <v>932</v>
      </c>
      <c r="AZ178" s="5" t="s">
        <v>38</v>
      </c>
      <c r="BA178" s="12"/>
      <c r="BB178" s="12"/>
      <c r="BC178" s="12"/>
      <c r="BD178" s="11">
        <v>0</v>
      </c>
      <c r="BE178" s="11">
        <v>0</v>
      </c>
    </row>
    <row x14ac:dyDescent="0.25" r="179" customHeight="1" ht="17.25">
      <c r="A179" s="11">
        <v>17571124</v>
      </c>
      <c r="B179" s="4" t="s">
        <v>933</v>
      </c>
      <c r="C179" s="5" t="s">
        <v>934</v>
      </c>
      <c r="D179" s="5" t="s">
        <v>935</v>
      </c>
      <c r="E179" s="12"/>
      <c r="F179" s="13">
        <f>"1451661975"</f>
      </c>
      <c r="G179" s="13">
        <f>"9781451661972"</f>
      </c>
      <c r="H179" s="11">
        <v>0</v>
      </c>
      <c r="I179" s="14">
        <v>4.23</v>
      </c>
      <c r="J179" s="7" t="s">
        <v>132</v>
      </c>
      <c r="K179" s="5" t="s">
        <v>96</v>
      </c>
      <c r="L179" s="11">
        <v>432</v>
      </c>
      <c r="M179" s="11">
        <v>2014</v>
      </c>
      <c r="N179" s="11">
        <v>2014</v>
      </c>
      <c r="O179" s="15"/>
      <c r="P179" s="8">
        <v>41667</v>
      </c>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4" t="s">
        <v>723</v>
      </c>
      <c r="AY179" s="5" t="s">
        <v>936</v>
      </c>
      <c r="AZ179" s="5" t="s">
        <v>38</v>
      </c>
      <c r="BA179" s="12"/>
      <c r="BB179" s="12"/>
      <c r="BC179" s="12"/>
      <c r="BD179" s="11">
        <v>0</v>
      </c>
      <c r="BE179" s="11">
        <v>0</v>
      </c>
    </row>
    <row x14ac:dyDescent="0.25" r="180" customHeight="1" ht="17.25">
      <c r="A180" s="11">
        <v>903861</v>
      </c>
      <c r="B180" s="4" t="s">
        <v>937</v>
      </c>
      <c r="C180" s="5" t="s">
        <v>938</v>
      </c>
      <c r="D180" s="5" t="s">
        <v>939</v>
      </c>
      <c r="E180" s="12"/>
      <c r="F180" s="13">
        <f>"0915480018"</f>
      </c>
      <c r="G180" s="13">
        <f>"9780915480012"</f>
      </c>
      <c r="H180" s="11">
        <v>0</v>
      </c>
      <c r="I180" s="14">
        <v>4.11</v>
      </c>
      <c r="J180" s="7" t="s">
        <v>940</v>
      </c>
      <c r="K180" s="5" t="s">
        <v>60</v>
      </c>
      <c r="L180" s="11">
        <v>180</v>
      </c>
      <c r="M180" s="11">
        <v>1978</v>
      </c>
      <c r="N180" s="11">
        <v>1978</v>
      </c>
      <c r="O180" s="15"/>
      <c r="P180" s="8">
        <v>41384</v>
      </c>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4" t="s">
        <v>723</v>
      </c>
      <c r="AY180" s="5" t="s">
        <v>941</v>
      </c>
      <c r="AZ180" s="5" t="s">
        <v>38</v>
      </c>
      <c r="BA180" s="12"/>
      <c r="BB180" s="12"/>
      <c r="BC180" s="12"/>
      <c r="BD180" s="11">
        <v>0</v>
      </c>
      <c r="BE180" s="11">
        <v>0</v>
      </c>
    </row>
    <row x14ac:dyDescent="0.25" r="181" customHeight="1" ht="17.25">
      <c r="A181" s="11">
        <v>17165961</v>
      </c>
      <c r="B181" s="4" t="s">
        <v>942</v>
      </c>
      <c r="C181" s="5" t="s">
        <v>943</v>
      </c>
      <c r="D181" s="5" t="s">
        <v>944</v>
      </c>
      <c r="E181" s="12"/>
      <c r="F181" s="13">
        <f>"0544034724"</f>
      </c>
      <c r="G181" s="13">
        <f>"9780544034723"</f>
      </c>
      <c r="H181" s="11">
        <v>0</v>
      </c>
      <c r="I181" s="14">
        <v>3.76</v>
      </c>
      <c r="J181" s="7" t="s">
        <v>945</v>
      </c>
      <c r="K181" s="5" t="s">
        <v>72</v>
      </c>
      <c r="L181" s="11">
        <v>256</v>
      </c>
      <c r="M181" s="11">
        <v>2014</v>
      </c>
      <c r="N181" s="11">
        <v>2014</v>
      </c>
      <c r="O181" s="15"/>
      <c r="P181" s="8">
        <v>41665</v>
      </c>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4" t="s">
        <v>723</v>
      </c>
      <c r="AY181" s="5" t="s">
        <v>946</v>
      </c>
      <c r="AZ181" s="5" t="s">
        <v>38</v>
      </c>
      <c r="BA181" s="12"/>
      <c r="BB181" s="12"/>
      <c r="BC181" s="12"/>
      <c r="BD181" s="11">
        <v>0</v>
      </c>
      <c r="BE181" s="11">
        <v>0</v>
      </c>
    </row>
    <row x14ac:dyDescent="0.25" r="182" customHeight="1" ht="17.25">
      <c r="A182" s="11">
        <v>45688229</v>
      </c>
      <c r="B182" s="4" t="s">
        <v>947</v>
      </c>
      <c r="C182" s="5" t="s">
        <v>948</v>
      </c>
      <c r="D182" s="5" t="s">
        <v>949</v>
      </c>
      <c r="E182" s="5" t="s">
        <v>950</v>
      </c>
      <c r="F182" s="13">
        <f>"1681373637"</f>
      </c>
      <c r="G182" s="13">
        <f>"9781681373638"</f>
      </c>
      <c r="H182" s="11">
        <v>0</v>
      </c>
      <c r="I182" s="14">
        <v>3.77</v>
      </c>
      <c r="J182" s="7" t="s">
        <v>701</v>
      </c>
      <c r="K182" s="5" t="s">
        <v>60</v>
      </c>
      <c r="L182" s="11">
        <v>492</v>
      </c>
      <c r="M182" s="11">
        <v>2019</v>
      </c>
      <c r="N182" s="11">
        <v>2019</v>
      </c>
      <c r="O182" s="15"/>
      <c r="P182" s="8">
        <v>45129</v>
      </c>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4" t="s">
        <v>951</v>
      </c>
      <c r="AY182" s="5" t="s">
        <v>952</v>
      </c>
      <c r="AZ182" s="5" t="s">
        <v>38</v>
      </c>
      <c r="BA182" s="12"/>
      <c r="BB182" s="12"/>
      <c r="BC182" s="12"/>
      <c r="BD182" s="11">
        <v>0</v>
      </c>
      <c r="BE182" s="11">
        <v>0</v>
      </c>
    </row>
    <row x14ac:dyDescent="0.25" r="183" customHeight="1" ht="17.25">
      <c r="A183" s="11">
        <v>1049299</v>
      </c>
      <c r="B183" s="4" t="s">
        <v>953</v>
      </c>
      <c r="C183" s="5" t="s">
        <v>954</v>
      </c>
      <c r="D183" s="5" t="s">
        <v>955</v>
      </c>
      <c r="E183" s="12"/>
      <c r="F183" s="13">
        <f>"1582344639"</f>
      </c>
      <c r="G183" s="13">
        <f>"9781582344638"</f>
      </c>
      <c r="H183" s="11">
        <v>0</v>
      </c>
      <c r="I183" s="11">
        <v>4</v>
      </c>
      <c r="J183" s="7" t="s">
        <v>881</v>
      </c>
      <c r="K183" s="5" t="s">
        <v>72</v>
      </c>
      <c r="L183" s="11">
        <v>304</v>
      </c>
      <c r="M183" s="11">
        <v>2004</v>
      </c>
      <c r="N183" s="11">
        <v>2004</v>
      </c>
      <c r="O183" s="15"/>
      <c r="P183" s="8">
        <v>45127</v>
      </c>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4" t="s">
        <v>951</v>
      </c>
      <c r="AY183" s="5" t="s">
        <v>956</v>
      </c>
      <c r="AZ183" s="5" t="s">
        <v>38</v>
      </c>
      <c r="BA183" s="12"/>
      <c r="BB183" s="12"/>
      <c r="BC183" s="12"/>
      <c r="BD183" s="11">
        <v>0</v>
      </c>
      <c r="BE183" s="11">
        <v>0</v>
      </c>
    </row>
    <row x14ac:dyDescent="0.25" r="184" customHeight="1" ht="17.25">
      <c r="A184" s="11">
        <v>32853566</v>
      </c>
      <c r="B184" s="4" t="s">
        <v>957</v>
      </c>
      <c r="C184" s="5" t="s">
        <v>958</v>
      </c>
      <c r="D184" s="5" t="s">
        <v>959</v>
      </c>
      <c r="E184" s="12"/>
      <c r="F184" s="13">
        <f>""</f>
      </c>
      <c r="G184" s="13">
        <f>""</f>
      </c>
      <c r="H184" s="11">
        <v>0</v>
      </c>
      <c r="I184" s="14">
        <v>4.21</v>
      </c>
      <c r="J184" s="7" t="s">
        <v>960</v>
      </c>
      <c r="K184" s="5" t="s">
        <v>60</v>
      </c>
      <c r="L184" s="11">
        <v>272</v>
      </c>
      <c r="M184" s="11">
        <v>2011</v>
      </c>
      <c r="N184" s="11">
        <v>1988</v>
      </c>
      <c r="O184" s="15"/>
      <c r="P184" s="8">
        <v>45123</v>
      </c>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4" t="s">
        <v>951</v>
      </c>
      <c r="AY184" s="5" t="s">
        <v>961</v>
      </c>
      <c r="AZ184" s="5" t="s">
        <v>38</v>
      </c>
      <c r="BA184" s="12"/>
      <c r="BB184" s="12"/>
      <c r="BC184" s="12"/>
      <c r="BD184" s="11">
        <v>0</v>
      </c>
      <c r="BE184" s="11">
        <v>0</v>
      </c>
    </row>
    <row x14ac:dyDescent="0.25" r="185" customHeight="1" ht="17.25">
      <c r="A185" s="11">
        <v>1343403</v>
      </c>
      <c r="B185" s="4" t="s">
        <v>962</v>
      </c>
      <c r="C185" s="5" t="s">
        <v>963</v>
      </c>
      <c r="D185" s="5" t="s">
        <v>964</v>
      </c>
      <c r="E185" s="5" t="s">
        <v>965</v>
      </c>
      <c r="F185" s="13">
        <f>"1416531742"</f>
      </c>
      <c r="G185" s="13">
        <f>"9781416531746"</f>
      </c>
      <c r="H185" s="11">
        <v>0</v>
      </c>
      <c r="I185" s="14">
        <v>4.16</v>
      </c>
      <c r="J185" s="7" t="s">
        <v>966</v>
      </c>
      <c r="K185" s="5" t="s">
        <v>60</v>
      </c>
      <c r="L185" s="11">
        <v>552</v>
      </c>
      <c r="M185" s="11">
        <v>2007</v>
      </c>
      <c r="N185" s="11">
        <v>2007</v>
      </c>
      <c r="O185" s="15"/>
      <c r="P185" s="8">
        <v>45102</v>
      </c>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4" t="s">
        <v>951</v>
      </c>
      <c r="AY185" s="5" t="s">
        <v>967</v>
      </c>
      <c r="AZ185" s="5" t="s">
        <v>38</v>
      </c>
      <c r="BA185" s="12"/>
      <c r="BB185" s="12"/>
      <c r="BC185" s="12"/>
      <c r="BD185" s="11">
        <v>0</v>
      </c>
      <c r="BE185" s="11">
        <v>0</v>
      </c>
    </row>
    <row x14ac:dyDescent="0.25" r="186" customHeight="1" ht="17.25">
      <c r="A186" s="11">
        <v>61212756</v>
      </c>
      <c r="B186" s="4" t="s">
        <v>968</v>
      </c>
      <c r="C186" s="5" t="s">
        <v>969</v>
      </c>
      <c r="D186" s="5" t="s">
        <v>970</v>
      </c>
      <c r="E186" s="12"/>
      <c r="F186" s="13">
        <f>"1681377063"</f>
      </c>
      <c r="G186" s="13">
        <f>"9781681377063"</f>
      </c>
      <c r="H186" s="11">
        <v>0</v>
      </c>
      <c r="I186" s="14">
        <v>3.87</v>
      </c>
      <c r="J186" s="7" t="s">
        <v>701</v>
      </c>
      <c r="K186" s="5" t="s">
        <v>60</v>
      </c>
      <c r="L186" s="11">
        <v>192</v>
      </c>
      <c r="M186" s="11">
        <v>2022</v>
      </c>
      <c r="N186" s="11">
        <v>2022</v>
      </c>
      <c r="O186" s="15"/>
      <c r="P186" s="8">
        <v>45102</v>
      </c>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4" t="s">
        <v>951</v>
      </c>
      <c r="AY186" s="5" t="s">
        <v>971</v>
      </c>
      <c r="AZ186" s="5" t="s">
        <v>38</v>
      </c>
      <c r="BA186" s="12"/>
      <c r="BB186" s="12"/>
      <c r="BC186" s="12"/>
      <c r="BD186" s="11">
        <v>0</v>
      </c>
      <c r="BE186" s="11">
        <v>0</v>
      </c>
    </row>
    <row x14ac:dyDescent="0.25" r="187" customHeight="1" ht="17.25">
      <c r="A187" s="11">
        <v>114809</v>
      </c>
      <c r="B187" s="4" t="s">
        <v>972</v>
      </c>
      <c r="C187" s="5" t="s">
        <v>973</v>
      </c>
      <c r="D187" s="5" t="s">
        <v>974</v>
      </c>
      <c r="E187" s="12"/>
      <c r="F187" s="13">
        <f>"0312425325"</f>
      </c>
      <c r="G187" s="13">
        <f>"9780312425326"</f>
      </c>
      <c r="H187" s="11">
        <v>0</v>
      </c>
      <c r="I187" s="14">
        <v>4.11</v>
      </c>
      <c r="J187" s="7" t="s">
        <v>975</v>
      </c>
      <c r="K187" s="5" t="s">
        <v>60</v>
      </c>
      <c r="L187" s="11">
        <v>263</v>
      </c>
      <c r="M187" s="11">
        <v>2005</v>
      </c>
      <c r="N187" s="11">
        <v>1998</v>
      </c>
      <c r="O187" s="15"/>
      <c r="P187" s="8">
        <v>45059</v>
      </c>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4" t="s">
        <v>951</v>
      </c>
      <c r="AY187" s="5" t="s">
        <v>976</v>
      </c>
      <c r="AZ187" s="5" t="s">
        <v>38</v>
      </c>
      <c r="BA187" s="12"/>
      <c r="BB187" s="12"/>
      <c r="BC187" s="12"/>
      <c r="BD187" s="11">
        <v>0</v>
      </c>
      <c r="BE187" s="11">
        <v>0</v>
      </c>
    </row>
    <row x14ac:dyDescent="0.25" r="188" customHeight="1" ht="17.25">
      <c r="A188" s="11">
        <v>18050216</v>
      </c>
      <c r="B188" s="4" t="s">
        <v>977</v>
      </c>
      <c r="C188" s="5" t="s">
        <v>978</v>
      </c>
      <c r="D188" s="5" t="s">
        <v>979</v>
      </c>
      <c r="E188" s="12"/>
      <c r="F188" s="13">
        <f>"1590177134"</f>
      </c>
      <c r="G188" s="13">
        <f>"9781590177136"</f>
      </c>
      <c r="H188" s="11">
        <v>0</v>
      </c>
      <c r="I188" s="14">
        <v>3.88</v>
      </c>
      <c r="J188" s="7" t="s">
        <v>701</v>
      </c>
      <c r="K188" s="5" t="s">
        <v>60</v>
      </c>
      <c r="L188" s="11">
        <v>432</v>
      </c>
      <c r="M188" s="11">
        <v>2014</v>
      </c>
      <c r="N188" s="11">
        <v>2012</v>
      </c>
      <c r="O188" s="15"/>
      <c r="P188" s="8">
        <v>45102</v>
      </c>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4" t="s">
        <v>951</v>
      </c>
      <c r="AY188" s="5" t="s">
        <v>980</v>
      </c>
      <c r="AZ188" s="5" t="s">
        <v>38</v>
      </c>
      <c r="BA188" s="12"/>
      <c r="BB188" s="12"/>
      <c r="BC188" s="12"/>
      <c r="BD188" s="11">
        <v>0</v>
      </c>
      <c r="BE188" s="11">
        <v>0</v>
      </c>
    </row>
    <row x14ac:dyDescent="0.25" r="189" customHeight="1" ht="17.25">
      <c r="A189" s="11">
        <v>438547</v>
      </c>
      <c r="B189" s="4" t="s">
        <v>981</v>
      </c>
      <c r="C189" s="5" t="s">
        <v>520</v>
      </c>
      <c r="D189" s="5" t="s">
        <v>521</v>
      </c>
      <c r="E189" s="5" t="s">
        <v>982</v>
      </c>
      <c r="F189" s="13">
        <f>"0816630984"</f>
      </c>
      <c r="G189" s="13">
        <f>"9780816630981"</f>
      </c>
      <c r="H189" s="11">
        <v>0</v>
      </c>
      <c r="I189" s="14">
        <v>3.79</v>
      </c>
      <c r="J189" s="7" t="s">
        <v>983</v>
      </c>
      <c r="K189" s="5" t="s">
        <v>72</v>
      </c>
      <c r="L189" s="11">
        <v>304</v>
      </c>
      <c r="M189" s="11">
        <v>2001</v>
      </c>
      <c r="N189" s="11">
        <v>1991</v>
      </c>
      <c r="O189" s="15"/>
      <c r="P189" s="8">
        <v>45101</v>
      </c>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4" t="s">
        <v>951</v>
      </c>
      <c r="AY189" s="5" t="s">
        <v>984</v>
      </c>
      <c r="AZ189" s="5" t="s">
        <v>38</v>
      </c>
      <c r="BA189" s="12"/>
      <c r="BB189" s="12"/>
      <c r="BC189" s="12"/>
      <c r="BD189" s="11">
        <v>0</v>
      </c>
      <c r="BE189" s="11">
        <v>0</v>
      </c>
    </row>
    <row x14ac:dyDescent="0.25" r="190" customHeight="1" ht="17.25">
      <c r="A190" s="11">
        <v>61089544</v>
      </c>
      <c r="B190" s="4" t="s">
        <v>985</v>
      </c>
      <c r="C190" s="5" t="s">
        <v>986</v>
      </c>
      <c r="D190" s="5" t="s">
        <v>987</v>
      </c>
      <c r="E190" s="12"/>
      <c r="F190" s="13">
        <f>"1324091738"</f>
      </c>
      <c r="G190" s="13">
        <f>"9781324091738"</f>
      </c>
      <c r="H190" s="11">
        <v>0</v>
      </c>
      <c r="I190" s="14">
        <v>4.03</v>
      </c>
      <c r="J190" s="7" t="s">
        <v>988</v>
      </c>
      <c r="K190" s="5" t="s">
        <v>72</v>
      </c>
      <c r="L190" s="11">
        <v>240</v>
      </c>
      <c r="M190" s="11">
        <v>2023</v>
      </c>
      <c r="N190" s="11">
        <v>2023</v>
      </c>
      <c r="O190" s="15"/>
      <c r="P190" s="8">
        <v>45044</v>
      </c>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4" t="s">
        <v>951</v>
      </c>
      <c r="AY190" s="5" t="s">
        <v>989</v>
      </c>
      <c r="AZ190" s="5" t="s">
        <v>38</v>
      </c>
      <c r="BA190" s="12"/>
      <c r="BB190" s="12"/>
      <c r="BC190" s="12"/>
      <c r="BD190" s="11">
        <v>0</v>
      </c>
      <c r="BE190" s="11">
        <v>0</v>
      </c>
    </row>
    <row x14ac:dyDescent="0.25" r="191" customHeight="1" ht="17.25">
      <c r="A191" s="11">
        <v>61685822</v>
      </c>
      <c r="B191" s="4" t="s">
        <v>990</v>
      </c>
      <c r="C191" s="5" t="s">
        <v>991</v>
      </c>
      <c r="D191" s="5" t="s">
        <v>992</v>
      </c>
      <c r="E191" s="12"/>
      <c r="F191" s="13">
        <f>"0525655115"</f>
      </c>
      <c r="G191" s="13">
        <f>"9780525655114"</f>
      </c>
      <c r="H191" s="11">
        <v>0</v>
      </c>
      <c r="I191" s="14">
        <v>3.9</v>
      </c>
      <c r="J191" s="7" t="s">
        <v>665</v>
      </c>
      <c r="K191" s="5" t="s">
        <v>72</v>
      </c>
      <c r="L191" s="11">
        <v>257</v>
      </c>
      <c r="M191" s="11">
        <v>2023</v>
      </c>
      <c r="N191" s="11">
        <v>2023</v>
      </c>
      <c r="O191" s="15"/>
      <c r="P191" s="8">
        <v>45096</v>
      </c>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4" t="s">
        <v>951</v>
      </c>
      <c r="AY191" s="5" t="s">
        <v>993</v>
      </c>
      <c r="AZ191" s="5" t="s">
        <v>38</v>
      </c>
      <c r="BA191" s="12"/>
      <c r="BB191" s="12"/>
      <c r="BC191" s="12"/>
      <c r="BD191" s="11">
        <v>0</v>
      </c>
      <c r="BE191" s="11">
        <v>0</v>
      </c>
    </row>
    <row x14ac:dyDescent="0.25" r="192" customHeight="1" ht="17.25">
      <c r="A192" s="11">
        <v>56463363</v>
      </c>
      <c r="B192" s="4" t="s">
        <v>994</v>
      </c>
      <c r="C192" s="5" t="s">
        <v>995</v>
      </c>
      <c r="D192" s="5" t="s">
        <v>996</v>
      </c>
      <c r="E192" s="12"/>
      <c r="F192" s="13">
        <f>"0807006564"</f>
      </c>
      <c r="G192" s="13">
        <f>"9780807006566"</f>
      </c>
      <c r="H192" s="11">
        <v>0</v>
      </c>
      <c r="I192" s="14">
        <v>4.67</v>
      </c>
      <c r="J192" s="7" t="s">
        <v>861</v>
      </c>
      <c r="K192" s="5" t="s">
        <v>60</v>
      </c>
      <c r="L192" s="11">
        <v>704</v>
      </c>
      <c r="M192" s="11">
        <v>2021</v>
      </c>
      <c r="N192" s="11">
        <v>1985</v>
      </c>
      <c r="O192" s="15"/>
      <c r="P192" s="8">
        <v>44416</v>
      </c>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4" t="s">
        <v>951</v>
      </c>
      <c r="AY192" s="5" t="s">
        <v>997</v>
      </c>
      <c r="AZ192" s="5" t="s">
        <v>38</v>
      </c>
      <c r="BA192" s="12"/>
      <c r="BB192" s="12"/>
      <c r="BC192" s="12"/>
      <c r="BD192" s="11">
        <v>0</v>
      </c>
      <c r="BE192" s="11">
        <v>0</v>
      </c>
    </row>
    <row x14ac:dyDescent="0.25" r="193" customHeight="1" ht="17.25">
      <c r="A193" s="11">
        <v>216125</v>
      </c>
      <c r="B193" s="4" t="s">
        <v>998</v>
      </c>
      <c r="C193" s="5" t="s">
        <v>999</v>
      </c>
      <c r="D193" s="5" t="s">
        <v>1000</v>
      </c>
      <c r="E193" s="12"/>
      <c r="F193" s="13">
        <f>"1555973213"</f>
      </c>
      <c r="G193" s="13">
        <f>"9781555973216"</f>
      </c>
      <c r="H193" s="11">
        <v>0</v>
      </c>
      <c r="I193" s="14">
        <v>4.44</v>
      </c>
      <c r="J193" s="7" t="s">
        <v>1001</v>
      </c>
      <c r="K193" s="5" t="s">
        <v>60</v>
      </c>
      <c r="L193" s="11">
        <v>276</v>
      </c>
      <c r="M193" s="11">
        <v>2001</v>
      </c>
      <c r="N193" s="11">
        <v>2001</v>
      </c>
      <c r="O193" s="15"/>
      <c r="P193" s="8">
        <v>43984</v>
      </c>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4" t="s">
        <v>951</v>
      </c>
      <c r="AY193" s="5" t="s">
        <v>1002</v>
      </c>
      <c r="AZ193" s="5" t="s">
        <v>38</v>
      </c>
      <c r="BA193" s="12"/>
      <c r="BB193" s="12"/>
      <c r="BC193" s="12"/>
      <c r="BD193" s="11">
        <v>0</v>
      </c>
      <c r="BE193" s="11">
        <v>0</v>
      </c>
    </row>
    <row x14ac:dyDescent="0.25" r="194" customHeight="1" ht="17.25">
      <c r="A194" s="11">
        <v>54112567</v>
      </c>
      <c r="B194" s="4" t="s">
        <v>1003</v>
      </c>
      <c r="C194" s="5" t="s">
        <v>1004</v>
      </c>
      <c r="D194" s="5" t="s">
        <v>1005</v>
      </c>
      <c r="E194" s="12"/>
      <c r="F194" s="13">
        <f>"195114239X"</f>
      </c>
      <c r="G194" s="13">
        <f>"9781951142391"</f>
      </c>
      <c r="H194" s="11">
        <v>0</v>
      </c>
      <c r="I194" s="14">
        <v>3.81</v>
      </c>
      <c r="J194" s="7" t="s">
        <v>1006</v>
      </c>
      <c r="K194" s="5" t="s">
        <v>72</v>
      </c>
      <c r="L194" s="11">
        <v>432</v>
      </c>
      <c r="M194" s="11">
        <v>2021</v>
      </c>
      <c r="N194" s="11">
        <v>2021</v>
      </c>
      <c r="O194" s="15"/>
      <c r="P194" s="8">
        <v>44216</v>
      </c>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4" t="s">
        <v>951</v>
      </c>
      <c r="AY194" s="5" t="s">
        <v>1007</v>
      </c>
      <c r="AZ194" s="5" t="s">
        <v>38</v>
      </c>
      <c r="BA194" s="12"/>
      <c r="BB194" s="12"/>
      <c r="BC194" s="12"/>
      <c r="BD194" s="11">
        <v>0</v>
      </c>
      <c r="BE194" s="11">
        <v>0</v>
      </c>
    </row>
    <row x14ac:dyDescent="0.25" r="195" customHeight="1" ht="17.25">
      <c r="A195" s="11">
        <v>322929</v>
      </c>
      <c r="B195" s="4" t="s">
        <v>1008</v>
      </c>
      <c r="C195" s="5" t="s">
        <v>1009</v>
      </c>
      <c r="D195" s="5" t="s">
        <v>1010</v>
      </c>
      <c r="E195" s="5" t="s">
        <v>1011</v>
      </c>
      <c r="F195" s="13">
        <f>"0918825016"</f>
      </c>
      <c r="G195" s="13">
        <f>"9780918825018"</f>
      </c>
      <c r="H195" s="11">
        <v>0</v>
      </c>
      <c r="I195" s="14">
        <v>4.34</v>
      </c>
      <c r="J195" s="7" t="s">
        <v>1012</v>
      </c>
      <c r="K195" s="5" t="s">
        <v>60</v>
      </c>
      <c r="L195" s="11">
        <v>576</v>
      </c>
      <c r="M195" s="11">
        <v>2007</v>
      </c>
      <c r="N195" s="11">
        <v>1977</v>
      </c>
      <c r="O195" s="15"/>
      <c r="P195" s="9">
        <v>43419</v>
      </c>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4" t="s">
        <v>1013</v>
      </c>
      <c r="AY195" s="5" t="s">
        <v>1014</v>
      </c>
      <c r="AZ195" s="5" t="s">
        <v>38</v>
      </c>
      <c r="BA195" s="12"/>
      <c r="BB195" s="12"/>
      <c r="BC195" s="12"/>
      <c r="BD195" s="11">
        <v>0</v>
      </c>
      <c r="BE195" s="11">
        <v>0</v>
      </c>
    </row>
    <row x14ac:dyDescent="0.25" r="196" customHeight="1" ht="17.25">
      <c r="A196" s="11">
        <v>43126457</v>
      </c>
      <c r="B196" s="4" t="s">
        <v>1015</v>
      </c>
      <c r="C196" s="5" t="s">
        <v>1016</v>
      </c>
      <c r="D196" s="5" t="s">
        <v>1017</v>
      </c>
      <c r="E196" s="12"/>
      <c r="F196" s="13">
        <f>"0525510540"</f>
      </c>
      <c r="G196" s="13">
        <f>"9780525510543"</f>
      </c>
      <c r="H196" s="11">
        <v>0</v>
      </c>
      <c r="I196" s="14">
        <v>4.06</v>
      </c>
      <c r="J196" s="7" t="s">
        <v>1018</v>
      </c>
      <c r="K196" s="5" t="s">
        <v>72</v>
      </c>
      <c r="L196" s="11">
        <v>303</v>
      </c>
      <c r="M196" s="11">
        <v>2019</v>
      </c>
      <c r="N196" s="11">
        <v>2019</v>
      </c>
      <c r="O196" s="15"/>
      <c r="P196" s="8">
        <v>43921</v>
      </c>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4" t="s">
        <v>951</v>
      </c>
      <c r="AY196" s="5" t="s">
        <v>1019</v>
      </c>
      <c r="AZ196" s="5" t="s">
        <v>38</v>
      </c>
      <c r="BA196" s="12"/>
      <c r="BB196" s="12"/>
      <c r="BC196" s="12"/>
      <c r="BD196" s="11">
        <v>0</v>
      </c>
      <c r="BE196" s="11">
        <v>0</v>
      </c>
    </row>
    <row x14ac:dyDescent="0.25" r="197" customHeight="1" ht="17.25">
      <c r="A197" s="11">
        <v>37969722</v>
      </c>
      <c r="B197" s="4" t="s">
        <v>1020</v>
      </c>
      <c r="C197" s="5" t="s">
        <v>1021</v>
      </c>
      <c r="D197" s="5" t="s">
        <v>1022</v>
      </c>
      <c r="E197" s="12"/>
      <c r="F197" s="13">
        <f>"0385542887"</f>
      </c>
      <c r="G197" s="13">
        <f>"9780385542883"</f>
      </c>
      <c r="H197" s="11">
        <v>0</v>
      </c>
      <c r="I197" s="14">
        <v>3.65</v>
      </c>
      <c r="J197" s="7" t="s">
        <v>716</v>
      </c>
      <c r="K197" s="5" t="s">
        <v>72</v>
      </c>
      <c r="L197" s="11">
        <v>240</v>
      </c>
      <c r="M197" s="11">
        <v>2018</v>
      </c>
      <c r="N197" s="11">
        <v>2018</v>
      </c>
      <c r="O197" s="15"/>
      <c r="P197" s="8">
        <v>43919</v>
      </c>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4" t="s">
        <v>951</v>
      </c>
      <c r="AY197" s="5" t="s">
        <v>1023</v>
      </c>
      <c r="AZ197" s="5" t="s">
        <v>38</v>
      </c>
      <c r="BA197" s="12"/>
      <c r="BB197" s="12"/>
      <c r="BC197" s="12"/>
      <c r="BD197" s="11">
        <v>0</v>
      </c>
      <c r="BE197" s="11">
        <v>0</v>
      </c>
    </row>
    <row x14ac:dyDescent="0.25" r="198" customHeight="1" ht="17.25">
      <c r="A198" s="11">
        <v>826084</v>
      </c>
      <c r="B198" s="4" t="s">
        <v>1024</v>
      </c>
      <c r="C198" s="5" t="s">
        <v>1025</v>
      </c>
      <c r="D198" s="5" t="s">
        <v>1026</v>
      </c>
      <c r="E198" s="5" t="s">
        <v>1027</v>
      </c>
      <c r="F198" s="13">
        <f>"0873488229"</f>
      </c>
      <c r="G198" s="13">
        <f>"9780873488228"</f>
      </c>
      <c r="H198" s="11">
        <v>0</v>
      </c>
      <c r="I198" s="14">
        <v>4.09</v>
      </c>
      <c r="J198" s="7" t="s">
        <v>1028</v>
      </c>
      <c r="K198" s="5" t="s">
        <v>60</v>
      </c>
      <c r="L198" s="11">
        <v>756</v>
      </c>
      <c r="M198" s="11">
        <v>1978</v>
      </c>
      <c r="N198" s="11">
        <v>1986</v>
      </c>
      <c r="O198" s="15"/>
      <c r="P198" s="8">
        <v>43969</v>
      </c>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4" t="s">
        <v>951</v>
      </c>
      <c r="AY198" s="5" t="s">
        <v>1029</v>
      </c>
      <c r="AZ198" s="5" t="s">
        <v>38</v>
      </c>
      <c r="BA198" s="12"/>
      <c r="BB198" s="12"/>
      <c r="BC198" s="12"/>
      <c r="BD198" s="11">
        <v>0</v>
      </c>
      <c r="BE198" s="11">
        <v>0</v>
      </c>
    </row>
    <row x14ac:dyDescent="0.25" r="199" customHeight="1" ht="17.25">
      <c r="A199" s="11">
        <v>40121987</v>
      </c>
      <c r="B199" s="4" t="s">
        <v>1030</v>
      </c>
      <c r="C199" s="5" t="s">
        <v>1031</v>
      </c>
      <c r="D199" s="5" t="s">
        <v>1032</v>
      </c>
      <c r="E199" s="12"/>
      <c r="F199" s="13">
        <f>"0374279497"</f>
      </c>
      <c r="G199" s="13">
        <f>"9780374279493"</f>
      </c>
      <c r="H199" s="11">
        <v>0</v>
      </c>
      <c r="I199" s="14">
        <v>3.57</v>
      </c>
      <c r="J199" s="7" t="s">
        <v>120</v>
      </c>
      <c r="K199" s="5" t="s">
        <v>72</v>
      </c>
      <c r="L199" s="11">
        <v>304</v>
      </c>
      <c r="M199" s="11">
        <v>2019</v>
      </c>
      <c r="N199" s="11">
        <v>2019</v>
      </c>
      <c r="O199" s="15"/>
      <c r="P199" s="8">
        <v>43952</v>
      </c>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4" t="s">
        <v>951</v>
      </c>
      <c r="AY199" s="5" t="s">
        <v>1033</v>
      </c>
      <c r="AZ199" s="5" t="s">
        <v>38</v>
      </c>
      <c r="BA199" s="12"/>
      <c r="BB199" s="12"/>
      <c r="BC199" s="12"/>
      <c r="BD199" s="11">
        <v>0</v>
      </c>
      <c r="BE199" s="11">
        <v>0</v>
      </c>
    </row>
    <row x14ac:dyDescent="0.25" r="200" customHeight="1" ht="17.25">
      <c r="A200" s="11">
        <v>52373</v>
      </c>
      <c r="B200" s="4" t="s">
        <v>1034</v>
      </c>
      <c r="C200" s="5" t="s">
        <v>1035</v>
      </c>
      <c r="D200" s="5" t="s">
        <v>1036</v>
      </c>
      <c r="E200" s="12"/>
      <c r="F200" s="13">
        <f>"0141012374"</f>
      </c>
      <c r="G200" s="13">
        <f>"9780141012377"</f>
      </c>
      <c r="H200" s="11">
        <v>0</v>
      </c>
      <c r="I200" s="14">
        <v>4.08</v>
      </c>
      <c r="J200" s="7" t="s">
        <v>1037</v>
      </c>
      <c r="K200" s="5" t="s">
        <v>60</v>
      </c>
      <c r="L200" s="11">
        <v>117</v>
      </c>
      <c r="M200" s="11">
        <v>2004</v>
      </c>
      <c r="N200" s="11">
        <v>2003</v>
      </c>
      <c r="O200" s="15"/>
      <c r="P200" s="8">
        <v>42822</v>
      </c>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4" t="s">
        <v>1038</v>
      </c>
      <c r="AY200" s="5" t="s">
        <v>1039</v>
      </c>
      <c r="AZ200" s="5" t="s">
        <v>38</v>
      </c>
      <c r="BA200" s="12"/>
      <c r="BB200" s="12"/>
      <c r="BC200" s="12"/>
      <c r="BD200" s="11">
        <v>0</v>
      </c>
      <c r="BE200" s="11">
        <v>0</v>
      </c>
    </row>
    <row x14ac:dyDescent="0.25" r="201" customHeight="1" ht="15.75">
      <c r="A201" s="11">
        <v>89231</v>
      </c>
      <c r="B201" s="4" t="s">
        <v>1040</v>
      </c>
      <c r="C201" s="5" t="s">
        <v>1041</v>
      </c>
      <c r="D201" s="5" t="s">
        <v>1042</v>
      </c>
      <c r="E201" s="12"/>
      <c r="F201" s="13">
        <f>"1400076730"</f>
      </c>
      <c r="G201" s="13">
        <f>"9781400076734"</f>
      </c>
      <c r="H201" s="11">
        <v>0</v>
      </c>
      <c r="I201" s="14">
        <v>4.23</v>
      </c>
      <c r="J201" s="7" t="s">
        <v>114</v>
      </c>
      <c r="K201" s="5" t="s">
        <v>60</v>
      </c>
      <c r="L201" s="11">
        <v>336</v>
      </c>
      <c r="M201" s="11">
        <v>2004</v>
      </c>
      <c r="N201" s="11">
        <v>1972</v>
      </c>
      <c r="O201" s="15"/>
      <c r="P201" s="8">
        <v>45088</v>
      </c>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4" t="s">
        <v>1043</v>
      </c>
      <c r="AY201" s="5" t="s">
        <v>1044</v>
      </c>
      <c r="AZ201" s="5" t="s">
        <v>38</v>
      </c>
      <c r="BA201" s="12"/>
      <c r="BB201" s="12"/>
      <c r="BC201" s="12"/>
      <c r="BD201" s="11">
        <v>0</v>
      </c>
      <c r="BE201" s="11">
        <v>0</v>
      </c>
    </row>
    <row x14ac:dyDescent="0.25" r="202" customHeight="1" ht="17.25">
      <c r="A202" s="11">
        <v>43811348</v>
      </c>
      <c r="B202" s="4" t="s">
        <v>1045</v>
      </c>
      <c r="C202" s="5" t="s">
        <v>1046</v>
      </c>
      <c r="D202" s="5" t="s">
        <v>1047</v>
      </c>
      <c r="E202" s="5" t="s">
        <v>1048</v>
      </c>
      <c r="F202" s="13">
        <f>"0811228959"</f>
      </c>
      <c r="G202" s="13">
        <f>"9780811228954"</f>
      </c>
      <c r="H202" s="11">
        <v>0</v>
      </c>
      <c r="I202" s="14">
        <v>3.61</v>
      </c>
      <c r="J202" s="7" t="s">
        <v>126</v>
      </c>
      <c r="K202" s="5" t="s">
        <v>72</v>
      </c>
      <c r="L202" s="11">
        <v>96</v>
      </c>
      <c r="M202" s="11">
        <v>2019</v>
      </c>
      <c r="N202" s="11">
        <v>1983</v>
      </c>
      <c r="O202" s="15"/>
      <c r="P202" s="8">
        <v>45078</v>
      </c>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4" t="s">
        <v>1049</v>
      </c>
      <c r="AY202" s="5" t="s">
        <v>1050</v>
      </c>
      <c r="AZ202" s="5" t="s">
        <v>38</v>
      </c>
      <c r="BA202" s="12"/>
      <c r="BB202" s="12"/>
      <c r="BC202" s="12"/>
      <c r="BD202" s="11">
        <v>0</v>
      </c>
      <c r="BE202" s="11">
        <v>0</v>
      </c>
    </row>
    <row x14ac:dyDescent="0.25" r="203" customHeight="1" ht="17.25">
      <c r="A203" s="11">
        <v>264221</v>
      </c>
      <c r="B203" s="4" t="s">
        <v>1051</v>
      </c>
      <c r="C203" s="5" t="s">
        <v>1052</v>
      </c>
      <c r="D203" s="5" t="s">
        <v>1053</v>
      </c>
      <c r="E203" s="5" t="s">
        <v>1054</v>
      </c>
      <c r="F203" s="13">
        <f>"0912647094"</f>
      </c>
      <c r="G203" s="13">
        <f>"9780912647098"</f>
      </c>
      <c r="H203" s="11">
        <v>0</v>
      </c>
      <c r="I203" s="14">
        <v>3.35</v>
      </c>
      <c r="J203" s="7" t="s">
        <v>1055</v>
      </c>
      <c r="K203" s="5" t="s">
        <v>72</v>
      </c>
      <c r="L203" s="11">
        <v>439</v>
      </c>
      <c r="M203" s="11">
        <v>1992</v>
      </c>
      <c r="N203" s="11">
        <v>1992</v>
      </c>
      <c r="O203" s="15"/>
      <c r="P203" s="8">
        <v>44831</v>
      </c>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4" t="s">
        <v>1049</v>
      </c>
      <c r="AY203" s="5" t="s">
        <v>1056</v>
      </c>
      <c r="AZ203" s="5" t="s">
        <v>38</v>
      </c>
      <c r="BA203" s="12"/>
      <c r="BB203" s="12"/>
      <c r="BC203" s="12"/>
      <c r="BD203" s="11">
        <v>0</v>
      </c>
      <c r="BE203" s="11">
        <v>0</v>
      </c>
    </row>
    <row x14ac:dyDescent="0.25" r="204" customHeight="1" ht="17.25">
      <c r="A204" s="11">
        <v>164006</v>
      </c>
      <c r="B204" s="4" t="s">
        <v>1057</v>
      </c>
      <c r="C204" s="5" t="s">
        <v>1058</v>
      </c>
      <c r="D204" s="5" t="s">
        <v>1059</v>
      </c>
      <c r="E204" s="5" t="s">
        <v>1060</v>
      </c>
      <c r="F204" s="13">
        <f>"0060825197"</f>
      </c>
      <c r="G204" s="13">
        <f>"9780060825195"</f>
      </c>
      <c r="H204" s="11">
        <v>0</v>
      </c>
      <c r="I204" s="14">
        <v>4.12</v>
      </c>
      <c r="J204" s="7" t="s">
        <v>1061</v>
      </c>
      <c r="K204" s="5" t="s">
        <v>60</v>
      </c>
      <c r="L204" s="11">
        <v>359</v>
      </c>
      <c r="M204" s="11">
        <v>2005</v>
      </c>
      <c r="N204" s="11">
        <v>1958</v>
      </c>
      <c r="O204" s="15"/>
      <c r="P204" s="8">
        <v>44237</v>
      </c>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4" t="s">
        <v>192</v>
      </c>
      <c r="AY204" s="5" t="s">
        <v>1062</v>
      </c>
      <c r="AZ204" s="5" t="s">
        <v>38</v>
      </c>
      <c r="BA204" s="12"/>
      <c r="BB204" s="12"/>
      <c r="BC204" s="12"/>
      <c r="BD204" s="11">
        <v>0</v>
      </c>
      <c r="BE204" s="11">
        <v>0</v>
      </c>
    </row>
    <row x14ac:dyDescent="0.25" r="205" customHeight="1" ht="17.25">
      <c r="A205" s="11">
        <v>151390</v>
      </c>
      <c r="B205" s="4" t="s">
        <v>1063</v>
      </c>
      <c r="C205" s="5" t="s">
        <v>1064</v>
      </c>
      <c r="D205" s="5" t="s">
        <v>1065</v>
      </c>
      <c r="E205" s="5" t="s">
        <v>1066</v>
      </c>
      <c r="F205" s="13">
        <f>"0140448993"</f>
      </c>
      <c r="G205" s="13">
        <f>"9780140448993"</f>
      </c>
      <c r="H205" s="11">
        <v>0</v>
      </c>
      <c r="I205" s="14">
        <v>3.73</v>
      </c>
      <c r="J205" s="7" t="s">
        <v>491</v>
      </c>
      <c r="K205" s="5" t="s">
        <v>60</v>
      </c>
      <c r="L205" s="11">
        <v>383</v>
      </c>
      <c r="M205" s="11">
        <v>2003</v>
      </c>
      <c r="N205" s="11">
        <v>1133</v>
      </c>
      <c r="O205" s="15"/>
      <c r="P205" s="8">
        <v>44808</v>
      </c>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4" t="s">
        <v>192</v>
      </c>
      <c r="AY205" s="5" t="s">
        <v>1067</v>
      </c>
      <c r="AZ205" s="5" t="s">
        <v>38</v>
      </c>
      <c r="BA205" s="12"/>
      <c r="BB205" s="12"/>
      <c r="BC205" s="12"/>
      <c r="BD205" s="11">
        <v>0</v>
      </c>
      <c r="BE205" s="11">
        <v>0</v>
      </c>
    </row>
    <row x14ac:dyDescent="0.25" r="206" customHeight="1" ht="17.25">
      <c r="A206" s="11">
        <v>39948648</v>
      </c>
      <c r="B206" s="4" t="s">
        <v>1068</v>
      </c>
      <c r="C206" s="5" t="s">
        <v>1069</v>
      </c>
      <c r="D206" s="5" t="s">
        <v>1070</v>
      </c>
      <c r="E206" s="12"/>
      <c r="F206" s="13">
        <f>""</f>
      </c>
      <c r="G206" s="13">
        <f>""</f>
      </c>
      <c r="H206" s="11">
        <v>0</v>
      </c>
      <c r="I206" s="14">
        <v>4.31</v>
      </c>
      <c r="J206" s="7" t="s">
        <v>89</v>
      </c>
      <c r="K206" s="5" t="s">
        <v>90</v>
      </c>
      <c r="L206" s="11">
        <v>62</v>
      </c>
      <c r="M206" s="11">
        <v>2014</v>
      </c>
      <c r="N206" s="11">
        <v>1992</v>
      </c>
      <c r="O206" s="15"/>
      <c r="P206" s="8">
        <v>44254</v>
      </c>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4" t="s">
        <v>1049</v>
      </c>
      <c r="AY206" s="5" t="s">
        <v>1071</v>
      </c>
      <c r="AZ206" s="5" t="s">
        <v>38</v>
      </c>
      <c r="BA206" s="12"/>
      <c r="BB206" s="12"/>
      <c r="BC206" s="12"/>
      <c r="BD206" s="11">
        <v>0</v>
      </c>
      <c r="BE206" s="11">
        <v>0</v>
      </c>
    </row>
    <row x14ac:dyDescent="0.25" r="207" customHeight="1" ht="17.25">
      <c r="A207" s="11">
        <v>45186565</v>
      </c>
      <c r="B207" s="4" t="s">
        <v>1072</v>
      </c>
      <c r="C207" s="5" t="s">
        <v>1073</v>
      </c>
      <c r="D207" s="5" t="s">
        <v>1074</v>
      </c>
      <c r="E207" s="12"/>
      <c r="F207" s="13">
        <f>"0374278016"</f>
      </c>
      <c r="G207" s="13">
        <f>"9780374278014"</f>
      </c>
      <c r="H207" s="11">
        <v>0</v>
      </c>
      <c r="I207" s="14">
        <v>3.65</v>
      </c>
      <c r="J207" s="7" t="s">
        <v>1075</v>
      </c>
      <c r="K207" s="5" t="s">
        <v>72</v>
      </c>
      <c r="L207" s="11">
        <v>281</v>
      </c>
      <c r="M207" s="11">
        <v>2020</v>
      </c>
      <c r="N207" s="11">
        <v>2020</v>
      </c>
      <c r="O207" s="15"/>
      <c r="P207" s="8">
        <v>43999</v>
      </c>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4" t="s">
        <v>1049</v>
      </c>
      <c r="AY207" s="5" t="s">
        <v>1076</v>
      </c>
      <c r="AZ207" s="5" t="s">
        <v>38</v>
      </c>
      <c r="BA207" s="12"/>
      <c r="BB207" s="12"/>
      <c r="BC207" s="12"/>
      <c r="BD207" s="11">
        <v>0</v>
      </c>
      <c r="BE207" s="11">
        <v>0</v>
      </c>
    </row>
    <row x14ac:dyDescent="0.25" r="208" customHeight="1" ht="17.25">
      <c r="A208" s="11">
        <v>43961</v>
      </c>
      <c r="B208" s="4" t="s">
        <v>1077</v>
      </c>
      <c r="C208" s="5" t="s">
        <v>1078</v>
      </c>
      <c r="D208" s="5" t="s">
        <v>1079</v>
      </c>
      <c r="E208" s="5" t="s">
        <v>1080</v>
      </c>
      <c r="F208" s="13">
        <f>"1573441961"</f>
      </c>
      <c r="G208" s="13">
        <f>"9781573441964"</f>
      </c>
      <c r="H208" s="11">
        <v>0</v>
      </c>
      <c r="I208" s="14">
        <v>4.43</v>
      </c>
      <c r="J208" s="7" t="s">
        <v>1081</v>
      </c>
      <c r="K208" s="5" t="s">
        <v>60</v>
      </c>
      <c r="L208" s="11">
        <v>480</v>
      </c>
      <c r="M208" s="11">
        <v>2004</v>
      </c>
      <c r="N208" s="11">
        <v>1926</v>
      </c>
      <c r="O208" s="15"/>
      <c r="P208" s="8">
        <v>44237</v>
      </c>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4" t="s">
        <v>1049</v>
      </c>
      <c r="AY208" s="5" t="s">
        <v>1082</v>
      </c>
      <c r="AZ208" s="5" t="s">
        <v>38</v>
      </c>
      <c r="BA208" s="12"/>
      <c r="BB208" s="12"/>
      <c r="BC208" s="12"/>
      <c r="BD208" s="11">
        <v>0</v>
      </c>
      <c r="BE208" s="11">
        <v>0</v>
      </c>
    </row>
    <row x14ac:dyDescent="0.25" r="209" customHeight="1" ht="17.25">
      <c r="A209" s="11">
        <v>361459</v>
      </c>
      <c r="B209" s="4" t="s">
        <v>1083</v>
      </c>
      <c r="C209" s="5" t="s">
        <v>1084</v>
      </c>
      <c r="D209" s="5" t="s">
        <v>1085</v>
      </c>
      <c r="E209" s="12"/>
      <c r="F209" s="13">
        <f>"0679763309"</f>
      </c>
      <c r="G209" s="13">
        <f>"9780679763307"</f>
      </c>
      <c r="H209" s="11">
        <v>0</v>
      </c>
      <c r="I209" s="14">
        <v>4.05</v>
      </c>
      <c r="J209" s="7" t="s">
        <v>114</v>
      </c>
      <c r="K209" s="5" t="s">
        <v>60</v>
      </c>
      <c r="L209" s="11">
        <v>223</v>
      </c>
      <c r="M209" s="11">
        <v>1996</v>
      </c>
      <c r="N209" s="11">
        <v>1995</v>
      </c>
      <c r="O209" s="15"/>
      <c r="P209" s="8">
        <v>44238</v>
      </c>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4" t="s">
        <v>192</v>
      </c>
      <c r="AY209" s="5" t="s">
        <v>1086</v>
      </c>
      <c r="AZ209" s="5" t="s">
        <v>38</v>
      </c>
      <c r="BA209" s="12"/>
      <c r="BB209" s="12"/>
      <c r="BC209" s="12"/>
      <c r="BD209" s="11">
        <v>0</v>
      </c>
      <c r="BE209" s="11">
        <v>0</v>
      </c>
    </row>
    <row x14ac:dyDescent="0.25" r="210" customHeight="1" ht="17.25">
      <c r="A210" s="11">
        <v>657371</v>
      </c>
      <c r="B210" s="4" t="s">
        <v>1087</v>
      </c>
      <c r="C210" s="5" t="s">
        <v>1088</v>
      </c>
      <c r="D210" s="5" t="s">
        <v>1089</v>
      </c>
      <c r="E210" s="12"/>
      <c r="F210" s="13">
        <f>"1416913629"</f>
      </c>
      <c r="G210" s="13">
        <f>"9781416913627"</f>
      </c>
      <c r="H210" s="11">
        <v>0</v>
      </c>
      <c r="I210" s="14">
        <v>3.97</v>
      </c>
      <c r="J210" s="7" t="s">
        <v>1090</v>
      </c>
      <c r="K210" s="5" t="s">
        <v>72</v>
      </c>
      <c r="L210" s="11">
        <v>336</v>
      </c>
      <c r="M210" s="11">
        <v>2008</v>
      </c>
      <c r="N210" s="11">
        <v>2008</v>
      </c>
      <c r="O210" s="15"/>
      <c r="P210" s="8">
        <v>41035</v>
      </c>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4" t="s">
        <v>1049</v>
      </c>
      <c r="AY210" s="5" t="s">
        <v>1091</v>
      </c>
      <c r="AZ210" s="5" t="s">
        <v>38</v>
      </c>
      <c r="BA210" s="12"/>
      <c r="BB210" s="12"/>
      <c r="BC210" s="12"/>
      <c r="BD210" s="11">
        <v>0</v>
      </c>
      <c r="BE210" s="11">
        <v>0</v>
      </c>
    </row>
    <row x14ac:dyDescent="0.25" r="211" customHeight="1" ht="17.25">
      <c r="A211" s="11">
        <v>4069</v>
      </c>
      <c r="B211" s="4" t="s">
        <v>1092</v>
      </c>
      <c r="C211" s="5" t="s">
        <v>1093</v>
      </c>
      <c r="D211" s="5" t="s">
        <v>1094</v>
      </c>
      <c r="E211" s="5" t="s">
        <v>1095</v>
      </c>
      <c r="F211" s="13">
        <f>"080701429X"</f>
      </c>
      <c r="G211" s="13">
        <f>"9780807014295"</f>
      </c>
      <c r="H211" s="11">
        <v>0</v>
      </c>
      <c r="I211" s="14">
        <v>4.37</v>
      </c>
      <c r="J211" s="7" t="s">
        <v>861</v>
      </c>
      <c r="K211" s="5" t="s">
        <v>60</v>
      </c>
      <c r="L211" s="11">
        <v>165</v>
      </c>
      <c r="M211" s="11">
        <v>2006</v>
      </c>
      <c r="N211" s="11">
        <v>1959</v>
      </c>
      <c r="O211" s="15"/>
      <c r="P211" s="8">
        <v>41049</v>
      </c>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4" t="s">
        <v>1049</v>
      </c>
      <c r="AY211" s="5" t="s">
        <v>1096</v>
      </c>
      <c r="AZ211" s="5" t="s">
        <v>38</v>
      </c>
      <c r="BA211" s="12"/>
      <c r="BB211" s="12"/>
      <c r="BC211" s="12"/>
      <c r="BD211" s="11">
        <v>0</v>
      </c>
      <c r="BE211" s="11">
        <v>0</v>
      </c>
    </row>
    <row x14ac:dyDescent="0.25" r="212" customHeight="1" ht="17.25">
      <c r="A212" s="11">
        <v>241651</v>
      </c>
      <c r="B212" s="4" t="s">
        <v>1097</v>
      </c>
      <c r="C212" s="5" t="s">
        <v>1098</v>
      </c>
      <c r="D212" s="5" t="s">
        <v>1099</v>
      </c>
      <c r="E212" s="5" t="s">
        <v>1100</v>
      </c>
      <c r="F212" s="13">
        <f>"0940322129"</f>
      </c>
      <c r="G212" s="13">
        <f>"9780940322127"</f>
      </c>
      <c r="H212" s="11">
        <v>0</v>
      </c>
      <c r="I212" s="14">
        <v>3.88</v>
      </c>
      <c r="J212" s="7" t="s">
        <v>108</v>
      </c>
      <c r="K212" s="5" t="s">
        <v>60</v>
      </c>
      <c r="L212" s="11">
        <v>283</v>
      </c>
      <c r="M212" s="11">
        <v>1999</v>
      </c>
      <c r="N212" s="11">
        <v>1968</v>
      </c>
      <c r="O212" s="15"/>
      <c r="P212" s="8">
        <v>43972</v>
      </c>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4" t="s">
        <v>192</v>
      </c>
      <c r="AY212" s="5" t="s">
        <v>1101</v>
      </c>
      <c r="AZ212" s="5" t="s">
        <v>38</v>
      </c>
      <c r="BA212" s="12"/>
      <c r="BB212" s="12"/>
      <c r="BC212" s="12"/>
      <c r="BD212" s="11">
        <v>0</v>
      </c>
      <c r="BE212" s="11">
        <v>0</v>
      </c>
    </row>
    <row x14ac:dyDescent="0.25" r="213" customHeight="1" ht="17.25">
      <c r="A213" s="11">
        <v>81666</v>
      </c>
      <c r="B213" s="4" t="s">
        <v>1102</v>
      </c>
      <c r="C213" s="5" t="s">
        <v>1103</v>
      </c>
      <c r="D213" s="5" t="s">
        <v>1104</v>
      </c>
      <c r="E213" s="5" t="s">
        <v>1105</v>
      </c>
      <c r="F213" s="13">
        <f>"0306814625"</f>
      </c>
      <c r="G213" s="13">
        <f>"9780306814624"</f>
      </c>
      <c r="H213" s="11">
        <v>0</v>
      </c>
      <c r="I213" s="14">
        <v>3.9</v>
      </c>
      <c r="J213" s="7" t="s">
        <v>335</v>
      </c>
      <c r="K213" s="5" t="s">
        <v>72</v>
      </c>
      <c r="L213" s="11">
        <v>544</v>
      </c>
      <c r="M213" s="11">
        <v>2006</v>
      </c>
      <c r="N213" s="11">
        <v>2006</v>
      </c>
      <c r="O213" s="15"/>
      <c r="P213" s="8">
        <v>40978</v>
      </c>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4" t="s">
        <v>1049</v>
      </c>
      <c r="AY213" s="5" t="s">
        <v>1106</v>
      </c>
      <c r="AZ213" s="5" t="s">
        <v>38</v>
      </c>
      <c r="BA213" s="12"/>
      <c r="BB213" s="12"/>
      <c r="BC213" s="12"/>
      <c r="BD213" s="11">
        <v>0</v>
      </c>
      <c r="BE213" s="11">
        <v>0</v>
      </c>
    </row>
    <row x14ac:dyDescent="0.25" r="214" customHeight="1" ht="17.25">
      <c r="A214" s="11">
        <v>303941</v>
      </c>
      <c r="B214" s="4" t="s">
        <v>1107</v>
      </c>
      <c r="C214" s="5" t="s">
        <v>1069</v>
      </c>
      <c r="D214" s="5" t="s">
        <v>1070</v>
      </c>
      <c r="E214" s="5" t="s">
        <v>1108</v>
      </c>
      <c r="F214" s="13">
        <f>"0802136710"</f>
      </c>
      <c r="G214" s="13">
        <f>"9780802136718"</f>
      </c>
      <c r="H214" s="11">
        <v>0</v>
      </c>
      <c r="I214" s="14">
        <v>4.39</v>
      </c>
      <c r="J214" s="7" t="s">
        <v>66</v>
      </c>
      <c r="K214" s="5" t="s">
        <v>60</v>
      </c>
      <c r="L214" s="11">
        <v>287</v>
      </c>
      <c r="M214" s="11">
        <v>2000</v>
      </c>
      <c r="N214" s="11">
        <v>1998</v>
      </c>
      <c r="O214" s="15"/>
      <c r="P214" s="8">
        <v>43287</v>
      </c>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4" t="s">
        <v>1049</v>
      </c>
      <c r="AY214" s="5" t="s">
        <v>1109</v>
      </c>
      <c r="AZ214" s="5" t="s">
        <v>38</v>
      </c>
      <c r="BA214" s="12"/>
      <c r="BB214" s="12"/>
      <c r="BC214" s="12"/>
      <c r="BD214" s="11">
        <v>0</v>
      </c>
      <c r="BE214" s="11">
        <v>0</v>
      </c>
    </row>
    <row x14ac:dyDescent="0.25" r="215" customHeight="1" ht="17.25">
      <c r="A215" s="11">
        <v>39717947</v>
      </c>
      <c r="B215" s="4" t="s">
        <v>1110</v>
      </c>
      <c r="C215" s="5" t="s">
        <v>1111</v>
      </c>
      <c r="D215" s="5" t="s">
        <v>1112</v>
      </c>
      <c r="E215" s="5" t="s">
        <v>1113</v>
      </c>
      <c r="F215" s="13">
        <f>"1616959835"</f>
      </c>
      <c r="G215" s="13">
        <f>"9781616959838"</f>
      </c>
      <c r="H215" s="11">
        <v>0</v>
      </c>
      <c r="I215" s="14">
        <v>3.89</v>
      </c>
      <c r="J215" s="7" t="s">
        <v>1114</v>
      </c>
      <c r="K215" s="5" t="s">
        <v>90</v>
      </c>
      <c r="L215" s="11">
        <v>785</v>
      </c>
      <c r="M215" s="11">
        <v>2018</v>
      </c>
      <c r="N215" s="11">
        <v>2018</v>
      </c>
      <c r="O215" s="15"/>
      <c r="P215" s="8">
        <v>44310</v>
      </c>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4" t="s">
        <v>1115</v>
      </c>
      <c r="AY215" s="5" t="s">
        <v>1116</v>
      </c>
      <c r="AZ215" s="5" t="s">
        <v>38</v>
      </c>
      <c r="BA215" s="12"/>
      <c r="BB215" s="12"/>
      <c r="BC215" s="12"/>
      <c r="BD215" s="11">
        <v>0</v>
      </c>
      <c r="BE215" s="11">
        <v>0</v>
      </c>
    </row>
    <row x14ac:dyDescent="0.25" r="216" customHeight="1" ht="17.25">
      <c r="A216" s="11">
        <v>36651542</v>
      </c>
      <c r="B216" s="4" t="s">
        <v>1117</v>
      </c>
      <c r="C216" s="5" t="s">
        <v>1118</v>
      </c>
      <c r="D216" s="5" t="s">
        <v>1119</v>
      </c>
      <c r="E216" s="5" t="s">
        <v>1120</v>
      </c>
      <c r="F216" s="13">
        <f>"0198813163"</f>
      </c>
      <c r="G216" s="13">
        <f>"9780198813163"</f>
      </c>
      <c r="H216" s="11">
        <v>0</v>
      </c>
      <c r="I216" s="14">
        <v>3.91</v>
      </c>
      <c r="J216" s="7" t="s">
        <v>245</v>
      </c>
      <c r="K216" s="5" t="s">
        <v>72</v>
      </c>
      <c r="L216" s="11">
        <v>389</v>
      </c>
      <c r="M216" s="11">
        <v>2018</v>
      </c>
      <c r="N216" s="11">
        <v>1894</v>
      </c>
      <c r="O216" s="15"/>
      <c r="P216" s="8">
        <v>44265</v>
      </c>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4" t="s">
        <v>1115</v>
      </c>
      <c r="AY216" s="5" t="s">
        <v>1121</v>
      </c>
      <c r="AZ216" s="5" t="s">
        <v>38</v>
      </c>
      <c r="BA216" s="12"/>
      <c r="BB216" s="12"/>
      <c r="BC216" s="12"/>
      <c r="BD216" s="11">
        <v>0</v>
      </c>
      <c r="BE216" s="11">
        <v>0</v>
      </c>
    </row>
    <row x14ac:dyDescent="0.25" r="217" customHeight="1" ht="17.25">
      <c r="A217" s="11">
        <v>35135343</v>
      </c>
      <c r="B217" s="4" t="s">
        <v>1122</v>
      </c>
      <c r="C217" s="5" t="s">
        <v>1123</v>
      </c>
      <c r="D217" s="5" t="s">
        <v>1124</v>
      </c>
      <c r="E217" s="12"/>
      <c r="F217" s="13">
        <f>"0812988639"</f>
      </c>
      <c r="G217" s="13">
        <f>"9780812988635"</f>
      </c>
      <c r="H217" s="11">
        <v>0</v>
      </c>
      <c r="I217" s="14">
        <v>3.93</v>
      </c>
      <c r="J217" s="7" t="s">
        <v>1018</v>
      </c>
      <c r="K217" s="5" t="s">
        <v>72</v>
      </c>
      <c r="L217" s="11">
        <v>207</v>
      </c>
      <c r="M217" s="11">
        <v>2018</v>
      </c>
      <c r="N217" s="11">
        <v>2018</v>
      </c>
      <c r="O217" s="15"/>
      <c r="P217" s="8">
        <v>44416</v>
      </c>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4" t="s">
        <v>1115</v>
      </c>
      <c r="AY217" s="5" t="s">
        <v>1125</v>
      </c>
      <c r="AZ217" s="5" t="s">
        <v>38</v>
      </c>
      <c r="BA217" s="12"/>
      <c r="BB217" s="12"/>
      <c r="BC217" s="12"/>
      <c r="BD217" s="11">
        <v>0</v>
      </c>
      <c r="BE217" s="11">
        <v>0</v>
      </c>
    </row>
    <row x14ac:dyDescent="0.25" r="218" customHeight="1" ht="17.25">
      <c r="A218" s="11">
        <v>114475</v>
      </c>
      <c r="B218" s="4" t="s">
        <v>1126</v>
      </c>
      <c r="C218" s="5" t="s">
        <v>1127</v>
      </c>
      <c r="D218" s="5" t="s">
        <v>1128</v>
      </c>
      <c r="E218" s="12"/>
      <c r="F218" s="13">
        <f>"0679722211"</f>
      </c>
      <c r="G218" s="13">
        <f>"9780679722212"</f>
      </c>
      <c r="H218" s="11">
        <v>0</v>
      </c>
      <c r="I218" s="14">
        <v>4.05</v>
      </c>
      <c r="J218" s="7" t="s">
        <v>1129</v>
      </c>
      <c r="K218" s="5" t="s">
        <v>60</v>
      </c>
      <c r="L218" s="11">
        <v>230</v>
      </c>
      <c r="M218" s="11">
        <v>1989</v>
      </c>
      <c r="N218" s="11">
        <v>1962</v>
      </c>
      <c r="O218" s="15"/>
      <c r="P218" s="8">
        <v>44255</v>
      </c>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4" t="s">
        <v>1115</v>
      </c>
      <c r="AY218" s="5" t="s">
        <v>1130</v>
      </c>
      <c r="AZ218" s="5" t="s">
        <v>38</v>
      </c>
      <c r="BA218" s="12"/>
      <c r="BB218" s="12"/>
      <c r="BC218" s="12"/>
      <c r="BD218" s="11">
        <v>0</v>
      </c>
      <c r="BE218" s="11">
        <v>0</v>
      </c>
    </row>
    <row x14ac:dyDescent="0.25" r="219" customHeight="1" ht="17.25">
      <c r="A219" s="11">
        <v>13641208</v>
      </c>
      <c r="B219" s="4" t="s">
        <v>1131</v>
      </c>
      <c r="C219" s="5" t="s">
        <v>1132</v>
      </c>
      <c r="D219" s="5" t="s">
        <v>1133</v>
      </c>
      <c r="E219" s="12"/>
      <c r="F219" s="13">
        <f>"0812993802"</f>
      </c>
      <c r="G219" s="13">
        <f>"9780812993806"</f>
      </c>
      <c r="H219" s="11">
        <v>0</v>
      </c>
      <c r="I219" s="14">
        <v>3.98</v>
      </c>
      <c r="J219" s="7" t="s">
        <v>1018</v>
      </c>
      <c r="K219" s="5" t="s">
        <v>72</v>
      </c>
      <c r="L219" s="11">
        <v>251</v>
      </c>
      <c r="M219" s="11">
        <v>2013</v>
      </c>
      <c r="N219" s="11">
        <v>2013</v>
      </c>
      <c r="O219" s="15"/>
      <c r="P219" s="8">
        <v>44229</v>
      </c>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4" t="s">
        <v>1115</v>
      </c>
      <c r="AY219" s="5" t="s">
        <v>1134</v>
      </c>
      <c r="AZ219" s="5" t="s">
        <v>38</v>
      </c>
      <c r="BA219" s="12"/>
      <c r="BB219" s="12"/>
      <c r="BC219" s="12"/>
      <c r="BD219" s="11">
        <v>0</v>
      </c>
      <c r="BE219" s="11">
        <v>0</v>
      </c>
    </row>
    <row x14ac:dyDescent="0.25" r="220" customHeight="1" ht="17.25">
      <c r="A220" s="11">
        <v>23197318</v>
      </c>
      <c r="B220" s="4" t="s">
        <v>1135</v>
      </c>
      <c r="C220" s="5" t="s">
        <v>1136</v>
      </c>
      <c r="D220" s="5" t="s">
        <v>1137</v>
      </c>
      <c r="E220" s="5" t="s">
        <v>1138</v>
      </c>
      <c r="F220" s="13">
        <f>"0316378267"</f>
      </c>
      <c r="G220" s="13">
        <f>"9780316378260"</f>
      </c>
      <c r="H220" s="11">
        <v>0</v>
      </c>
      <c r="I220" s="14">
        <v>3.84</v>
      </c>
      <c r="J220" s="7" t="s">
        <v>411</v>
      </c>
      <c r="K220" s="5" t="s">
        <v>72</v>
      </c>
      <c r="L220" s="11">
        <v>544</v>
      </c>
      <c r="M220" s="11">
        <v>2015</v>
      </c>
      <c r="N220" s="11">
        <v>1968</v>
      </c>
      <c r="O220" s="15"/>
      <c r="P220" s="9">
        <v>44157</v>
      </c>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4" t="s">
        <v>1115</v>
      </c>
      <c r="AY220" s="5" t="s">
        <v>1139</v>
      </c>
      <c r="AZ220" s="5" t="s">
        <v>38</v>
      </c>
      <c r="BA220" s="12"/>
      <c r="BB220" s="12"/>
      <c r="BC220" s="12"/>
      <c r="BD220" s="11">
        <v>0</v>
      </c>
      <c r="BE220" s="11">
        <v>0</v>
      </c>
    </row>
    <row x14ac:dyDescent="0.25" r="221" customHeight="1" ht="17.25">
      <c r="A221" s="11">
        <v>25664490</v>
      </c>
      <c r="B221" s="4" t="s">
        <v>1140</v>
      </c>
      <c r="C221" s="5" t="s">
        <v>1141</v>
      </c>
      <c r="D221" s="5" t="s">
        <v>1142</v>
      </c>
      <c r="E221" s="12"/>
      <c r="F221" s="13">
        <f>"0374293864"</f>
      </c>
      <c r="G221" s="13">
        <f>"9780374293864"</f>
      </c>
      <c r="H221" s="11">
        <v>0</v>
      </c>
      <c r="I221" s="14">
        <v>3.39</v>
      </c>
      <c r="J221" s="7" t="s">
        <v>1143</v>
      </c>
      <c r="K221" s="5" t="s">
        <v>60</v>
      </c>
      <c r="L221" s="11">
        <v>208</v>
      </c>
      <c r="M221" s="11">
        <v>2016</v>
      </c>
      <c r="N221" s="11">
        <v>2016</v>
      </c>
      <c r="O221" s="15"/>
      <c r="P221" s="8">
        <v>44199</v>
      </c>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4" t="s">
        <v>1115</v>
      </c>
      <c r="AY221" s="5" t="s">
        <v>1144</v>
      </c>
      <c r="AZ221" s="5" t="s">
        <v>38</v>
      </c>
      <c r="BA221" s="12"/>
      <c r="BB221" s="12"/>
      <c r="BC221" s="12"/>
      <c r="BD221" s="11">
        <v>0</v>
      </c>
      <c r="BE221" s="11">
        <v>0</v>
      </c>
    </row>
    <row x14ac:dyDescent="0.25" r="222" customHeight="1" ht="17.25">
      <c r="A222" s="11">
        <v>49073851</v>
      </c>
      <c r="B222" s="4" t="s">
        <v>1145</v>
      </c>
      <c r="C222" s="5" t="s">
        <v>1146</v>
      </c>
      <c r="D222" s="5" t="s">
        <v>1147</v>
      </c>
      <c r="E222" s="5" t="s">
        <v>1148</v>
      </c>
      <c r="F222" s="13">
        <f>""</f>
      </c>
      <c r="G222" s="13">
        <f>""</f>
      </c>
      <c r="H222" s="11">
        <v>0</v>
      </c>
      <c r="I222" s="11">
        <v>4</v>
      </c>
      <c r="J222" s="7" t="s">
        <v>1149</v>
      </c>
      <c r="K222" s="5" t="s">
        <v>90</v>
      </c>
      <c r="L222" s="11">
        <v>320</v>
      </c>
      <c r="M222" s="11">
        <v>2020</v>
      </c>
      <c r="N222" s="11">
        <v>2005</v>
      </c>
      <c r="O222" s="15"/>
      <c r="P222" s="8">
        <v>44226</v>
      </c>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4" t="s">
        <v>1115</v>
      </c>
      <c r="AY222" s="5" t="s">
        <v>1150</v>
      </c>
      <c r="AZ222" s="5" t="s">
        <v>38</v>
      </c>
      <c r="BA222" s="12"/>
      <c r="BB222" s="12"/>
      <c r="BC222" s="12"/>
      <c r="BD222" s="11">
        <v>0</v>
      </c>
      <c r="BE222" s="11">
        <v>0</v>
      </c>
    </row>
    <row x14ac:dyDescent="0.25" r="223" customHeight="1" ht="17.25">
      <c r="A223" s="11">
        <v>55251789</v>
      </c>
      <c r="B223" s="4" t="s">
        <v>1151</v>
      </c>
      <c r="C223" s="5" t="s">
        <v>1152</v>
      </c>
      <c r="D223" s="5" t="s">
        <v>1153</v>
      </c>
      <c r="E223" s="5" t="s">
        <v>1154</v>
      </c>
      <c r="F223" s="13">
        <f>"1788739884"</f>
      </c>
      <c r="G223" s="13">
        <f>"9781788739887"</f>
      </c>
      <c r="H223" s="11">
        <v>0</v>
      </c>
      <c r="I223" s="14">
        <v>3.61</v>
      </c>
      <c r="J223" s="7" t="s">
        <v>1155</v>
      </c>
      <c r="K223" s="5" t="s">
        <v>60</v>
      </c>
      <c r="L223" s="11">
        <v>218</v>
      </c>
      <c r="M223" s="11">
        <v>2021</v>
      </c>
      <c r="N223" s="11">
        <v>2021</v>
      </c>
      <c r="O223" s="15"/>
      <c r="P223" s="8">
        <v>44216</v>
      </c>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4" t="s">
        <v>1156</v>
      </c>
      <c r="AY223" s="5" t="s">
        <v>1157</v>
      </c>
      <c r="AZ223" s="5" t="s">
        <v>38</v>
      </c>
      <c r="BA223" s="12"/>
      <c r="BB223" s="12"/>
      <c r="BC223" s="12"/>
      <c r="BD223" s="11">
        <v>0</v>
      </c>
      <c r="BE223" s="11">
        <v>0</v>
      </c>
    </row>
    <row x14ac:dyDescent="0.25" r="224" customHeight="1" ht="17.25">
      <c r="A224" s="11">
        <v>410434</v>
      </c>
      <c r="B224" s="4" t="s">
        <v>1158</v>
      </c>
      <c r="C224" s="5" t="s">
        <v>1159</v>
      </c>
      <c r="D224" s="5" t="s">
        <v>1160</v>
      </c>
      <c r="E224" s="12"/>
      <c r="F224" s="13">
        <f>"0312200412"</f>
      </c>
      <c r="G224" s="13">
        <f>"9780312200411"</f>
      </c>
      <c r="H224" s="11">
        <v>0</v>
      </c>
      <c r="I224" s="14">
        <v>3.74</v>
      </c>
      <c r="J224" s="7" t="s">
        <v>975</v>
      </c>
      <c r="K224" s="5" t="s">
        <v>72</v>
      </c>
      <c r="L224" s="11">
        <v>208</v>
      </c>
      <c r="M224" s="11">
        <v>1999</v>
      </c>
      <c r="N224" s="11">
        <v>1999</v>
      </c>
      <c r="O224" s="15"/>
      <c r="P224" s="8">
        <v>43935</v>
      </c>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4" t="s">
        <v>1115</v>
      </c>
      <c r="AY224" s="5" t="s">
        <v>1161</v>
      </c>
      <c r="AZ224" s="5" t="s">
        <v>38</v>
      </c>
      <c r="BA224" s="12"/>
      <c r="BB224" s="12"/>
      <c r="BC224" s="12"/>
      <c r="BD224" s="11">
        <v>0</v>
      </c>
      <c r="BE224" s="11">
        <v>0</v>
      </c>
    </row>
    <row x14ac:dyDescent="0.25" r="225" customHeight="1" ht="17.25">
      <c r="A225" s="11">
        <v>40078217</v>
      </c>
      <c r="B225" s="4" t="s">
        <v>1162</v>
      </c>
      <c r="C225" s="5" t="s">
        <v>1163</v>
      </c>
      <c r="D225" s="5" t="s">
        <v>1164</v>
      </c>
      <c r="E225" s="5" t="s">
        <v>1165</v>
      </c>
      <c r="F225" s="13">
        <f>"9504656013"</f>
      </c>
      <c r="G225" s="13">
        <f>"9789504656012"</f>
      </c>
      <c r="H225" s="11">
        <v>0</v>
      </c>
      <c r="I225" s="14">
        <v>3.29</v>
      </c>
      <c r="J225" s="7" t="s">
        <v>1166</v>
      </c>
      <c r="K225" s="5" t="s">
        <v>60</v>
      </c>
      <c r="L225" s="11">
        <v>120</v>
      </c>
      <c r="M225" s="11">
        <v>2018</v>
      </c>
      <c r="N225" s="16"/>
      <c r="O225" s="15"/>
      <c r="P225" s="8">
        <v>43969</v>
      </c>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4" t="s">
        <v>1115</v>
      </c>
      <c r="AY225" s="5" t="s">
        <v>1167</v>
      </c>
      <c r="AZ225" s="5" t="s">
        <v>38</v>
      </c>
      <c r="BA225" s="12"/>
      <c r="BB225" s="12"/>
      <c r="BC225" s="12"/>
      <c r="BD225" s="11">
        <v>0</v>
      </c>
      <c r="BE225" s="11">
        <v>0</v>
      </c>
    </row>
    <row x14ac:dyDescent="0.25" r="226" customHeight="1" ht="17.25">
      <c r="A226" s="11">
        <v>8338487</v>
      </c>
      <c r="B226" s="4" t="s">
        <v>1168</v>
      </c>
      <c r="C226" s="5" t="s">
        <v>1169</v>
      </c>
      <c r="D226" s="5" t="s">
        <v>1170</v>
      </c>
      <c r="E226" s="12"/>
      <c r="F226" s="13">
        <f>"9500729970"</f>
      </c>
      <c r="G226" s="13">
        <f>"9789500729970"</f>
      </c>
      <c r="H226" s="11">
        <v>0</v>
      </c>
      <c r="I226" s="14">
        <v>4.1</v>
      </c>
      <c r="J226" s="7" t="s">
        <v>1171</v>
      </c>
      <c r="K226" s="5" t="s">
        <v>60</v>
      </c>
      <c r="L226" s="11">
        <v>192</v>
      </c>
      <c r="M226" s="11">
        <v>2008</v>
      </c>
      <c r="N226" s="11">
        <v>1948</v>
      </c>
      <c r="O226" s="15"/>
      <c r="P226" s="8">
        <v>43970</v>
      </c>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4" t="s">
        <v>1115</v>
      </c>
      <c r="AY226" s="5" t="s">
        <v>1172</v>
      </c>
      <c r="AZ226" s="5" t="s">
        <v>38</v>
      </c>
      <c r="BA226" s="12"/>
      <c r="BB226" s="12"/>
      <c r="BC226" s="12"/>
      <c r="BD226" s="11">
        <v>0</v>
      </c>
      <c r="BE226" s="11">
        <v>0</v>
      </c>
    </row>
    <row x14ac:dyDescent="0.25" r="227" customHeight="1" ht="17.25">
      <c r="A227" s="11">
        <v>28787166</v>
      </c>
      <c r="B227" s="4" t="s">
        <v>1173</v>
      </c>
      <c r="C227" s="5" t="s">
        <v>1174</v>
      </c>
      <c r="D227" s="5" t="s">
        <v>1175</v>
      </c>
      <c r="E227" s="12"/>
      <c r="F227" s="13">
        <f>"8433998064"</f>
      </c>
      <c r="G227" s="13">
        <f>"9788433998064"</f>
      </c>
      <c r="H227" s="11">
        <v>0</v>
      </c>
      <c r="I227" s="14">
        <v>4.07</v>
      </c>
      <c r="J227" s="7" t="s">
        <v>1176</v>
      </c>
      <c r="K227" s="5" t="s">
        <v>60</v>
      </c>
      <c r="L227" s="11">
        <v>200</v>
      </c>
      <c r="M227" s="11">
        <v>2016</v>
      </c>
      <c r="N227" s="11">
        <v>2016</v>
      </c>
      <c r="O227" s="15"/>
      <c r="P227" s="8">
        <v>43922</v>
      </c>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4" t="s">
        <v>1115</v>
      </c>
      <c r="AY227" s="5" t="s">
        <v>1177</v>
      </c>
      <c r="AZ227" s="5" t="s">
        <v>38</v>
      </c>
      <c r="BA227" s="12"/>
      <c r="BB227" s="12"/>
      <c r="BC227" s="12"/>
      <c r="BD227" s="11">
        <v>0</v>
      </c>
      <c r="BE227" s="11">
        <v>0</v>
      </c>
    </row>
    <row x14ac:dyDescent="0.25" r="228" customHeight="1" ht="17.25">
      <c r="A228" s="11">
        <v>18920469</v>
      </c>
      <c r="B228" s="4" t="s">
        <v>1178</v>
      </c>
      <c r="C228" s="5" t="s">
        <v>1179</v>
      </c>
      <c r="D228" s="5" t="s">
        <v>1180</v>
      </c>
      <c r="E228" s="12"/>
      <c r="F228" s="13">
        <f>""</f>
      </c>
      <c r="G228" s="13">
        <f>""</f>
      </c>
      <c r="H228" s="11">
        <v>4</v>
      </c>
      <c r="I228" s="14">
        <v>4.05</v>
      </c>
      <c r="J228" s="7" t="s">
        <v>114</v>
      </c>
      <c r="K228" s="5" t="s">
        <v>90</v>
      </c>
      <c r="L228" s="11">
        <v>185</v>
      </c>
      <c r="M228" s="11">
        <v>2013</v>
      </c>
      <c r="N228" s="11">
        <v>1991</v>
      </c>
      <c r="O228" s="15"/>
      <c r="P228" s="8">
        <v>42803</v>
      </c>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4" t="s">
        <v>36</v>
      </c>
      <c r="AY228" s="5" t="s">
        <v>1181</v>
      </c>
      <c r="AZ228" s="5" t="s">
        <v>158</v>
      </c>
      <c r="BA228" s="12"/>
      <c r="BB228" s="12"/>
      <c r="BC228" s="12"/>
      <c r="BD228" s="11">
        <v>1</v>
      </c>
      <c r="BE228" s="11">
        <v>0</v>
      </c>
    </row>
    <row x14ac:dyDescent="0.25" r="229" customHeight="1" ht="17.25">
      <c r="A229" s="11">
        <v>8967259</v>
      </c>
      <c r="B229" s="4" t="s">
        <v>1182</v>
      </c>
      <c r="C229" s="5" t="s">
        <v>57</v>
      </c>
      <c r="D229" s="5" t="s">
        <v>58</v>
      </c>
      <c r="E229" s="12"/>
      <c r="F229" s="13">
        <f>"1564786021"</f>
      </c>
      <c r="G229" s="13">
        <f>"9781564786029"</f>
      </c>
      <c r="H229" s="11">
        <v>0</v>
      </c>
      <c r="I229" s="14">
        <v>3.72</v>
      </c>
      <c r="J229" s="7" t="s">
        <v>59</v>
      </c>
      <c r="K229" s="5" t="s">
        <v>60</v>
      </c>
      <c r="L229" s="11">
        <v>293</v>
      </c>
      <c r="M229" s="11">
        <v>2011</v>
      </c>
      <c r="N229" s="11">
        <v>2011</v>
      </c>
      <c r="O229" s="15"/>
      <c r="P229" s="8">
        <v>41763</v>
      </c>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4" t="s">
        <v>1115</v>
      </c>
      <c r="AY229" s="5" t="s">
        <v>1183</v>
      </c>
      <c r="AZ229" s="5" t="s">
        <v>38</v>
      </c>
      <c r="BA229" s="12"/>
      <c r="BB229" s="12"/>
      <c r="BC229" s="12"/>
      <c r="BD229" s="11">
        <v>0</v>
      </c>
      <c r="BE229" s="11">
        <v>0</v>
      </c>
    </row>
    <row x14ac:dyDescent="0.25" r="230" customHeight="1" ht="17.25">
      <c r="A230" s="11">
        <v>17934654</v>
      </c>
      <c r="B230" s="4" t="s">
        <v>1184</v>
      </c>
      <c r="C230" s="5" t="s">
        <v>1185</v>
      </c>
      <c r="D230" s="5" t="s">
        <v>1186</v>
      </c>
      <c r="E230" s="5" t="s">
        <v>1187</v>
      </c>
      <c r="F230" s="13">
        <f>"1555976654"</f>
      </c>
      <c r="G230" s="13">
        <f>"9781555976651"</f>
      </c>
      <c r="H230" s="11">
        <v>0</v>
      </c>
      <c r="I230" s="14">
        <v>3.58</v>
      </c>
      <c r="J230" s="7" t="s">
        <v>1001</v>
      </c>
      <c r="K230" s="5" t="s">
        <v>60</v>
      </c>
      <c r="L230" s="11">
        <v>104</v>
      </c>
      <c r="M230" s="11">
        <v>2014</v>
      </c>
      <c r="N230" s="11">
        <v>2008</v>
      </c>
      <c r="O230" s="15"/>
      <c r="P230" s="8">
        <v>41675</v>
      </c>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4" t="s">
        <v>1115</v>
      </c>
      <c r="AY230" s="5" t="s">
        <v>1188</v>
      </c>
      <c r="AZ230" s="5" t="s">
        <v>38</v>
      </c>
      <c r="BA230" s="12"/>
      <c r="BB230" s="12"/>
      <c r="BC230" s="12"/>
      <c r="BD230" s="11">
        <v>0</v>
      </c>
      <c r="BE230" s="11">
        <v>0</v>
      </c>
    </row>
    <row x14ac:dyDescent="0.25" r="231" customHeight="1" ht="17.25">
      <c r="A231" s="11">
        <v>676920</v>
      </c>
      <c r="B231" s="4" t="s">
        <v>1189</v>
      </c>
      <c r="C231" s="5" t="s">
        <v>1190</v>
      </c>
      <c r="D231" s="5" t="s">
        <v>1191</v>
      </c>
      <c r="E231" s="12"/>
      <c r="F231" s="13">
        <f>"1880985268"</f>
      </c>
      <c r="G231" s="13">
        <f>"9781880985267"</f>
      </c>
      <c r="H231" s="11">
        <v>0</v>
      </c>
      <c r="I231" s="14">
        <v>3.73</v>
      </c>
      <c r="J231" s="7">
        <v>22325</v>
      </c>
      <c r="K231" s="5" t="s">
        <v>60</v>
      </c>
      <c r="L231" s="11">
        <v>233</v>
      </c>
      <c r="M231" s="11">
        <v>1995</v>
      </c>
      <c r="N231" s="11">
        <v>1995</v>
      </c>
      <c r="O231" s="15"/>
      <c r="P231" s="8">
        <v>40953</v>
      </c>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4" t="s">
        <v>1115</v>
      </c>
      <c r="AY231" s="5" t="s">
        <v>1192</v>
      </c>
      <c r="AZ231" s="5" t="s">
        <v>38</v>
      </c>
      <c r="BA231" s="12"/>
      <c r="BB231" s="12"/>
      <c r="BC231" s="12"/>
      <c r="BD231" s="11">
        <v>0</v>
      </c>
      <c r="BE231" s="11">
        <v>0</v>
      </c>
    </row>
    <row x14ac:dyDescent="0.25" r="232" customHeight="1" ht="17.25">
      <c r="A232" s="11">
        <v>148305</v>
      </c>
      <c r="B232" s="4" t="s">
        <v>1193</v>
      </c>
      <c r="C232" s="5" t="s">
        <v>1194</v>
      </c>
      <c r="D232" s="5" t="s">
        <v>1195</v>
      </c>
      <c r="E232" s="5" t="s">
        <v>1196</v>
      </c>
      <c r="F232" s="13">
        <f>"0671478052"</f>
      </c>
      <c r="G232" s="13">
        <f>"9780671478056"</f>
      </c>
      <c r="H232" s="11">
        <v>0</v>
      </c>
      <c r="I232" s="14">
        <v>4.01</v>
      </c>
      <c r="J232" s="7" t="s">
        <v>1197</v>
      </c>
      <c r="K232" s="5" t="s">
        <v>60</v>
      </c>
      <c r="L232" s="11">
        <v>170</v>
      </c>
      <c r="M232" s="11">
        <v>1967</v>
      </c>
      <c r="N232" s="11">
        <v>-458</v>
      </c>
      <c r="O232" s="15"/>
      <c r="P232" s="8">
        <v>45113</v>
      </c>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4" t="s">
        <v>1198</v>
      </c>
      <c r="AY232" s="5" t="s">
        <v>1199</v>
      </c>
      <c r="AZ232" s="5" t="s">
        <v>38</v>
      </c>
      <c r="BA232" s="12"/>
      <c r="BB232" s="12"/>
      <c r="BC232" s="12"/>
      <c r="BD232" s="11">
        <v>0</v>
      </c>
      <c r="BE232" s="11">
        <v>0</v>
      </c>
    </row>
    <row x14ac:dyDescent="0.25" r="233" customHeight="1" ht="17.25">
      <c r="A233" s="11">
        <v>63876556</v>
      </c>
      <c r="B233" s="4" t="s">
        <v>1200</v>
      </c>
      <c r="C233" s="5" t="s">
        <v>281</v>
      </c>
      <c r="D233" s="5" t="s">
        <v>282</v>
      </c>
      <c r="E233" s="5" t="s">
        <v>1201</v>
      </c>
      <c r="F233" s="13">
        <f>"0593311272"</f>
      </c>
      <c r="G233" s="13">
        <f>"9780593311271"</f>
      </c>
      <c r="H233" s="11">
        <v>0</v>
      </c>
      <c r="I233" s="14">
        <v>4.06</v>
      </c>
      <c r="J233" s="7" t="s">
        <v>114</v>
      </c>
      <c r="K233" s="5" t="s">
        <v>60</v>
      </c>
      <c r="L233" s="11">
        <v>592</v>
      </c>
      <c r="M233" s="11">
        <v>2023</v>
      </c>
      <c r="N233" s="11">
        <v>1949</v>
      </c>
      <c r="O233" s="15"/>
      <c r="P233" s="8">
        <v>45099</v>
      </c>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4" t="s">
        <v>1202</v>
      </c>
      <c r="AY233" s="5" t="s">
        <v>1203</v>
      </c>
      <c r="AZ233" s="5" t="s">
        <v>38</v>
      </c>
      <c r="BA233" s="12"/>
      <c r="BB233" s="12"/>
      <c r="BC233" s="12"/>
      <c r="BD233" s="11">
        <v>0</v>
      </c>
      <c r="BE233" s="11">
        <v>0</v>
      </c>
    </row>
    <row x14ac:dyDescent="0.25" r="234" customHeight="1" ht="17.25">
      <c r="A234" s="11">
        <v>20694759</v>
      </c>
      <c r="B234" s="4" t="s">
        <v>1204</v>
      </c>
      <c r="C234" s="5" t="s">
        <v>508</v>
      </c>
      <c r="D234" s="5" t="s">
        <v>509</v>
      </c>
      <c r="E234" s="5" t="s">
        <v>1205</v>
      </c>
      <c r="F234" s="13">
        <f>"022620362X"</f>
      </c>
      <c r="G234" s="13">
        <f>"9780226203621"</f>
      </c>
      <c r="H234" s="11">
        <v>0</v>
      </c>
      <c r="I234" s="14">
        <v>3.95</v>
      </c>
      <c r="J234" s="7" t="s">
        <v>255</v>
      </c>
      <c r="K234" s="5" t="s">
        <v>60</v>
      </c>
      <c r="L234" s="11">
        <v>74</v>
      </c>
      <c r="M234" s="11">
        <v>2014</v>
      </c>
      <c r="N234" s="11">
        <v>-414</v>
      </c>
      <c r="O234" s="15"/>
      <c r="P234" s="8">
        <v>45102</v>
      </c>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4" t="s">
        <v>1198</v>
      </c>
      <c r="AY234" s="5" t="s">
        <v>1206</v>
      </c>
      <c r="AZ234" s="5" t="s">
        <v>38</v>
      </c>
      <c r="BA234" s="12"/>
      <c r="BB234" s="12"/>
      <c r="BC234" s="12"/>
      <c r="BD234" s="11">
        <v>0</v>
      </c>
      <c r="BE234" s="11">
        <v>0</v>
      </c>
    </row>
    <row x14ac:dyDescent="0.25" r="235" customHeight="1" ht="17.25">
      <c r="A235" s="11">
        <v>7812408</v>
      </c>
      <c r="B235" s="4" t="s">
        <v>1207</v>
      </c>
      <c r="C235" s="5" t="s">
        <v>669</v>
      </c>
      <c r="D235" s="5" t="s">
        <v>670</v>
      </c>
      <c r="E235" s="5" t="s">
        <v>1208</v>
      </c>
      <c r="F235" s="13">
        <f>"086547916X"</f>
      </c>
      <c r="G235" s="13">
        <f>"9780865479166"</f>
      </c>
      <c r="H235" s="11">
        <v>0</v>
      </c>
      <c r="I235" s="14">
        <v>4.39</v>
      </c>
      <c r="J235" s="7" t="s">
        <v>120</v>
      </c>
      <c r="K235" s="5" t="s">
        <v>60</v>
      </c>
      <c r="L235" s="11">
        <v>272</v>
      </c>
      <c r="M235" s="11">
        <v>2009</v>
      </c>
      <c r="N235" s="11">
        <v>2009</v>
      </c>
      <c r="O235" s="15"/>
      <c r="P235" s="8">
        <v>45102</v>
      </c>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4" t="s">
        <v>1198</v>
      </c>
      <c r="AY235" s="5" t="s">
        <v>1209</v>
      </c>
      <c r="AZ235" s="5" t="s">
        <v>38</v>
      </c>
      <c r="BA235" s="12"/>
      <c r="BB235" s="12"/>
      <c r="BC235" s="12"/>
      <c r="BD235" s="11">
        <v>0</v>
      </c>
      <c r="BE235" s="11">
        <v>0</v>
      </c>
    </row>
    <row x14ac:dyDescent="0.25" r="236" customHeight="1" ht="17.25">
      <c r="A236" s="11">
        <v>55745602</v>
      </c>
      <c r="B236" s="4" t="s">
        <v>1210</v>
      </c>
      <c r="C236" s="5" t="s">
        <v>508</v>
      </c>
      <c r="D236" s="5" t="s">
        <v>509</v>
      </c>
      <c r="E236" s="5" t="s">
        <v>1211</v>
      </c>
      <c r="F236" s="13">
        <f>"0811230791"</f>
      </c>
      <c r="G236" s="13">
        <f>"9780811230797"</f>
      </c>
      <c r="H236" s="11">
        <v>0</v>
      </c>
      <c r="I236" s="14">
        <v>3.89</v>
      </c>
      <c r="J236" s="7" t="s">
        <v>126</v>
      </c>
      <c r="K236" s="5" t="s">
        <v>72</v>
      </c>
      <c r="L236" s="11">
        <v>96</v>
      </c>
      <c r="M236" s="11">
        <v>2021</v>
      </c>
      <c r="N236" s="16"/>
      <c r="O236" s="15"/>
      <c r="P236" s="8">
        <v>45102</v>
      </c>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4" t="s">
        <v>1198</v>
      </c>
      <c r="AY236" s="5" t="s">
        <v>1212</v>
      </c>
      <c r="AZ236" s="5" t="s">
        <v>38</v>
      </c>
      <c r="BA236" s="12"/>
      <c r="BB236" s="12"/>
      <c r="BC236" s="12"/>
      <c r="BD236" s="11">
        <v>0</v>
      </c>
      <c r="BE236" s="11">
        <v>0</v>
      </c>
    </row>
    <row x14ac:dyDescent="0.25" r="237" customHeight="1" ht="17.25">
      <c r="A237" s="11">
        <v>1291106</v>
      </c>
      <c r="B237" s="4" t="s">
        <v>1213</v>
      </c>
      <c r="C237" s="5" t="s">
        <v>508</v>
      </c>
      <c r="D237" s="5" t="s">
        <v>509</v>
      </c>
      <c r="E237" s="5" t="s">
        <v>1214</v>
      </c>
      <c r="F237" s="13">
        <f>"019507288X"</f>
      </c>
      <c r="G237" s="13">
        <f>"9780195072884"</f>
      </c>
      <c r="H237" s="11">
        <v>0</v>
      </c>
      <c r="I237" s="14">
        <v>3.2</v>
      </c>
      <c r="J237" s="7" t="s">
        <v>1215</v>
      </c>
      <c r="K237" s="5" t="s">
        <v>60</v>
      </c>
      <c r="L237" s="11">
        <v>85</v>
      </c>
      <c r="M237" s="11">
        <v>1991</v>
      </c>
      <c r="N237" s="11">
        <v>-430</v>
      </c>
      <c r="O237" s="15"/>
      <c r="P237" s="8">
        <v>45111</v>
      </c>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4" t="s">
        <v>1198</v>
      </c>
      <c r="AY237" s="5" t="s">
        <v>1216</v>
      </c>
      <c r="AZ237" s="5" t="s">
        <v>38</v>
      </c>
      <c r="BA237" s="12"/>
      <c r="BB237" s="12"/>
      <c r="BC237" s="12"/>
      <c r="BD237" s="11">
        <v>0</v>
      </c>
      <c r="BE237" s="11">
        <v>0</v>
      </c>
    </row>
    <row x14ac:dyDescent="0.25" r="238" customHeight="1" ht="17.25">
      <c r="A238" s="11">
        <v>150254</v>
      </c>
      <c r="B238" s="4" t="s">
        <v>525</v>
      </c>
      <c r="C238" s="5" t="s">
        <v>633</v>
      </c>
      <c r="D238" s="5" t="s">
        <v>634</v>
      </c>
      <c r="E238" s="5" t="s">
        <v>1217</v>
      </c>
      <c r="F238" s="13">
        <f>"0195049608"</f>
      </c>
      <c r="G238" s="13">
        <f>"9780195049602"</f>
      </c>
      <c r="H238" s="11">
        <v>0</v>
      </c>
      <c r="I238" s="14">
        <v>3.81</v>
      </c>
      <c r="J238" s="7" t="s">
        <v>245</v>
      </c>
      <c r="K238" s="5" t="s">
        <v>60</v>
      </c>
      <c r="L238" s="11">
        <v>138</v>
      </c>
      <c r="M238" s="11">
        <v>2001</v>
      </c>
      <c r="N238" s="11">
        <v>-410</v>
      </c>
      <c r="O238" s="15"/>
      <c r="P238" s="8">
        <v>45102</v>
      </c>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4" t="s">
        <v>1198</v>
      </c>
      <c r="AY238" s="5" t="s">
        <v>1218</v>
      </c>
      <c r="AZ238" s="5" t="s">
        <v>38</v>
      </c>
      <c r="BA238" s="12"/>
      <c r="BB238" s="12"/>
      <c r="BC238" s="12"/>
      <c r="BD238" s="11">
        <v>0</v>
      </c>
      <c r="BE238" s="11">
        <v>0</v>
      </c>
    </row>
    <row x14ac:dyDescent="0.25" r="239" customHeight="1" ht="17.25">
      <c r="A239" s="11">
        <v>334286</v>
      </c>
      <c r="B239" s="4" t="s">
        <v>1219</v>
      </c>
      <c r="C239" s="5" t="s">
        <v>1220</v>
      </c>
      <c r="D239" s="5" t="s">
        <v>1221</v>
      </c>
      <c r="E239" s="12"/>
      <c r="F239" s="13">
        <f>"0140260706"</f>
      </c>
      <c r="G239" s="13">
        <f>"9780140260700"</f>
      </c>
      <c r="H239" s="11">
        <v>0</v>
      </c>
      <c r="I239" s="14">
        <v>3.91</v>
      </c>
      <c r="J239" s="7" t="s">
        <v>491</v>
      </c>
      <c r="K239" s="5" t="s">
        <v>60</v>
      </c>
      <c r="L239" s="11">
        <v>112</v>
      </c>
      <c r="M239" s="11">
        <v>1984</v>
      </c>
      <c r="N239" s="11">
        <v>1973</v>
      </c>
      <c r="O239" s="15"/>
      <c r="P239" s="9">
        <v>42334</v>
      </c>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4" t="s">
        <v>1202</v>
      </c>
      <c r="AY239" s="5" t="s">
        <v>1222</v>
      </c>
      <c r="AZ239" s="5" t="s">
        <v>38</v>
      </c>
      <c r="BA239" s="12"/>
      <c r="BB239" s="12"/>
      <c r="BC239" s="12"/>
      <c r="BD239" s="11">
        <v>0</v>
      </c>
      <c r="BE239" s="11">
        <v>0</v>
      </c>
    </row>
    <row x14ac:dyDescent="0.25" r="240" customHeight="1" ht="17.25">
      <c r="A240" s="11">
        <v>1259626</v>
      </c>
      <c r="B240" s="4" t="s">
        <v>1223</v>
      </c>
      <c r="C240" s="5" t="s">
        <v>540</v>
      </c>
      <c r="D240" s="5" t="s">
        <v>541</v>
      </c>
      <c r="E240" s="5" t="s">
        <v>1224</v>
      </c>
      <c r="F240" s="13">
        <f>"0374260680"</f>
      </c>
      <c r="G240" s="13">
        <f>"9780374260682"</f>
      </c>
      <c r="H240" s="11">
        <v>0</v>
      </c>
      <c r="I240" s="11">
        <v>4</v>
      </c>
      <c r="J240" s="7" t="s">
        <v>120</v>
      </c>
      <c r="K240" s="5" t="s">
        <v>72</v>
      </c>
      <c r="L240" s="11">
        <v>256</v>
      </c>
      <c r="M240" s="11">
        <v>2007</v>
      </c>
      <c r="N240" s="11">
        <v>2006</v>
      </c>
      <c r="O240" s="15"/>
      <c r="P240" s="8">
        <v>45111</v>
      </c>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4" t="s">
        <v>1225</v>
      </c>
      <c r="AY240" s="5" t="s">
        <v>1226</v>
      </c>
      <c r="AZ240" s="5" t="s">
        <v>38</v>
      </c>
      <c r="BA240" s="12"/>
      <c r="BB240" s="12"/>
      <c r="BC240" s="12"/>
      <c r="BD240" s="11">
        <v>0</v>
      </c>
      <c r="BE240" s="11">
        <v>0</v>
      </c>
    </row>
    <row x14ac:dyDescent="0.25" r="241" customHeight="1" ht="17.25">
      <c r="A241" s="11">
        <v>58082217</v>
      </c>
      <c r="B241" s="4" t="s">
        <v>1227</v>
      </c>
      <c r="C241" s="5" t="s">
        <v>1228</v>
      </c>
      <c r="D241" s="5" t="s">
        <v>1229</v>
      </c>
      <c r="E241" s="12"/>
      <c r="F241" s="13">
        <f>"0593320980"</f>
      </c>
      <c r="G241" s="13">
        <f>"9780593320983"</f>
      </c>
      <c r="H241" s="11">
        <v>0</v>
      </c>
      <c r="I241" s="14">
        <v>3.95</v>
      </c>
      <c r="J241" s="7" t="s">
        <v>665</v>
      </c>
      <c r="K241" s="5" t="s">
        <v>72</v>
      </c>
      <c r="L241" s="11">
        <v>80</v>
      </c>
      <c r="M241" s="11">
        <v>2022</v>
      </c>
      <c r="N241" s="11">
        <v>2022</v>
      </c>
      <c r="O241" s="15"/>
      <c r="P241" s="8">
        <v>44941</v>
      </c>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4" t="s">
        <v>1225</v>
      </c>
      <c r="AY241" s="5" t="s">
        <v>1230</v>
      </c>
      <c r="AZ241" s="5" t="s">
        <v>38</v>
      </c>
      <c r="BA241" s="12"/>
      <c r="BB241" s="12"/>
      <c r="BC241" s="12"/>
      <c r="BD241" s="11">
        <v>0</v>
      </c>
      <c r="BE241" s="11">
        <v>0</v>
      </c>
    </row>
    <row x14ac:dyDescent="0.25" r="242" customHeight="1" ht="17.25">
      <c r="A242" s="11">
        <v>34788324</v>
      </c>
      <c r="B242" s="4" t="s">
        <v>1231</v>
      </c>
      <c r="C242" s="5" t="s">
        <v>1232</v>
      </c>
      <c r="D242" s="5" t="s">
        <v>1233</v>
      </c>
      <c r="E242" s="5" t="s">
        <v>1234</v>
      </c>
      <c r="F242" s="13">
        <f>"081957483X"</f>
      </c>
      <c r="G242" s="13">
        <f>"9780819574831"</f>
      </c>
      <c r="H242" s="11">
        <v>0</v>
      </c>
      <c r="I242" s="14">
        <v>4.17</v>
      </c>
      <c r="J242" s="7" t="s">
        <v>1235</v>
      </c>
      <c r="K242" s="5" t="s">
        <v>72</v>
      </c>
      <c r="L242" s="11">
        <v>994</v>
      </c>
      <c r="M242" s="11">
        <v>2017</v>
      </c>
      <c r="N242" s="16"/>
      <c r="O242" s="15"/>
      <c r="P242" s="8">
        <v>44250</v>
      </c>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4" t="s">
        <v>1225</v>
      </c>
      <c r="AY242" s="5" t="s">
        <v>1236</v>
      </c>
      <c r="AZ242" s="5" t="s">
        <v>38</v>
      </c>
      <c r="BA242" s="12"/>
      <c r="BB242" s="12"/>
      <c r="BC242" s="12"/>
      <c r="BD242" s="11">
        <v>0</v>
      </c>
      <c r="BE242" s="11">
        <v>0</v>
      </c>
    </row>
    <row x14ac:dyDescent="0.25" r="243" customHeight="1" ht="17.25">
      <c r="A243" s="11">
        <v>18160427</v>
      </c>
      <c r="B243" s="4" t="s">
        <v>1237</v>
      </c>
      <c r="C243" s="5" t="s">
        <v>1238</v>
      </c>
      <c r="D243" s="5" t="s">
        <v>1239</v>
      </c>
      <c r="E243" s="12"/>
      <c r="F243" s="13">
        <f>""</f>
      </c>
      <c r="G243" s="13">
        <f>"9789871474677"</f>
      </c>
      <c r="H243" s="11">
        <v>0</v>
      </c>
      <c r="I243" s="14">
        <v>4.06</v>
      </c>
      <c r="J243" s="7" t="s">
        <v>1240</v>
      </c>
      <c r="K243" s="5" t="s">
        <v>60</v>
      </c>
      <c r="L243" s="11">
        <v>160</v>
      </c>
      <c r="M243" s="11">
        <v>2012</v>
      </c>
      <c r="N243" s="11">
        <v>2012</v>
      </c>
      <c r="O243" s="15"/>
      <c r="P243" s="8">
        <v>44284</v>
      </c>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4" t="s">
        <v>1225</v>
      </c>
      <c r="AY243" s="5" t="s">
        <v>1241</v>
      </c>
      <c r="AZ243" s="5" t="s">
        <v>38</v>
      </c>
      <c r="BA243" s="12"/>
      <c r="BB243" s="12"/>
      <c r="BC243" s="12"/>
      <c r="BD243" s="11">
        <v>0</v>
      </c>
      <c r="BE243" s="11">
        <v>0</v>
      </c>
    </row>
    <row x14ac:dyDescent="0.25" r="244" customHeight="1" ht="17.25">
      <c r="A244" s="11">
        <v>150253</v>
      </c>
      <c r="B244" s="4" t="s">
        <v>1242</v>
      </c>
      <c r="C244" s="5" t="s">
        <v>1243</v>
      </c>
      <c r="D244" s="5" t="s">
        <v>1244</v>
      </c>
      <c r="E244" s="5" t="s">
        <v>669</v>
      </c>
      <c r="F244" s="13">
        <f>"1844080811"</f>
      </c>
      <c r="G244" s="13">
        <f>"9781844080816"</f>
      </c>
      <c r="H244" s="11">
        <v>0</v>
      </c>
      <c r="I244" s="14">
        <v>4.44</v>
      </c>
      <c r="J244" s="7" t="s">
        <v>1245</v>
      </c>
      <c r="K244" s="5" t="s">
        <v>60</v>
      </c>
      <c r="L244" s="11">
        <v>416</v>
      </c>
      <c r="M244" s="11">
        <v>2003</v>
      </c>
      <c r="N244" s="11">
        <v>2002</v>
      </c>
      <c r="O244" s="15"/>
      <c r="P244" s="8">
        <v>45111</v>
      </c>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4" t="s">
        <v>1246</v>
      </c>
      <c r="AY244" s="5" t="s">
        <v>1247</v>
      </c>
      <c r="AZ244" s="5" t="s">
        <v>38</v>
      </c>
      <c r="BA244" s="12"/>
      <c r="BB244" s="12"/>
      <c r="BC244" s="12"/>
      <c r="BD244" s="11">
        <v>0</v>
      </c>
      <c r="BE244" s="11">
        <v>0</v>
      </c>
    </row>
    <row x14ac:dyDescent="0.25" r="245" customHeight="1" ht="17.25">
      <c r="A245" s="11">
        <v>35074087</v>
      </c>
      <c r="B245" s="4" t="s">
        <v>1248</v>
      </c>
      <c r="C245" s="5" t="s">
        <v>1249</v>
      </c>
      <c r="D245" s="5" t="s">
        <v>1250</v>
      </c>
      <c r="E245" s="12"/>
      <c r="F245" s="13">
        <f>"0241285798"</f>
      </c>
      <c r="G245" s="13">
        <f>"9780241285794"</f>
      </c>
      <c r="H245" s="11">
        <v>0</v>
      </c>
      <c r="I245" s="14">
        <v>4.09</v>
      </c>
      <c r="J245" s="7" t="s">
        <v>1251</v>
      </c>
      <c r="K245" s="5" t="s">
        <v>72</v>
      </c>
      <c r="L245" s="11">
        <v>400</v>
      </c>
      <c r="M245" s="11">
        <v>2018</v>
      </c>
      <c r="N245" s="16"/>
      <c r="O245" s="15"/>
      <c r="P245" s="9">
        <v>44194</v>
      </c>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4" t="s">
        <v>1225</v>
      </c>
      <c r="AY245" s="5" t="s">
        <v>1252</v>
      </c>
      <c r="AZ245" s="5" t="s">
        <v>38</v>
      </c>
      <c r="BA245" s="12"/>
      <c r="BB245" s="12"/>
      <c r="BC245" s="12"/>
      <c r="BD245" s="11">
        <v>0</v>
      </c>
      <c r="BE245" s="11">
        <v>0</v>
      </c>
    </row>
    <row x14ac:dyDescent="0.25" r="246" customHeight="1" ht="17.25">
      <c r="A246" s="11">
        <v>26114357</v>
      </c>
      <c r="B246" s="4" t="s">
        <v>1253</v>
      </c>
      <c r="C246" s="5" t="s">
        <v>1254</v>
      </c>
      <c r="D246" s="5" t="s">
        <v>1255</v>
      </c>
      <c r="E246" s="12"/>
      <c r="F246" s="13">
        <f>"0374125953"</f>
      </c>
      <c r="G246" s="13">
        <f>"9780374125950"</f>
      </c>
      <c r="H246" s="11">
        <v>0</v>
      </c>
      <c r="I246" s="14">
        <v>4.13</v>
      </c>
      <c r="J246" s="7" t="s">
        <v>120</v>
      </c>
      <c r="K246" s="5" t="s">
        <v>72</v>
      </c>
      <c r="L246" s="11">
        <v>736</v>
      </c>
      <c r="M246" s="11">
        <v>2017</v>
      </c>
      <c r="N246" s="11">
        <v>2017</v>
      </c>
      <c r="O246" s="15"/>
      <c r="P246" s="9">
        <v>44153</v>
      </c>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4" t="s">
        <v>1225</v>
      </c>
      <c r="AY246" s="5" t="s">
        <v>1256</v>
      </c>
      <c r="AZ246" s="5" t="s">
        <v>38</v>
      </c>
      <c r="BA246" s="12"/>
      <c r="BB246" s="12"/>
      <c r="BC246" s="12"/>
      <c r="BD246" s="11">
        <v>0</v>
      </c>
      <c r="BE246" s="11">
        <v>0</v>
      </c>
    </row>
    <row x14ac:dyDescent="0.25" r="247" customHeight="1" ht="17.25">
      <c r="A247" s="11">
        <v>2330424</v>
      </c>
      <c r="B247" s="4" t="s">
        <v>1257</v>
      </c>
      <c r="C247" s="5" t="s">
        <v>1258</v>
      </c>
      <c r="D247" s="5" t="s">
        <v>1259</v>
      </c>
      <c r="E247" s="12"/>
      <c r="F247" s="13">
        <f>"0374126216"</f>
      </c>
      <c r="G247" s="13">
        <f>"9780374126216"</f>
      </c>
      <c r="H247" s="11">
        <v>0</v>
      </c>
      <c r="I247" s="14">
        <v>4.26</v>
      </c>
      <c r="J247" s="7" t="s">
        <v>1260</v>
      </c>
      <c r="K247" s="5" t="s">
        <v>72</v>
      </c>
      <c r="L247" s="11">
        <v>495</v>
      </c>
      <c r="M247" s="11">
        <v>1994</v>
      </c>
      <c r="N247" s="11">
        <v>1993</v>
      </c>
      <c r="O247" s="15"/>
      <c r="P247" s="9">
        <v>44118</v>
      </c>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4" t="s">
        <v>1225</v>
      </c>
      <c r="AY247" s="5" t="s">
        <v>1261</v>
      </c>
      <c r="AZ247" s="5" t="s">
        <v>38</v>
      </c>
      <c r="BA247" s="12"/>
      <c r="BB247" s="12"/>
      <c r="BC247" s="12"/>
      <c r="BD247" s="11">
        <v>0</v>
      </c>
      <c r="BE247" s="11">
        <v>0</v>
      </c>
    </row>
    <row x14ac:dyDescent="0.25" r="248" customHeight="1" ht="17.25">
      <c r="A248" s="11">
        <v>41880609</v>
      </c>
      <c r="B248" s="4" t="s">
        <v>1262</v>
      </c>
      <c r="C248" s="5" t="s">
        <v>1263</v>
      </c>
      <c r="D248" s="5" t="s">
        <v>1264</v>
      </c>
      <c r="E248" s="12"/>
      <c r="F248" s="13">
        <f>"0525562028"</f>
      </c>
      <c r="G248" s="13">
        <f>"9780525562023"</f>
      </c>
      <c r="H248" s="11">
        <v>0</v>
      </c>
      <c r="I248" s="14">
        <v>4.05</v>
      </c>
      <c r="J248" s="7" t="s">
        <v>1265</v>
      </c>
      <c r="K248" s="5" t="s">
        <v>72</v>
      </c>
      <c r="L248" s="11">
        <v>246</v>
      </c>
      <c r="M248" s="11">
        <v>2019</v>
      </c>
      <c r="N248" s="11">
        <v>2019</v>
      </c>
      <c r="O248" s="15"/>
      <c r="P248" s="8">
        <v>44107</v>
      </c>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4" t="s">
        <v>1225</v>
      </c>
      <c r="AY248" s="5" t="s">
        <v>1266</v>
      </c>
      <c r="AZ248" s="5" t="s">
        <v>38</v>
      </c>
      <c r="BA248" s="12"/>
      <c r="BB248" s="12"/>
      <c r="BC248" s="12"/>
      <c r="BD248" s="11">
        <v>0</v>
      </c>
      <c r="BE248" s="11">
        <v>0</v>
      </c>
    </row>
    <row x14ac:dyDescent="0.25" r="249" customHeight="1" ht="17.25">
      <c r="A249" s="11">
        <v>36690608</v>
      </c>
      <c r="B249" s="4" t="s">
        <v>1267</v>
      </c>
      <c r="C249" s="5" t="s">
        <v>1268</v>
      </c>
      <c r="D249" s="5" t="s">
        <v>1269</v>
      </c>
      <c r="E249" s="12"/>
      <c r="F249" s="13">
        <f>"0241347939"</f>
      </c>
      <c r="G249" s="13">
        <f>"9780241347935"</f>
      </c>
      <c r="H249" s="11">
        <v>0</v>
      </c>
      <c r="I249" s="14">
        <v>4.3</v>
      </c>
      <c r="J249" s="7" t="s">
        <v>1270</v>
      </c>
      <c r="K249" s="5" t="s">
        <v>72</v>
      </c>
      <c r="L249" s="11">
        <v>288</v>
      </c>
      <c r="M249" s="11">
        <v>2018</v>
      </c>
      <c r="N249" s="11">
        <v>2018</v>
      </c>
      <c r="O249" s="15"/>
      <c r="P249" s="8">
        <v>43953</v>
      </c>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4" t="s">
        <v>1225</v>
      </c>
      <c r="AY249" s="5" t="s">
        <v>1271</v>
      </c>
      <c r="AZ249" s="5" t="s">
        <v>38</v>
      </c>
      <c r="BA249" s="12"/>
      <c r="BB249" s="12"/>
      <c r="BC249" s="12"/>
      <c r="BD249" s="11">
        <v>0</v>
      </c>
      <c r="BE249" s="11">
        <v>0</v>
      </c>
    </row>
    <row x14ac:dyDescent="0.25" r="250" customHeight="1" ht="17.25">
      <c r="A250" s="11">
        <v>96259</v>
      </c>
      <c r="B250" s="4" t="s">
        <v>1272</v>
      </c>
      <c r="C250" s="5" t="s">
        <v>674</v>
      </c>
      <c r="D250" s="5" t="s">
        <v>675</v>
      </c>
      <c r="E250" s="5" t="s">
        <v>1273</v>
      </c>
      <c r="F250" s="13">
        <f>"0300107897"</f>
      </c>
      <c r="G250" s="13">
        <f>"9780300107890"</f>
      </c>
      <c r="H250" s="11">
        <v>0</v>
      </c>
      <c r="I250" s="14">
        <v>4.34</v>
      </c>
      <c r="J250" s="7" t="s">
        <v>576</v>
      </c>
      <c r="K250" s="5" t="s">
        <v>60</v>
      </c>
      <c r="L250" s="11">
        <v>62</v>
      </c>
      <c r="M250" s="11">
        <v>2005</v>
      </c>
      <c r="N250" s="11">
        <v>2005</v>
      </c>
      <c r="O250" s="15"/>
      <c r="P250" s="8">
        <v>44100</v>
      </c>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4" t="s">
        <v>1225</v>
      </c>
      <c r="AY250" s="5" t="s">
        <v>1274</v>
      </c>
      <c r="AZ250" s="5" t="s">
        <v>38</v>
      </c>
      <c r="BA250" s="12"/>
      <c r="BB250" s="12"/>
      <c r="BC250" s="12"/>
      <c r="BD250" s="11">
        <v>0</v>
      </c>
      <c r="BE250" s="11">
        <v>0</v>
      </c>
    </row>
    <row x14ac:dyDescent="0.25" r="251" customHeight="1" ht="17.25">
      <c r="A251" s="11">
        <v>9994817</v>
      </c>
      <c r="B251" s="4" t="s">
        <v>1275</v>
      </c>
      <c r="C251" s="5" t="s">
        <v>1276</v>
      </c>
      <c r="D251" s="5" t="s">
        <v>1277</v>
      </c>
      <c r="E251" s="5" t="s">
        <v>1278</v>
      </c>
      <c r="F251" s="13">
        <f>"0984459839"</f>
      </c>
      <c r="G251" s="13">
        <f>"9780984459834"</f>
      </c>
      <c r="H251" s="11">
        <v>0</v>
      </c>
      <c r="I251" s="14">
        <v>4.53</v>
      </c>
      <c r="J251" s="7" t="s">
        <v>1279</v>
      </c>
      <c r="K251" s="5" t="s">
        <v>60</v>
      </c>
      <c r="L251" s="11">
        <v>632</v>
      </c>
      <c r="M251" s="11">
        <v>2011</v>
      </c>
      <c r="N251" s="11">
        <v>1982</v>
      </c>
      <c r="O251" s="15"/>
      <c r="P251" s="8">
        <v>43926</v>
      </c>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4" t="s">
        <v>1225</v>
      </c>
      <c r="AY251" s="5" t="s">
        <v>1280</v>
      </c>
      <c r="AZ251" s="5" t="s">
        <v>38</v>
      </c>
      <c r="BA251" s="12"/>
      <c r="BB251" s="12"/>
      <c r="BC251" s="12"/>
      <c r="BD251" s="11">
        <v>0</v>
      </c>
      <c r="BE251" s="11">
        <v>0</v>
      </c>
    </row>
    <row x14ac:dyDescent="0.25" r="252" customHeight="1" ht="17.25">
      <c r="A252" s="11">
        <v>682327</v>
      </c>
      <c r="B252" s="4" t="s">
        <v>1281</v>
      </c>
      <c r="C252" s="5" t="s">
        <v>663</v>
      </c>
      <c r="D252" s="5" t="s">
        <v>664</v>
      </c>
      <c r="E252" s="12"/>
      <c r="F252" s="13">
        <f>"0394523865"</f>
      </c>
      <c r="G252" s="13">
        <f>"9780394523866"</f>
      </c>
      <c r="H252" s="11">
        <v>0</v>
      </c>
      <c r="I252" s="14">
        <v>4.3</v>
      </c>
      <c r="J252" s="7" t="s">
        <v>1282</v>
      </c>
      <c r="K252" s="5" t="s">
        <v>72</v>
      </c>
      <c r="L252" s="11">
        <v>93</v>
      </c>
      <c r="M252" s="11">
        <v>1982</v>
      </c>
      <c r="N252" s="11">
        <v>1982</v>
      </c>
      <c r="O252" s="15"/>
      <c r="P252" s="8">
        <v>43141</v>
      </c>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4" t="s">
        <v>1225</v>
      </c>
      <c r="AY252" s="5" t="s">
        <v>1283</v>
      </c>
      <c r="AZ252" s="5" t="s">
        <v>38</v>
      </c>
      <c r="BA252" s="12"/>
      <c r="BB252" s="12"/>
      <c r="BC252" s="12"/>
      <c r="BD252" s="11">
        <v>0</v>
      </c>
      <c r="BE252" s="11">
        <v>0</v>
      </c>
    </row>
    <row x14ac:dyDescent="0.25" r="253" customHeight="1" ht="17.25">
      <c r="A253" s="11">
        <v>109237</v>
      </c>
      <c r="B253" s="4" t="s">
        <v>1284</v>
      </c>
      <c r="C253" s="5" t="s">
        <v>1285</v>
      </c>
      <c r="D253" s="5" t="s">
        <v>1286</v>
      </c>
      <c r="E253" s="5" t="s">
        <v>1287</v>
      </c>
      <c r="F253" s="13">
        <f>"0140587217"</f>
      </c>
      <c r="G253" s="13">
        <f>"9780140587210"</f>
      </c>
      <c r="H253" s="11">
        <v>5</v>
      </c>
      <c r="I253" s="14">
        <v>4.35</v>
      </c>
      <c r="J253" s="7" t="s">
        <v>491</v>
      </c>
      <c r="K253" s="5" t="s">
        <v>60</v>
      </c>
      <c r="L253" s="11">
        <v>496</v>
      </c>
      <c r="M253" s="11">
        <v>2000</v>
      </c>
      <c r="N253" s="11">
        <v>1971</v>
      </c>
      <c r="O253" s="15"/>
      <c r="P253" s="8">
        <v>41585</v>
      </c>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4" t="s">
        <v>1288</v>
      </c>
      <c r="AY253" s="5" t="s">
        <v>1289</v>
      </c>
      <c r="AZ253" s="5" t="s">
        <v>38</v>
      </c>
      <c r="BA253" s="12"/>
      <c r="BB253" s="12"/>
      <c r="BC253" s="12"/>
      <c r="BD253" s="11">
        <v>1</v>
      </c>
      <c r="BE253" s="11">
        <v>1</v>
      </c>
    </row>
    <row x14ac:dyDescent="0.25" r="254" customHeight="1" ht="17.25">
      <c r="A254" s="11">
        <v>160653</v>
      </c>
      <c r="B254" s="4" t="s">
        <v>1290</v>
      </c>
      <c r="C254" s="5" t="s">
        <v>1291</v>
      </c>
      <c r="D254" s="5" t="s">
        <v>1292</v>
      </c>
      <c r="E254" s="12"/>
      <c r="F254" s="13">
        <f>"1890447048"</f>
      </c>
      <c r="G254" s="13">
        <f>"9781890447045"</f>
      </c>
      <c r="H254" s="11">
        <v>0</v>
      </c>
      <c r="I254" s="14">
        <v>4.36</v>
      </c>
      <c r="J254" s="7" t="s">
        <v>1293</v>
      </c>
      <c r="K254" s="5" t="s">
        <v>60</v>
      </c>
      <c r="L254" s="11">
        <v>96</v>
      </c>
      <c r="M254" s="11">
        <v>1999</v>
      </c>
      <c r="N254" s="11">
        <v>1999</v>
      </c>
      <c r="O254" s="15"/>
      <c r="P254" s="8">
        <v>42107</v>
      </c>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4" t="s">
        <v>1225</v>
      </c>
      <c r="AY254" s="5" t="s">
        <v>1294</v>
      </c>
      <c r="AZ254" s="5" t="s">
        <v>38</v>
      </c>
      <c r="BA254" s="12"/>
      <c r="BB254" s="12"/>
      <c r="BC254" s="12"/>
      <c r="BD254" s="11">
        <v>0</v>
      </c>
      <c r="BE254" s="11">
        <v>0</v>
      </c>
    </row>
    <row x14ac:dyDescent="0.25" r="255" customHeight="1" ht="17.25">
      <c r="A255" s="11">
        <v>13707664</v>
      </c>
      <c r="B255" s="4" t="s">
        <v>1295</v>
      </c>
      <c r="C255" s="5" t="s">
        <v>1296</v>
      </c>
      <c r="D255" s="5" t="s">
        <v>1297</v>
      </c>
      <c r="E255" s="12"/>
      <c r="F255" s="13">
        <f>"0393341860"</f>
      </c>
      <c r="G255" s="13">
        <f>"9780393341867"</f>
      </c>
      <c r="H255" s="11">
        <v>0</v>
      </c>
      <c r="I255" s="14">
        <v>4.1</v>
      </c>
      <c r="J255" s="7" t="s">
        <v>144</v>
      </c>
      <c r="K255" s="5" t="s">
        <v>60</v>
      </c>
      <c r="L255" s="11">
        <v>1040</v>
      </c>
      <c r="M255" s="11">
        <v>2013</v>
      </c>
      <c r="N255" s="11">
        <v>1994</v>
      </c>
      <c r="O255" s="15"/>
      <c r="P255" s="8">
        <v>41368</v>
      </c>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4" t="s">
        <v>1225</v>
      </c>
      <c r="AY255" s="5" t="s">
        <v>1298</v>
      </c>
      <c r="AZ255" s="5" t="s">
        <v>38</v>
      </c>
      <c r="BA255" s="12"/>
      <c r="BB255" s="12"/>
      <c r="BC255" s="12"/>
      <c r="BD255" s="11">
        <v>0</v>
      </c>
      <c r="BE255" s="11">
        <v>0</v>
      </c>
    </row>
    <row x14ac:dyDescent="0.25" r="256" customHeight="1" ht="17.25">
      <c r="A256" s="11">
        <v>153480</v>
      </c>
      <c r="B256" s="4" t="s">
        <v>1299</v>
      </c>
      <c r="C256" s="5" t="s">
        <v>475</v>
      </c>
      <c r="D256" s="5" t="s">
        <v>476</v>
      </c>
      <c r="E256" s="12"/>
      <c r="F256" s="13">
        <f>"0385518579"</f>
      </c>
      <c r="G256" s="13">
        <f>"9780385518574"</f>
      </c>
      <c r="H256" s="11">
        <v>0</v>
      </c>
      <c r="I256" s="14">
        <v>3.93</v>
      </c>
      <c r="J256" s="7" t="s">
        <v>1300</v>
      </c>
      <c r="K256" s="5" t="s">
        <v>60</v>
      </c>
      <c r="L256" s="11">
        <v>208</v>
      </c>
      <c r="M256" s="11">
        <v>1998</v>
      </c>
      <c r="N256" s="11">
        <v>1996</v>
      </c>
      <c r="O256" s="15"/>
      <c r="P256" s="8">
        <v>45122</v>
      </c>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4" t="s">
        <v>1301</v>
      </c>
      <c r="AY256" s="5" t="s">
        <v>1302</v>
      </c>
      <c r="AZ256" s="5" t="s">
        <v>38</v>
      </c>
      <c r="BA256" s="12"/>
      <c r="BB256" s="12"/>
      <c r="BC256" s="12"/>
      <c r="BD256" s="11">
        <v>0</v>
      </c>
      <c r="BE256" s="11">
        <v>0</v>
      </c>
    </row>
    <row x14ac:dyDescent="0.25" r="257" customHeight="1" ht="17.25">
      <c r="A257" s="11">
        <v>56246237</v>
      </c>
      <c r="B257" s="4" t="s">
        <v>1303</v>
      </c>
      <c r="C257" s="5" t="s">
        <v>1304</v>
      </c>
      <c r="D257" s="5" t="s">
        <v>1305</v>
      </c>
      <c r="E257" s="12"/>
      <c r="F257" s="13">
        <f>"1787331652"</f>
      </c>
      <c r="G257" s="13">
        <f>"9781787331655"</f>
      </c>
      <c r="H257" s="11">
        <v>0</v>
      </c>
      <c r="I257" s="14">
        <v>3.86</v>
      </c>
      <c r="J257" s="7" t="s">
        <v>1306</v>
      </c>
      <c r="K257" s="5" t="s">
        <v>72</v>
      </c>
      <c r="L257" s="11">
        <v>336</v>
      </c>
      <c r="M257" s="11">
        <v>2021</v>
      </c>
      <c r="N257" s="16"/>
      <c r="O257" s="15"/>
      <c r="P257" s="8">
        <v>45120</v>
      </c>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4" t="s">
        <v>1301</v>
      </c>
      <c r="AY257" s="5" t="s">
        <v>1307</v>
      </c>
      <c r="AZ257" s="5" t="s">
        <v>38</v>
      </c>
      <c r="BA257" s="12"/>
      <c r="BB257" s="12"/>
      <c r="BC257" s="12"/>
      <c r="BD257" s="11">
        <v>0</v>
      </c>
      <c r="BE257" s="11">
        <v>0</v>
      </c>
    </row>
    <row x14ac:dyDescent="0.25" r="258" customHeight="1" ht="17.25">
      <c r="A258" s="11">
        <v>278316</v>
      </c>
      <c r="B258" s="4" t="s">
        <v>1308</v>
      </c>
      <c r="C258" s="5" t="s">
        <v>1309</v>
      </c>
      <c r="D258" s="5" t="s">
        <v>1310</v>
      </c>
      <c r="E258" s="5" t="s">
        <v>1311</v>
      </c>
      <c r="F258" s="13">
        <f>"0140437827"</f>
      </c>
      <c r="G258" s="13">
        <f>"9780140437829"</f>
      </c>
      <c r="H258" s="11">
        <v>0</v>
      </c>
      <c r="I258" s="14">
        <v>4.04</v>
      </c>
      <c r="J258" s="7" t="s">
        <v>263</v>
      </c>
      <c r="K258" s="5" t="s">
        <v>60</v>
      </c>
      <c r="L258" s="11">
        <v>174</v>
      </c>
      <c r="M258" s="11">
        <v>2003</v>
      </c>
      <c r="N258" s="11">
        <v>-699</v>
      </c>
      <c r="O258" s="15"/>
      <c r="P258" s="8">
        <v>45126</v>
      </c>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4" t="s">
        <v>1301</v>
      </c>
      <c r="AY258" s="5" t="s">
        <v>1312</v>
      </c>
      <c r="AZ258" s="5" t="s">
        <v>38</v>
      </c>
      <c r="BA258" s="12"/>
      <c r="BB258" s="12"/>
      <c r="BC258" s="12"/>
      <c r="BD258" s="11">
        <v>0</v>
      </c>
      <c r="BE258" s="11">
        <v>0</v>
      </c>
    </row>
    <row x14ac:dyDescent="0.25" r="259" customHeight="1" ht="17.25">
      <c r="A259" s="11">
        <v>5800063</v>
      </c>
      <c r="B259" s="4" t="s">
        <v>1313</v>
      </c>
      <c r="C259" s="5" t="s">
        <v>531</v>
      </c>
      <c r="D259" s="5" t="s">
        <v>1314</v>
      </c>
      <c r="E259" s="12"/>
      <c r="F259" s="13">
        <f>"0415478901"</f>
      </c>
      <c r="G259" s="13">
        <f>"9780415478908"</f>
      </c>
      <c r="H259" s="11">
        <v>0</v>
      </c>
      <c r="I259" s="14">
        <v>4.38</v>
      </c>
      <c r="J259" s="7" t="s">
        <v>163</v>
      </c>
      <c r="K259" s="5" t="s">
        <v>60</v>
      </c>
      <c r="L259" s="11">
        <v>776</v>
      </c>
      <c r="M259" s="11">
        <v>2003</v>
      </c>
      <c r="N259" s="11">
        <v>2003</v>
      </c>
      <c r="O259" s="15"/>
      <c r="P259" s="8">
        <v>45120</v>
      </c>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4" t="s">
        <v>1301</v>
      </c>
      <c r="AY259" s="5" t="s">
        <v>1315</v>
      </c>
      <c r="AZ259" s="5" t="s">
        <v>38</v>
      </c>
      <c r="BA259" s="12"/>
      <c r="BB259" s="12"/>
      <c r="BC259" s="12"/>
      <c r="BD259" s="11">
        <v>0</v>
      </c>
      <c r="BE259" s="11">
        <v>0</v>
      </c>
    </row>
    <row x14ac:dyDescent="0.25" r="260" customHeight="1" ht="17.25">
      <c r="A260" s="11">
        <v>17900295</v>
      </c>
      <c r="B260" s="4" t="s">
        <v>1316</v>
      </c>
      <c r="C260" s="5" t="s">
        <v>1317</v>
      </c>
      <c r="D260" s="5" t="s">
        <v>1318</v>
      </c>
      <c r="E260" s="12"/>
      <c r="F260" s="13">
        <f>"9608189071"</f>
      </c>
      <c r="G260" s="13">
        <f>"9789608189072"</f>
      </c>
      <c r="H260" s="11">
        <v>0</v>
      </c>
      <c r="I260" s="14">
        <v>4.55</v>
      </c>
      <c r="J260" s="7" t="s">
        <v>1319</v>
      </c>
      <c r="K260" s="5" t="s">
        <v>72</v>
      </c>
      <c r="L260" s="11">
        <v>500</v>
      </c>
      <c r="M260" s="11">
        <v>2002</v>
      </c>
      <c r="N260" s="11">
        <v>2001</v>
      </c>
      <c r="O260" s="15"/>
      <c r="P260" s="8">
        <v>45120</v>
      </c>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4" t="s">
        <v>1301</v>
      </c>
      <c r="AY260" s="5" t="s">
        <v>1320</v>
      </c>
      <c r="AZ260" s="5" t="s">
        <v>38</v>
      </c>
      <c r="BA260" s="12"/>
      <c r="BB260" s="12"/>
      <c r="BC260" s="12"/>
      <c r="BD260" s="11">
        <v>0</v>
      </c>
      <c r="BE260" s="11">
        <v>0</v>
      </c>
    </row>
    <row x14ac:dyDescent="0.25" r="261" customHeight="1" ht="17.25">
      <c r="A261" s="11">
        <v>287177</v>
      </c>
      <c r="B261" s="4" t="s">
        <v>1321</v>
      </c>
      <c r="C261" s="5" t="s">
        <v>1322</v>
      </c>
      <c r="D261" s="5" t="s">
        <v>1323</v>
      </c>
      <c r="E261" s="12"/>
      <c r="F261" s="13">
        <f>"0801853605"</f>
      </c>
      <c r="G261" s="13">
        <f>"9780801853609"</f>
      </c>
      <c r="H261" s="11">
        <v>0</v>
      </c>
      <c r="I261" s="14">
        <v>4.39</v>
      </c>
      <c r="J261" s="7" t="s">
        <v>1324</v>
      </c>
      <c r="K261" s="5" t="s">
        <v>60</v>
      </c>
      <c r="L261" s="11">
        <v>584</v>
      </c>
      <c r="M261" s="11">
        <v>1996</v>
      </c>
      <c r="N261" s="11">
        <v>1993</v>
      </c>
      <c r="O261" s="15"/>
      <c r="P261" s="8">
        <v>45120</v>
      </c>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4" t="s">
        <v>1301</v>
      </c>
      <c r="AY261" s="5" t="s">
        <v>1325</v>
      </c>
      <c r="AZ261" s="5" t="s">
        <v>38</v>
      </c>
      <c r="BA261" s="12"/>
      <c r="BB261" s="12"/>
      <c r="BC261" s="12"/>
      <c r="BD261" s="11">
        <v>0</v>
      </c>
      <c r="BE261" s="11">
        <v>0</v>
      </c>
    </row>
    <row x14ac:dyDescent="0.25" r="262" customHeight="1" ht="17.25">
      <c r="A262" s="11">
        <v>784542</v>
      </c>
      <c r="B262" s="4" t="s">
        <v>1326</v>
      </c>
      <c r="C262" s="5" t="s">
        <v>1327</v>
      </c>
      <c r="D262" s="5" t="s">
        <v>1328</v>
      </c>
      <c r="E262" s="5" t="s">
        <v>1329</v>
      </c>
      <c r="F262" s="13">
        <f>"0073535672"</f>
      </c>
      <c r="G262" s="13">
        <f>"9780073535678"</f>
      </c>
      <c r="H262" s="11">
        <v>0</v>
      </c>
      <c r="I262" s="14">
        <v>4.05</v>
      </c>
      <c r="J262" s="7" t="s">
        <v>1330</v>
      </c>
      <c r="K262" s="5" t="s">
        <v>60</v>
      </c>
      <c r="L262" s="11">
        <v>1152</v>
      </c>
      <c r="M262" s="11">
        <v>2007</v>
      </c>
      <c r="N262" s="11">
        <v>2000</v>
      </c>
      <c r="O262" s="15"/>
      <c r="P262" s="8">
        <v>45120</v>
      </c>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4" t="s">
        <v>1301</v>
      </c>
      <c r="AY262" s="5" t="s">
        <v>1331</v>
      </c>
      <c r="AZ262" s="5" t="s">
        <v>38</v>
      </c>
      <c r="BA262" s="12"/>
      <c r="BB262" s="12"/>
      <c r="BC262" s="12"/>
      <c r="BD262" s="11">
        <v>0</v>
      </c>
      <c r="BE262" s="11">
        <v>0</v>
      </c>
    </row>
    <row x14ac:dyDescent="0.25" r="263" customHeight="1" ht="17.25">
      <c r="A263" s="11">
        <v>794287</v>
      </c>
      <c r="B263" s="4" t="s">
        <v>1332</v>
      </c>
      <c r="C263" s="5" t="s">
        <v>1333</v>
      </c>
      <c r="D263" s="5" t="s">
        <v>1334</v>
      </c>
      <c r="E263" s="12"/>
      <c r="F263" s="13">
        <f>"0520046889"</f>
      </c>
      <c r="G263" s="13">
        <f>"9780520046887"</f>
      </c>
      <c r="H263" s="11">
        <v>0</v>
      </c>
      <c r="I263" s="14">
        <v>3.7</v>
      </c>
      <c r="J263" s="7" t="s">
        <v>1335</v>
      </c>
      <c r="K263" s="5" t="s">
        <v>60</v>
      </c>
      <c r="L263" s="11">
        <v>288</v>
      </c>
      <c r="M263" s="11">
        <v>1983</v>
      </c>
      <c r="N263" s="11">
        <v>1971</v>
      </c>
      <c r="O263" s="15"/>
      <c r="P263" s="8">
        <v>45120</v>
      </c>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4" t="s">
        <v>1301</v>
      </c>
      <c r="AY263" s="5" t="s">
        <v>1336</v>
      </c>
      <c r="AZ263" s="5" t="s">
        <v>38</v>
      </c>
      <c r="BA263" s="12"/>
      <c r="BB263" s="12"/>
      <c r="BC263" s="12"/>
      <c r="BD263" s="11">
        <v>0</v>
      </c>
      <c r="BE263" s="11">
        <v>0</v>
      </c>
    </row>
    <row x14ac:dyDescent="0.25" r="264" customHeight="1" ht="17.25">
      <c r="A264" s="11">
        <v>18850836</v>
      </c>
      <c r="B264" s="4" t="s">
        <v>1337</v>
      </c>
      <c r="C264" s="5" t="s">
        <v>1338</v>
      </c>
      <c r="D264" s="5" t="s">
        <v>1339</v>
      </c>
      <c r="E264" s="12"/>
      <c r="F264" s="13">
        <f>"142141418X"</f>
      </c>
      <c r="G264" s="13">
        <f>"9781421414188"</f>
      </c>
      <c r="H264" s="11">
        <v>0</v>
      </c>
      <c r="I264" s="14">
        <v>3.81</v>
      </c>
      <c r="J264" s="7" t="s">
        <v>1324</v>
      </c>
      <c r="K264" s="5" t="s">
        <v>72</v>
      </c>
      <c r="L264" s="11">
        <v>480</v>
      </c>
      <c r="M264" s="11">
        <v>2014</v>
      </c>
      <c r="N264" s="11">
        <v>1990</v>
      </c>
      <c r="O264" s="15"/>
      <c r="P264" s="8">
        <v>45120</v>
      </c>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4" t="s">
        <v>1301</v>
      </c>
      <c r="AY264" s="5" t="s">
        <v>1340</v>
      </c>
      <c r="AZ264" s="5" t="s">
        <v>38</v>
      </c>
      <c r="BA264" s="12"/>
      <c r="BB264" s="12"/>
      <c r="BC264" s="12"/>
      <c r="BD264" s="11">
        <v>0</v>
      </c>
      <c r="BE264" s="11">
        <v>0</v>
      </c>
    </row>
    <row x14ac:dyDescent="0.25" r="265" customHeight="1" ht="17.25">
      <c r="A265" s="11">
        <v>14319016</v>
      </c>
      <c r="B265" s="4" t="s">
        <v>1341</v>
      </c>
      <c r="C265" s="5" t="s">
        <v>1342</v>
      </c>
      <c r="D265" s="5" t="s">
        <v>1343</v>
      </c>
      <c r="E265" s="12"/>
      <c r="F265" s="13">
        <f>"1405194553"</f>
      </c>
      <c r="G265" s="13">
        <f>"9781405194556"</f>
      </c>
      <c r="H265" s="11">
        <v>0</v>
      </c>
      <c r="I265" s="14">
        <v>3.96</v>
      </c>
      <c r="J265" s="7" t="s">
        <v>1344</v>
      </c>
      <c r="K265" s="5" t="s">
        <v>60</v>
      </c>
      <c r="L265" s="11">
        <v>224</v>
      </c>
      <c r="M265" s="11">
        <v>2012</v>
      </c>
      <c r="N265" s="11">
        <v>2012</v>
      </c>
      <c r="O265" s="15"/>
      <c r="P265" s="8">
        <v>45120</v>
      </c>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4" t="s">
        <v>1301</v>
      </c>
      <c r="AY265" s="5" t="s">
        <v>1345</v>
      </c>
      <c r="AZ265" s="5" t="s">
        <v>38</v>
      </c>
      <c r="BA265" s="12"/>
      <c r="BB265" s="12"/>
      <c r="BC265" s="12"/>
      <c r="BD265" s="11">
        <v>0</v>
      </c>
      <c r="BE265" s="11">
        <v>0</v>
      </c>
    </row>
    <row x14ac:dyDescent="0.25" r="266" customHeight="1" ht="17.25">
      <c r="A266" s="11">
        <v>390745</v>
      </c>
      <c r="B266" s="4" t="s">
        <v>1346</v>
      </c>
      <c r="C266" s="5" t="s">
        <v>1347</v>
      </c>
      <c r="D266" s="5" t="s">
        <v>1348</v>
      </c>
      <c r="E266" s="12"/>
      <c r="F266" s="13">
        <f>"0415061350"</f>
      </c>
      <c r="G266" s="13">
        <f>"9780415061353"</f>
      </c>
      <c r="H266" s="11">
        <v>0</v>
      </c>
      <c r="I266" s="14">
        <v>3.54</v>
      </c>
      <c r="J266" s="7" t="s">
        <v>163</v>
      </c>
      <c r="K266" s="5" t="s">
        <v>60</v>
      </c>
      <c r="L266" s="11">
        <v>204</v>
      </c>
      <c r="M266" s="11">
        <v>1992</v>
      </c>
      <c r="N266" s="11">
        <v>1992</v>
      </c>
      <c r="O266" s="15"/>
      <c r="P266" s="8">
        <v>45120</v>
      </c>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4" t="s">
        <v>1301</v>
      </c>
      <c r="AY266" s="5" t="s">
        <v>1349</v>
      </c>
      <c r="AZ266" s="5" t="s">
        <v>38</v>
      </c>
      <c r="BA266" s="12"/>
      <c r="BB266" s="12"/>
      <c r="BC266" s="12"/>
      <c r="BD266" s="11">
        <v>0</v>
      </c>
      <c r="BE266" s="11">
        <v>0</v>
      </c>
    </row>
    <row x14ac:dyDescent="0.25" r="267" customHeight="1" ht="17.25">
      <c r="A267" s="11">
        <v>1274222</v>
      </c>
      <c r="B267" s="4" t="s">
        <v>1350</v>
      </c>
      <c r="C267" s="5" t="s">
        <v>1351</v>
      </c>
      <c r="D267" s="5" t="s">
        <v>1352</v>
      </c>
      <c r="E267" s="12"/>
      <c r="F267" s="13">
        <f>"1890482935"</f>
      </c>
      <c r="G267" s="13">
        <f>"9781890482930"</f>
      </c>
      <c r="H267" s="11">
        <v>0</v>
      </c>
      <c r="I267" s="14">
        <v>3.82</v>
      </c>
      <c r="J267" s="7" t="s">
        <v>1353</v>
      </c>
      <c r="K267" s="5" t="s">
        <v>60</v>
      </c>
      <c r="L267" s="11">
        <v>288</v>
      </c>
      <c r="M267" s="11">
        <v>1997</v>
      </c>
      <c r="N267" s="11">
        <v>1997</v>
      </c>
      <c r="O267" s="15"/>
      <c r="P267" s="8">
        <v>45120</v>
      </c>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4" t="s">
        <v>1301</v>
      </c>
      <c r="AY267" s="5" t="s">
        <v>1354</v>
      </c>
      <c r="AZ267" s="5" t="s">
        <v>38</v>
      </c>
      <c r="BA267" s="12"/>
      <c r="BB267" s="12"/>
      <c r="BC267" s="12"/>
      <c r="BD267" s="11">
        <v>0</v>
      </c>
      <c r="BE267" s="11">
        <v>0</v>
      </c>
    </row>
    <row x14ac:dyDescent="0.25" r="268" customHeight="1" ht="17.25">
      <c r="A268" s="11">
        <v>4037619</v>
      </c>
      <c r="B268" s="4" t="s">
        <v>1355</v>
      </c>
      <c r="C268" s="5" t="s">
        <v>1356</v>
      </c>
      <c r="D268" s="5" t="s">
        <v>1357</v>
      </c>
      <c r="E268" s="12"/>
      <c r="F268" s="13">
        <f>"9025607969"</f>
      </c>
      <c r="G268" s="13">
        <f>"9789025607968"</f>
      </c>
      <c r="H268" s="11">
        <v>0</v>
      </c>
      <c r="I268" s="14">
        <v>4.2</v>
      </c>
      <c r="J268" s="7" t="s">
        <v>1358</v>
      </c>
      <c r="K268" s="5" t="s">
        <v>60</v>
      </c>
      <c r="L268" s="11">
        <v>265</v>
      </c>
      <c r="M268" s="11">
        <v>1979</v>
      </c>
      <c r="N268" s="16"/>
      <c r="O268" s="15"/>
      <c r="P268" s="8">
        <v>45120</v>
      </c>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4" t="s">
        <v>1301</v>
      </c>
      <c r="AY268" s="5" t="s">
        <v>1359</v>
      </c>
      <c r="AZ268" s="5" t="s">
        <v>38</v>
      </c>
      <c r="BA268" s="12"/>
      <c r="BB268" s="12"/>
      <c r="BC268" s="12"/>
      <c r="BD268" s="11">
        <v>0</v>
      </c>
      <c r="BE268" s="11">
        <v>0</v>
      </c>
    </row>
    <row x14ac:dyDescent="0.25" r="269" customHeight="1" ht="17.25">
      <c r="A269" s="11">
        <v>560238</v>
      </c>
      <c r="B269" s="4" t="s">
        <v>1360</v>
      </c>
      <c r="C269" s="5" t="s">
        <v>618</v>
      </c>
      <c r="D269" s="5" t="s">
        <v>619</v>
      </c>
      <c r="E269" s="12"/>
      <c r="F269" s="13">
        <f>"0520047702"</f>
      </c>
      <c r="G269" s="13">
        <f>"9780520047709"</f>
      </c>
      <c r="H269" s="11">
        <v>0</v>
      </c>
      <c r="I269" s="14">
        <v>3.84</v>
      </c>
      <c r="J269" s="7" t="s">
        <v>1335</v>
      </c>
      <c r="K269" s="5" t="s">
        <v>60</v>
      </c>
      <c r="L269" s="11">
        <v>248</v>
      </c>
      <c r="M269" s="11">
        <v>1982</v>
      </c>
      <c r="N269" s="11">
        <v>1980</v>
      </c>
      <c r="O269" s="15"/>
      <c r="P269" s="8">
        <v>45120</v>
      </c>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4" t="s">
        <v>1301</v>
      </c>
      <c r="AY269" s="5" t="s">
        <v>1361</v>
      </c>
      <c r="AZ269" s="5" t="s">
        <v>38</v>
      </c>
      <c r="BA269" s="12"/>
      <c r="BB269" s="12"/>
      <c r="BC269" s="12"/>
      <c r="BD269" s="11">
        <v>0</v>
      </c>
      <c r="BE269" s="11">
        <v>0</v>
      </c>
    </row>
    <row x14ac:dyDescent="0.25" r="270" customHeight="1" ht="17.25">
      <c r="A270" s="11">
        <v>17674372</v>
      </c>
      <c r="B270" s="4" t="s">
        <v>1362</v>
      </c>
      <c r="C270" s="5" t="s">
        <v>618</v>
      </c>
      <c r="D270" s="5" t="s">
        <v>619</v>
      </c>
      <c r="E270" s="5" t="s">
        <v>1363</v>
      </c>
      <c r="F270" s="13">
        <f>"022610043X"</f>
      </c>
      <c r="G270" s="13">
        <f>"9780226100432"</f>
      </c>
      <c r="H270" s="11">
        <v>0</v>
      </c>
      <c r="I270" s="14">
        <v>3.8</v>
      </c>
      <c r="J270" s="7" t="s">
        <v>255</v>
      </c>
      <c r="K270" s="5" t="s">
        <v>60</v>
      </c>
      <c r="L270" s="11">
        <v>110</v>
      </c>
      <c r="M270" s="11">
        <v>2013</v>
      </c>
      <c r="N270" s="11">
        <v>1990</v>
      </c>
      <c r="O270" s="15"/>
      <c r="P270" s="8">
        <v>45120</v>
      </c>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4" t="s">
        <v>1301</v>
      </c>
      <c r="AY270" s="5" t="s">
        <v>1364</v>
      </c>
      <c r="AZ270" s="5" t="s">
        <v>38</v>
      </c>
      <c r="BA270" s="12"/>
      <c r="BB270" s="12"/>
      <c r="BC270" s="12"/>
      <c r="BD270" s="11">
        <v>0</v>
      </c>
      <c r="BE270" s="11">
        <v>0</v>
      </c>
    </row>
    <row x14ac:dyDescent="0.25" r="271" customHeight="1" ht="17.25">
      <c r="A271" s="11">
        <v>560237</v>
      </c>
      <c r="B271" s="4" t="s">
        <v>1365</v>
      </c>
      <c r="C271" s="5" t="s">
        <v>1366</v>
      </c>
      <c r="D271" s="5" t="s">
        <v>1367</v>
      </c>
      <c r="E271" s="12"/>
      <c r="F271" s="13">
        <f>"038920871X"</f>
      </c>
      <c r="G271" s="13">
        <f>"9780389208716"</f>
      </c>
      <c r="H271" s="11">
        <v>0</v>
      </c>
      <c r="I271" s="14">
        <v>4.25</v>
      </c>
      <c r="J271" s="7" t="s">
        <v>1368</v>
      </c>
      <c r="K271" s="5" t="s">
        <v>60</v>
      </c>
      <c r="L271" s="16"/>
      <c r="M271" s="16"/>
      <c r="N271" s="11">
        <v>1988</v>
      </c>
      <c r="O271" s="15"/>
      <c r="P271" s="8">
        <v>45120</v>
      </c>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4" t="s">
        <v>1301</v>
      </c>
      <c r="AY271" s="5" t="s">
        <v>1369</v>
      </c>
      <c r="AZ271" s="5" t="s">
        <v>38</v>
      </c>
      <c r="BA271" s="12"/>
      <c r="BB271" s="12"/>
      <c r="BC271" s="12"/>
      <c r="BD271" s="11">
        <v>0</v>
      </c>
      <c r="BE271" s="11">
        <v>0</v>
      </c>
    </row>
    <row x14ac:dyDescent="0.25" r="272" customHeight="1" ht="17.25">
      <c r="A272" s="11">
        <v>8010357</v>
      </c>
      <c r="B272" s="4" t="s">
        <v>1370</v>
      </c>
      <c r="C272" s="5" t="s">
        <v>1366</v>
      </c>
      <c r="D272" s="5" t="s">
        <v>1367</v>
      </c>
      <c r="E272" s="5" t="s">
        <v>1371</v>
      </c>
      <c r="F272" s="13">
        <f>"0748637982"</f>
      </c>
      <c r="G272" s="13">
        <f>"9780748637980"</f>
      </c>
      <c r="H272" s="11">
        <v>0</v>
      </c>
      <c r="I272" s="14">
        <v>3.75</v>
      </c>
      <c r="J272" s="7" t="s">
        <v>1372</v>
      </c>
      <c r="K272" s="5" t="s">
        <v>72</v>
      </c>
      <c r="L272" s="11">
        <v>552</v>
      </c>
      <c r="M272" s="11">
        <v>2010</v>
      </c>
      <c r="N272" s="11">
        <v>2010</v>
      </c>
      <c r="O272" s="15"/>
      <c r="P272" s="8">
        <v>45120</v>
      </c>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4" t="s">
        <v>1301</v>
      </c>
      <c r="AY272" s="5" t="s">
        <v>1373</v>
      </c>
      <c r="AZ272" s="5" t="s">
        <v>38</v>
      </c>
      <c r="BA272" s="12"/>
      <c r="BB272" s="12"/>
      <c r="BC272" s="12"/>
      <c r="BD272" s="11">
        <v>0</v>
      </c>
      <c r="BE272" s="11">
        <v>0</v>
      </c>
    </row>
    <row x14ac:dyDescent="0.25" r="273" customHeight="1" ht="17.25">
      <c r="A273" s="11">
        <v>23520</v>
      </c>
      <c r="B273" s="4" t="s">
        <v>1374</v>
      </c>
      <c r="C273" s="5" t="s">
        <v>1375</v>
      </c>
      <c r="D273" s="5" t="s">
        <v>1376</v>
      </c>
      <c r="E273" s="12"/>
      <c r="F273" s="13">
        <f>"0500251215"</f>
      </c>
      <c r="G273" s="13">
        <f>"9780500251218"</f>
      </c>
      <c r="H273" s="11">
        <v>0</v>
      </c>
      <c r="I273" s="14">
        <v>4.24</v>
      </c>
      <c r="J273" s="7" t="s">
        <v>466</v>
      </c>
      <c r="K273" s="5" t="s">
        <v>72</v>
      </c>
      <c r="L273" s="11">
        <v>256</v>
      </c>
      <c r="M273" s="11">
        <v>2004</v>
      </c>
      <c r="N273" s="11">
        <v>2004</v>
      </c>
      <c r="O273" s="15"/>
      <c r="P273" s="8">
        <v>45120</v>
      </c>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4" t="s">
        <v>1301</v>
      </c>
      <c r="AY273" s="5" t="s">
        <v>1377</v>
      </c>
      <c r="AZ273" s="5" t="s">
        <v>38</v>
      </c>
      <c r="BA273" s="12"/>
      <c r="BB273" s="12"/>
      <c r="BC273" s="12"/>
      <c r="BD273" s="11">
        <v>0</v>
      </c>
      <c r="BE273" s="11">
        <v>0</v>
      </c>
    </row>
    <row x14ac:dyDescent="0.25" r="274" customHeight="1" ht="17.25">
      <c r="A274" s="11">
        <v>1037628</v>
      </c>
      <c r="B274" s="4" t="s">
        <v>1378</v>
      </c>
      <c r="C274" s="5" t="s">
        <v>1379</v>
      </c>
      <c r="D274" s="5" t="s">
        <v>1380</v>
      </c>
      <c r="E274" s="12"/>
      <c r="F274" s="13">
        <f>"0415324882"</f>
      </c>
      <c r="G274" s="13">
        <f>"9780415324885"</f>
      </c>
      <c r="H274" s="11">
        <v>0</v>
      </c>
      <c r="I274" s="14">
        <v>3.79</v>
      </c>
      <c r="J274" s="7" t="s">
        <v>163</v>
      </c>
      <c r="K274" s="5" t="s">
        <v>60</v>
      </c>
      <c r="L274" s="11">
        <v>177</v>
      </c>
      <c r="M274" s="11">
        <v>2006</v>
      </c>
      <c r="N274" s="11">
        <v>2006</v>
      </c>
      <c r="O274" s="15"/>
      <c r="P274" s="8">
        <v>45117</v>
      </c>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4" t="s">
        <v>1301</v>
      </c>
      <c r="AY274" s="5" t="s">
        <v>1381</v>
      </c>
      <c r="AZ274" s="5" t="s">
        <v>38</v>
      </c>
      <c r="BA274" s="12"/>
      <c r="BB274" s="12"/>
      <c r="BC274" s="12"/>
      <c r="BD274" s="11">
        <v>0</v>
      </c>
      <c r="BE274" s="11">
        <v>0</v>
      </c>
    </row>
    <row x14ac:dyDescent="0.25" r="275" customHeight="1" ht="17.25">
      <c r="A275" s="11">
        <v>205186</v>
      </c>
      <c r="B275" s="4" t="s">
        <v>1382</v>
      </c>
      <c r="C275" s="5" t="s">
        <v>508</v>
      </c>
      <c r="D275" s="5" t="s">
        <v>509</v>
      </c>
      <c r="E275" s="5" t="s">
        <v>1383</v>
      </c>
      <c r="F275" s="13">
        <f>"0195131169"</f>
      </c>
      <c r="G275" s="13">
        <f>"9780195131161"</f>
      </c>
      <c r="H275" s="11">
        <v>0</v>
      </c>
      <c r="I275" s="14">
        <v>3.86</v>
      </c>
      <c r="J275" s="7" t="s">
        <v>245</v>
      </c>
      <c r="K275" s="5" t="s">
        <v>60</v>
      </c>
      <c r="L275" s="11">
        <v>112</v>
      </c>
      <c r="M275" s="11">
        <v>2001</v>
      </c>
      <c r="N275" s="11">
        <v>-416</v>
      </c>
      <c r="O275" s="15"/>
      <c r="P275" s="8">
        <v>45120</v>
      </c>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4" t="s">
        <v>1301</v>
      </c>
      <c r="AY275" s="5" t="s">
        <v>1384</v>
      </c>
      <c r="AZ275" s="5" t="s">
        <v>38</v>
      </c>
      <c r="BA275" s="12"/>
      <c r="BB275" s="12"/>
      <c r="BC275" s="12"/>
      <c r="BD275" s="11">
        <v>0</v>
      </c>
      <c r="BE275" s="11">
        <v>0</v>
      </c>
    </row>
    <row x14ac:dyDescent="0.25" r="276" customHeight="1" ht="17.25">
      <c r="A276" s="11">
        <v>505044</v>
      </c>
      <c r="B276" s="4" t="s">
        <v>1385</v>
      </c>
      <c r="C276" s="5" t="s">
        <v>938</v>
      </c>
      <c r="D276" s="5" t="s">
        <v>939</v>
      </c>
      <c r="E276" s="12"/>
      <c r="F276" s="13">
        <f>"031202214X"</f>
      </c>
      <c r="G276" s="13">
        <f>"9780312022143"</f>
      </c>
      <c r="H276" s="11">
        <v>0</v>
      </c>
      <c r="I276" s="14">
        <v>4.39</v>
      </c>
      <c r="J276" s="7" t="s">
        <v>1386</v>
      </c>
      <c r="K276" s="5" t="s">
        <v>60</v>
      </c>
      <c r="L276" s="11">
        <v>304</v>
      </c>
      <c r="M276" s="11">
        <v>1988</v>
      </c>
      <c r="N276" s="16"/>
      <c r="O276" s="15"/>
      <c r="P276" s="8">
        <v>45117</v>
      </c>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4" t="s">
        <v>1301</v>
      </c>
      <c r="AY276" s="5" t="s">
        <v>1387</v>
      </c>
      <c r="AZ276" s="5" t="s">
        <v>38</v>
      </c>
      <c r="BA276" s="12"/>
      <c r="BB276" s="12"/>
      <c r="BC276" s="12"/>
      <c r="BD276" s="11">
        <v>0</v>
      </c>
      <c r="BE276" s="11">
        <v>0</v>
      </c>
    </row>
    <row x14ac:dyDescent="0.25" r="277" customHeight="1" ht="17.25">
      <c r="A277" s="11">
        <v>120179</v>
      </c>
      <c r="B277" s="4" t="s">
        <v>1388</v>
      </c>
      <c r="C277" s="5" t="s">
        <v>1389</v>
      </c>
      <c r="D277" s="5" t="s">
        <v>1390</v>
      </c>
      <c r="E277" s="12"/>
      <c r="F277" s="13">
        <f>"0892367423"</f>
      </c>
      <c r="G277" s="13">
        <f>"9780892367429"</f>
      </c>
      <c r="H277" s="11">
        <v>0</v>
      </c>
      <c r="I277" s="14">
        <v>3.9</v>
      </c>
      <c r="J277" s="7" t="s">
        <v>245</v>
      </c>
      <c r="K277" s="5" t="s">
        <v>60</v>
      </c>
      <c r="L277" s="11">
        <v>168</v>
      </c>
      <c r="M277" s="11">
        <v>2004</v>
      </c>
      <c r="N277" s="11">
        <v>2003</v>
      </c>
      <c r="O277" s="15"/>
      <c r="P277" s="8">
        <v>45117</v>
      </c>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4" t="s">
        <v>1301</v>
      </c>
      <c r="AY277" s="5" t="s">
        <v>1391</v>
      </c>
      <c r="AZ277" s="5" t="s">
        <v>38</v>
      </c>
      <c r="BA277" s="12"/>
      <c r="BB277" s="12"/>
      <c r="BC277" s="12"/>
      <c r="BD277" s="11">
        <v>0</v>
      </c>
      <c r="BE277" s="11">
        <v>0</v>
      </c>
    </row>
    <row x14ac:dyDescent="0.25" r="278" customHeight="1" ht="17.25">
      <c r="A278" s="11">
        <v>589743</v>
      </c>
      <c r="B278" s="4" t="s">
        <v>1392</v>
      </c>
      <c r="C278" s="5" t="s">
        <v>1393</v>
      </c>
      <c r="D278" s="5" t="s">
        <v>1394</v>
      </c>
      <c r="E278" s="12"/>
      <c r="F278" s="13">
        <f>"1570626731"</f>
      </c>
      <c r="G278" s="13">
        <f>"9781570626739"</f>
      </c>
      <c r="H278" s="11">
        <v>0</v>
      </c>
      <c r="I278" s="14">
        <v>4.05</v>
      </c>
      <c r="J278" s="7" t="s">
        <v>1395</v>
      </c>
      <c r="K278" s="5" t="s">
        <v>60</v>
      </c>
      <c r="L278" s="11">
        <v>210</v>
      </c>
      <c r="M278" s="11">
        <v>2001</v>
      </c>
      <c r="N278" s="11">
        <v>1994</v>
      </c>
      <c r="O278" s="15"/>
      <c r="P278" s="8">
        <v>45114</v>
      </c>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4" t="s">
        <v>1301</v>
      </c>
      <c r="AY278" s="5" t="s">
        <v>1396</v>
      </c>
      <c r="AZ278" s="5" t="s">
        <v>38</v>
      </c>
      <c r="BA278" s="12"/>
      <c r="BB278" s="12"/>
      <c r="BC278" s="12"/>
      <c r="BD278" s="11">
        <v>0</v>
      </c>
      <c r="BE278" s="11">
        <v>0</v>
      </c>
    </row>
    <row x14ac:dyDescent="0.25" r="279" customHeight="1" ht="17.25">
      <c r="A279" s="11">
        <v>129494</v>
      </c>
      <c r="B279" s="4" t="s">
        <v>1397</v>
      </c>
      <c r="C279" s="5" t="s">
        <v>580</v>
      </c>
      <c r="D279" s="5" t="s">
        <v>581</v>
      </c>
      <c r="E279" s="12"/>
      <c r="F279" s="13">
        <f>"0393310779"</f>
      </c>
      <c r="G279" s="13">
        <f>"9780393310771"</f>
      </c>
      <c r="H279" s="11">
        <v>0</v>
      </c>
      <c r="I279" s="14">
        <v>3.9</v>
      </c>
      <c r="J279" s="7" t="s">
        <v>1398</v>
      </c>
      <c r="K279" s="5" t="s">
        <v>60</v>
      </c>
      <c r="L279" s="11">
        <v>212</v>
      </c>
      <c r="M279" s="11">
        <v>1993</v>
      </c>
      <c r="N279" s="11">
        <v>1930</v>
      </c>
      <c r="O279" s="15"/>
      <c r="P279" s="8">
        <v>45114</v>
      </c>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4" t="s">
        <v>1301</v>
      </c>
      <c r="AY279" s="5" t="s">
        <v>1399</v>
      </c>
      <c r="AZ279" s="5" t="s">
        <v>38</v>
      </c>
      <c r="BA279" s="12"/>
      <c r="BB279" s="12"/>
      <c r="BC279" s="12"/>
      <c r="BD279" s="11">
        <v>0</v>
      </c>
      <c r="BE279" s="11">
        <v>0</v>
      </c>
    </row>
    <row x14ac:dyDescent="0.25" r="280" customHeight="1" ht="15.75">
      <c r="A280" s="11">
        <v>17645</v>
      </c>
      <c r="B280" s="4" t="s">
        <v>1400</v>
      </c>
      <c r="C280" s="5" t="s">
        <v>1401</v>
      </c>
      <c r="D280" s="5" t="s">
        <v>1402</v>
      </c>
      <c r="E280" s="12"/>
      <c r="F280" s="13">
        <f>"1841957178"</f>
      </c>
      <c r="G280" s="13">
        <f>"9781841957173"</f>
      </c>
      <c r="H280" s="11">
        <v>0</v>
      </c>
      <c r="I280" s="14">
        <v>3.72</v>
      </c>
      <c r="J280" s="7" t="s">
        <v>1403</v>
      </c>
      <c r="K280" s="5" t="s">
        <v>72</v>
      </c>
      <c r="L280" s="11">
        <v>198</v>
      </c>
      <c r="M280" s="11">
        <v>2005</v>
      </c>
      <c r="N280" s="11">
        <v>2005</v>
      </c>
      <c r="O280" s="15"/>
      <c r="P280" s="8">
        <v>45112</v>
      </c>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4" t="s">
        <v>1404</v>
      </c>
      <c r="AY280" s="5" t="s">
        <v>1405</v>
      </c>
      <c r="AZ280" s="5" t="s">
        <v>38</v>
      </c>
      <c r="BA280" s="12"/>
      <c r="BB280" s="12"/>
      <c r="BC280" s="12"/>
      <c r="BD280" s="11">
        <v>0</v>
      </c>
      <c r="BE280" s="11">
        <v>0</v>
      </c>
    </row>
    <row x14ac:dyDescent="0.25" r="281" customHeight="1" ht="17.25">
      <c r="A281" s="11">
        <v>993747</v>
      </c>
      <c r="B281" s="4" t="s">
        <v>1406</v>
      </c>
      <c r="C281" s="5" t="s">
        <v>508</v>
      </c>
      <c r="D281" s="5" t="s">
        <v>509</v>
      </c>
      <c r="E281" s="5" t="s">
        <v>1407</v>
      </c>
      <c r="F281" s="13">
        <f>"0195143035"</f>
      </c>
      <c r="G281" s="13">
        <f>"9780195143034"</f>
      </c>
      <c r="H281" s="11">
        <v>0</v>
      </c>
      <c r="I281" s="14">
        <v>3.56</v>
      </c>
      <c r="J281" s="7" t="s">
        <v>245</v>
      </c>
      <c r="K281" s="5" t="s">
        <v>60</v>
      </c>
      <c r="L281" s="11">
        <v>96</v>
      </c>
      <c r="M281" s="11">
        <v>2001</v>
      </c>
      <c r="N281" s="11">
        <v>-420</v>
      </c>
      <c r="O281" s="15"/>
      <c r="P281" s="8">
        <v>45111</v>
      </c>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4" t="s">
        <v>1301</v>
      </c>
      <c r="AY281" s="5" t="s">
        <v>1408</v>
      </c>
      <c r="AZ281" s="5" t="s">
        <v>38</v>
      </c>
      <c r="BA281" s="12"/>
      <c r="BB281" s="12"/>
      <c r="BC281" s="12"/>
      <c r="BD281" s="11">
        <v>0</v>
      </c>
      <c r="BE281" s="11">
        <v>0</v>
      </c>
    </row>
    <row x14ac:dyDescent="0.25" r="282" customHeight="1" ht="17.25">
      <c r="A282" s="11">
        <v>2099275</v>
      </c>
      <c r="B282" s="4" t="s">
        <v>1409</v>
      </c>
      <c r="C282" s="5" t="s">
        <v>508</v>
      </c>
      <c r="D282" s="5" t="s">
        <v>509</v>
      </c>
      <c r="E282" s="5" t="s">
        <v>1410</v>
      </c>
      <c r="F282" s="13">
        <f>"0195020499"</f>
      </c>
      <c r="G282" s="13">
        <f>"9780195020496"</f>
      </c>
      <c r="H282" s="11">
        <v>0</v>
      </c>
      <c r="I282" s="14">
        <v>3.28</v>
      </c>
      <c r="J282" s="7" t="s">
        <v>245</v>
      </c>
      <c r="K282" s="5" t="s">
        <v>72</v>
      </c>
      <c r="L282" s="11">
        <v>112</v>
      </c>
      <c r="M282" s="11">
        <v>1978</v>
      </c>
      <c r="N282" s="11">
        <v>-431</v>
      </c>
      <c r="O282" s="15"/>
      <c r="P282" s="8">
        <v>45111</v>
      </c>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4" t="s">
        <v>1301</v>
      </c>
      <c r="AY282" s="5" t="s">
        <v>1411</v>
      </c>
      <c r="AZ282" s="5" t="s">
        <v>38</v>
      </c>
      <c r="BA282" s="12"/>
      <c r="BB282" s="12"/>
      <c r="BC282" s="12"/>
      <c r="BD282" s="11">
        <v>0</v>
      </c>
      <c r="BE282" s="11">
        <v>0</v>
      </c>
    </row>
    <row x14ac:dyDescent="0.25" r="283" customHeight="1" ht="15.75">
      <c r="A283" s="11">
        <v>75887</v>
      </c>
      <c r="B283" s="4" t="s">
        <v>1412</v>
      </c>
      <c r="C283" s="5" t="s">
        <v>359</v>
      </c>
      <c r="D283" s="5" t="s">
        <v>360</v>
      </c>
      <c r="E283" s="5" t="s">
        <v>1413</v>
      </c>
      <c r="F283" s="13">
        <f>"0971457808"</f>
      </c>
      <c r="G283" s="13">
        <f>"9780971457805"</f>
      </c>
      <c r="H283" s="11">
        <v>0</v>
      </c>
      <c r="I283" s="14">
        <v>3.89</v>
      </c>
      <c r="J283" s="7" t="s">
        <v>1414</v>
      </c>
      <c r="K283" s="5" t="s">
        <v>60</v>
      </c>
      <c r="L283" s="11">
        <v>100</v>
      </c>
      <c r="M283" s="11">
        <v>2006</v>
      </c>
      <c r="N283" s="11">
        <v>1934</v>
      </c>
      <c r="O283" s="15"/>
      <c r="P283" s="8">
        <v>45081</v>
      </c>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4" t="s">
        <v>1415</v>
      </c>
      <c r="AY283" s="5" t="s">
        <v>1416</v>
      </c>
      <c r="AZ283" s="5" t="s">
        <v>38</v>
      </c>
      <c r="BA283" s="12"/>
      <c r="BB283" s="12"/>
      <c r="BC283" s="12"/>
      <c r="BD283" s="11">
        <v>0</v>
      </c>
      <c r="BE283" s="11">
        <v>0</v>
      </c>
    </row>
    <row x14ac:dyDescent="0.25" r="284" customHeight="1" ht="17.25">
      <c r="A284" s="11">
        <v>13747760</v>
      </c>
      <c r="B284" s="4" t="s">
        <v>1417</v>
      </c>
      <c r="C284" s="5" t="s">
        <v>1418</v>
      </c>
      <c r="D284" s="5" t="s">
        <v>1419</v>
      </c>
      <c r="E284" s="12"/>
      <c r="F284" s="13">
        <f>"0674064372"</f>
      </c>
      <c r="G284" s="13">
        <f>"9780674064379"</f>
      </c>
      <c r="H284" s="11">
        <v>0</v>
      </c>
      <c r="I284" s="14">
        <v>3.39</v>
      </c>
      <c r="J284" s="7" t="s">
        <v>138</v>
      </c>
      <c r="K284" s="5" t="s">
        <v>72</v>
      </c>
      <c r="L284" s="11">
        <v>304</v>
      </c>
      <c r="M284" s="11">
        <v>2012</v>
      </c>
      <c r="N284" s="11">
        <v>2010</v>
      </c>
      <c r="O284" s="15"/>
      <c r="P284" s="8">
        <v>45081</v>
      </c>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4" t="s">
        <v>1420</v>
      </c>
      <c r="AY284" s="5" t="s">
        <v>1421</v>
      </c>
      <c r="AZ284" s="5" t="s">
        <v>38</v>
      </c>
      <c r="BA284" s="12"/>
      <c r="BB284" s="12"/>
      <c r="BC284" s="12"/>
      <c r="BD284" s="11">
        <v>0</v>
      </c>
      <c r="BE284" s="11">
        <v>0</v>
      </c>
    </row>
    <row x14ac:dyDescent="0.25" r="285" customHeight="1" ht="17.25">
      <c r="A285" s="11">
        <v>590161</v>
      </c>
      <c r="B285" s="4" t="s">
        <v>1422</v>
      </c>
      <c r="C285" s="5" t="s">
        <v>1423</v>
      </c>
      <c r="D285" s="5" t="s">
        <v>1424</v>
      </c>
      <c r="E285" s="12"/>
      <c r="F285" s="13">
        <f>"0940262010"</f>
      </c>
      <c r="G285" s="13">
        <f>"9780940262010"</f>
      </c>
      <c r="H285" s="11">
        <v>0</v>
      </c>
      <c r="I285" s="14">
        <v>4.33</v>
      </c>
      <c r="J285" s="7" t="s">
        <v>1425</v>
      </c>
      <c r="K285" s="5" t="s">
        <v>60</v>
      </c>
      <c r="L285" s="11">
        <v>144</v>
      </c>
      <c r="M285" s="11">
        <v>1983</v>
      </c>
      <c r="N285" s="11">
        <v>1983</v>
      </c>
      <c r="O285" s="15"/>
      <c r="P285" s="9">
        <v>44484</v>
      </c>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4" t="s">
        <v>1301</v>
      </c>
      <c r="AY285" s="5" t="s">
        <v>1426</v>
      </c>
      <c r="AZ285" s="5" t="s">
        <v>38</v>
      </c>
      <c r="BA285" s="12"/>
      <c r="BB285" s="12"/>
      <c r="BC285" s="12"/>
      <c r="BD285" s="11">
        <v>0</v>
      </c>
      <c r="BE285" s="11">
        <v>0</v>
      </c>
    </row>
    <row x14ac:dyDescent="0.25" r="286" customHeight="1" ht="17.25">
      <c r="A286" s="11">
        <v>18096738</v>
      </c>
      <c r="B286" s="4" t="s">
        <v>1427</v>
      </c>
      <c r="C286" s="5" t="s">
        <v>1428</v>
      </c>
      <c r="D286" s="5" t="s">
        <v>1429</v>
      </c>
      <c r="E286" s="5" t="s">
        <v>1430</v>
      </c>
      <c r="F286" s="13">
        <f>"1107645034"</f>
      </c>
      <c r="G286" s="13">
        <f>"9781107645035"</f>
      </c>
      <c r="H286" s="11">
        <v>0</v>
      </c>
      <c r="I286" s="14">
        <v>3.77</v>
      </c>
      <c r="J286" s="7" t="s">
        <v>636</v>
      </c>
      <c r="K286" s="5" t="s">
        <v>60</v>
      </c>
      <c r="L286" s="11">
        <v>174</v>
      </c>
      <c r="M286" s="11">
        <v>2013</v>
      </c>
      <c r="N286" s="11">
        <v>362</v>
      </c>
      <c r="O286" s="15"/>
      <c r="P286" s="8">
        <v>44967</v>
      </c>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4" t="s">
        <v>1301</v>
      </c>
      <c r="AY286" s="5" t="s">
        <v>1431</v>
      </c>
      <c r="AZ286" s="5" t="s">
        <v>38</v>
      </c>
      <c r="BA286" s="12"/>
      <c r="BB286" s="12"/>
      <c r="BC286" s="12"/>
      <c r="BD286" s="11">
        <v>0</v>
      </c>
      <c r="BE286" s="11">
        <v>0</v>
      </c>
    </row>
    <row x14ac:dyDescent="0.25" r="287" customHeight="1" ht="17.25">
      <c r="A287" s="11">
        <v>725946</v>
      </c>
      <c r="B287" s="4" t="s">
        <v>1432</v>
      </c>
      <c r="C287" s="5" t="s">
        <v>1433</v>
      </c>
      <c r="D287" s="5" t="s">
        <v>1434</v>
      </c>
      <c r="E287" s="12"/>
      <c r="F287" s="13">
        <f>"0394741757"</f>
      </c>
      <c r="G287" s="13">
        <f>"9780394741758"</f>
      </c>
      <c r="H287" s="11">
        <v>0</v>
      </c>
      <c r="I287" s="14">
        <v>3.93</v>
      </c>
      <c r="J287" s="7" t="s">
        <v>1435</v>
      </c>
      <c r="K287" s="5" t="s">
        <v>60</v>
      </c>
      <c r="L287" s="11">
        <v>200</v>
      </c>
      <c r="M287" s="11">
        <v>1986</v>
      </c>
      <c r="N287" s="11">
        <v>1967</v>
      </c>
      <c r="O287" s="15"/>
      <c r="P287" s="9">
        <v>44479</v>
      </c>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4" t="s">
        <v>1301</v>
      </c>
      <c r="AY287" s="5" t="s">
        <v>1436</v>
      </c>
      <c r="AZ287" s="5" t="s">
        <v>38</v>
      </c>
      <c r="BA287" s="12"/>
      <c r="BB287" s="12"/>
      <c r="BC287" s="12"/>
      <c r="BD287" s="11">
        <v>0</v>
      </c>
      <c r="BE287" s="11">
        <v>0</v>
      </c>
    </row>
    <row x14ac:dyDescent="0.25" r="288" customHeight="1" ht="17.25">
      <c r="A288" s="11">
        <v>13115657</v>
      </c>
      <c r="B288" s="4" t="s">
        <v>1437</v>
      </c>
      <c r="C288" s="5" t="s">
        <v>1438</v>
      </c>
      <c r="D288" s="5" t="s">
        <v>1439</v>
      </c>
      <c r="E288" s="12"/>
      <c r="F288" s="13">
        <f>"1908092076"</f>
      </c>
      <c r="G288" s="13">
        <f>"9781908092076"</f>
      </c>
      <c r="H288" s="11">
        <v>0</v>
      </c>
      <c r="I288" s="14">
        <v>4.22</v>
      </c>
      <c r="J288" s="7" t="s">
        <v>1440</v>
      </c>
      <c r="K288" s="5" t="s">
        <v>60</v>
      </c>
      <c r="L288" s="11">
        <v>118</v>
      </c>
      <c r="M288" s="11">
        <v>2011</v>
      </c>
      <c r="N288" s="11">
        <v>2011</v>
      </c>
      <c r="O288" s="15"/>
      <c r="P288" s="9">
        <v>44484</v>
      </c>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4" t="s">
        <v>1441</v>
      </c>
      <c r="AY288" s="5" t="s">
        <v>1442</v>
      </c>
      <c r="AZ288" s="5" t="s">
        <v>38</v>
      </c>
      <c r="BA288" s="12"/>
      <c r="BB288" s="12"/>
      <c r="BC288" s="12"/>
      <c r="BD288" s="11">
        <v>0</v>
      </c>
      <c r="BE288" s="11">
        <v>0</v>
      </c>
    </row>
    <row x14ac:dyDescent="0.25" r="289" customHeight="1" ht="17.25">
      <c r="A289" s="11">
        <v>4891709</v>
      </c>
      <c r="B289" s="4" t="s">
        <v>1443</v>
      </c>
      <c r="C289" s="5" t="s">
        <v>1444</v>
      </c>
      <c r="D289" s="5" t="s">
        <v>1445</v>
      </c>
      <c r="E289" s="5" t="s">
        <v>1446</v>
      </c>
      <c r="F289" s="13">
        <f>"0520248953"</f>
      </c>
      <c r="G289" s="13">
        <f>"9780520248953"</f>
      </c>
      <c r="H289" s="11">
        <v>0</v>
      </c>
      <c r="I289" s="14">
        <v>3.92</v>
      </c>
      <c r="J289" s="7" t="s">
        <v>1335</v>
      </c>
      <c r="K289" s="5" t="s">
        <v>72</v>
      </c>
      <c r="L289" s="11">
        <v>240</v>
      </c>
      <c r="M289" s="11">
        <v>2011</v>
      </c>
      <c r="N289" s="11">
        <v>2005</v>
      </c>
      <c r="O289" s="15"/>
      <c r="P289" s="9">
        <v>44484</v>
      </c>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4" t="s">
        <v>1447</v>
      </c>
      <c r="AY289" s="5" t="s">
        <v>1448</v>
      </c>
      <c r="AZ289" s="5" t="s">
        <v>38</v>
      </c>
      <c r="BA289" s="12"/>
      <c r="BB289" s="12"/>
      <c r="BC289" s="12"/>
      <c r="BD289" s="11">
        <v>0</v>
      </c>
      <c r="BE289" s="11">
        <v>0</v>
      </c>
    </row>
    <row x14ac:dyDescent="0.25" r="290" customHeight="1" ht="17.25">
      <c r="A290" s="11">
        <v>7206194</v>
      </c>
      <c r="B290" s="4" t="s">
        <v>1449</v>
      </c>
      <c r="C290" s="5" t="s">
        <v>1450</v>
      </c>
      <c r="D290" s="5" t="s">
        <v>1451</v>
      </c>
      <c r="E290" s="5" t="s">
        <v>1452</v>
      </c>
      <c r="F290" s="13">
        <f>"0892541601"</f>
      </c>
      <c r="G290" s="13">
        <f>"9780892541607"</f>
      </c>
      <c r="H290" s="11">
        <v>0</v>
      </c>
      <c r="I290" s="14">
        <v>3.9</v>
      </c>
      <c r="J290" s="7" t="s">
        <v>1453</v>
      </c>
      <c r="K290" s="5" t="s">
        <v>60</v>
      </c>
      <c r="L290" s="11">
        <v>352</v>
      </c>
      <c r="M290" s="11">
        <v>2010</v>
      </c>
      <c r="N290" s="11">
        <v>1979</v>
      </c>
      <c r="O290" s="15"/>
      <c r="P290" s="9">
        <v>44484</v>
      </c>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4" t="s">
        <v>1301</v>
      </c>
      <c r="AY290" s="5" t="s">
        <v>1454</v>
      </c>
      <c r="AZ290" s="5" t="s">
        <v>38</v>
      </c>
      <c r="BA290" s="12"/>
      <c r="BB290" s="12"/>
      <c r="BC290" s="12"/>
      <c r="BD290" s="11">
        <v>0</v>
      </c>
      <c r="BE290" s="11">
        <v>0</v>
      </c>
    </row>
    <row x14ac:dyDescent="0.25" r="291" customHeight="1" ht="17.25">
      <c r="A291" s="11">
        <v>205137</v>
      </c>
      <c r="B291" s="4" t="s">
        <v>1455</v>
      </c>
      <c r="C291" s="5" t="s">
        <v>1456</v>
      </c>
      <c r="D291" s="5" t="s">
        <v>1457</v>
      </c>
      <c r="E291" s="5" t="s">
        <v>1458</v>
      </c>
      <c r="F291" s="13">
        <f>"0691024995"</f>
      </c>
      <c r="G291" s="13">
        <f>"9780691024998"</f>
      </c>
      <c r="H291" s="11">
        <v>0</v>
      </c>
      <c r="I291" s="14">
        <v>4.16</v>
      </c>
      <c r="J291" s="7" t="s">
        <v>172</v>
      </c>
      <c r="K291" s="5" t="s">
        <v>60</v>
      </c>
      <c r="L291" s="11">
        <v>296</v>
      </c>
      <c r="M291" s="11">
        <v>1993</v>
      </c>
      <c r="N291" s="11">
        <v>1934</v>
      </c>
      <c r="O291" s="15"/>
      <c r="P291" s="9">
        <v>44484</v>
      </c>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4" t="s">
        <v>1301</v>
      </c>
      <c r="AY291" s="5" t="s">
        <v>1459</v>
      </c>
      <c r="AZ291" s="5" t="s">
        <v>38</v>
      </c>
      <c r="BA291" s="12"/>
      <c r="BB291" s="12"/>
      <c r="BC291" s="12"/>
      <c r="BD291" s="11">
        <v>0</v>
      </c>
      <c r="BE291" s="11">
        <v>0</v>
      </c>
    </row>
    <row x14ac:dyDescent="0.25" r="292" customHeight="1" ht="17.25">
      <c r="A292" s="11">
        <v>621898</v>
      </c>
      <c r="B292" s="4" t="s">
        <v>1460</v>
      </c>
      <c r="C292" s="5" t="s">
        <v>1461</v>
      </c>
      <c r="D292" s="5" t="s">
        <v>1462</v>
      </c>
      <c r="E292" s="12"/>
      <c r="F292" s="13">
        <f>"0521422949"</f>
      </c>
      <c r="G292" s="13">
        <f>"9780521422949"</f>
      </c>
      <c r="H292" s="11">
        <v>0</v>
      </c>
      <c r="I292" s="14">
        <v>4.01</v>
      </c>
      <c r="J292" s="7" t="s">
        <v>636</v>
      </c>
      <c r="K292" s="5" t="s">
        <v>60</v>
      </c>
      <c r="L292" s="11">
        <v>434</v>
      </c>
      <c r="M292" s="11">
        <v>1995</v>
      </c>
      <c r="N292" s="11">
        <v>1995</v>
      </c>
      <c r="O292" s="15"/>
      <c r="P292" s="8">
        <v>44473</v>
      </c>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4" t="s">
        <v>1301</v>
      </c>
      <c r="AY292" s="5" t="s">
        <v>1463</v>
      </c>
      <c r="AZ292" s="5" t="s">
        <v>38</v>
      </c>
      <c r="BA292" s="12"/>
      <c r="BB292" s="12"/>
      <c r="BC292" s="12"/>
      <c r="BD292" s="11">
        <v>0</v>
      </c>
      <c r="BE292" s="11">
        <v>0</v>
      </c>
    </row>
    <row x14ac:dyDescent="0.25" r="293" customHeight="1" ht="17.25">
      <c r="A293" s="11">
        <v>370937</v>
      </c>
      <c r="B293" s="4" t="s">
        <v>1464</v>
      </c>
      <c r="C293" s="5" t="s">
        <v>1465</v>
      </c>
      <c r="D293" s="5" t="s">
        <v>1466</v>
      </c>
      <c r="E293" s="12"/>
      <c r="F293" s="13">
        <f>"0198661320"</f>
      </c>
      <c r="G293" s="13">
        <f>"9780198661320"</f>
      </c>
      <c r="H293" s="11">
        <v>0</v>
      </c>
      <c r="I293" s="14">
        <v>4.16</v>
      </c>
      <c r="J293" s="7" t="s">
        <v>245</v>
      </c>
      <c r="K293" s="5" t="s">
        <v>60</v>
      </c>
      <c r="L293" s="11">
        <v>1040</v>
      </c>
      <c r="M293" s="11">
        <v>1995</v>
      </c>
      <c r="N293" s="11">
        <v>1995</v>
      </c>
      <c r="O293" s="15"/>
      <c r="P293" s="8">
        <v>45126</v>
      </c>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4" t="s">
        <v>1467</v>
      </c>
      <c r="AY293" s="5" t="s">
        <v>1468</v>
      </c>
      <c r="AZ293" s="5" t="s">
        <v>38</v>
      </c>
      <c r="BA293" s="12"/>
      <c r="BB293" s="12"/>
      <c r="BC293" s="12"/>
      <c r="BD293" s="11">
        <v>0</v>
      </c>
      <c r="BE293" s="11">
        <v>0</v>
      </c>
    </row>
    <row x14ac:dyDescent="0.25" r="294" customHeight="1" ht="17.25">
      <c r="A294" s="11">
        <v>957211</v>
      </c>
      <c r="B294" s="4" t="s">
        <v>1469</v>
      </c>
      <c r="C294" s="5" t="s">
        <v>1470</v>
      </c>
      <c r="D294" s="5" t="s">
        <v>1471</v>
      </c>
      <c r="E294" s="12"/>
      <c r="F294" s="13">
        <f>"0230522009"</f>
      </c>
      <c r="G294" s="13">
        <f>"9780230522008"</f>
      </c>
      <c r="H294" s="11">
        <v>0</v>
      </c>
      <c r="I294" s="11">
        <v>4</v>
      </c>
      <c r="J294" s="7" t="s">
        <v>1472</v>
      </c>
      <c r="K294" s="5" t="s">
        <v>60</v>
      </c>
      <c r="L294" s="11">
        <v>416</v>
      </c>
      <c r="M294" s="11">
        <v>2007</v>
      </c>
      <c r="N294" s="11">
        <v>1974</v>
      </c>
      <c r="O294" s="15"/>
      <c r="P294" s="8">
        <v>45177</v>
      </c>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4" t="s">
        <v>1467</v>
      </c>
      <c r="AY294" s="5" t="s">
        <v>1473</v>
      </c>
      <c r="AZ294" s="5" t="s">
        <v>38</v>
      </c>
      <c r="BA294" s="12"/>
      <c r="BB294" s="12"/>
      <c r="BC294" s="12"/>
      <c r="BD294" s="11">
        <v>0</v>
      </c>
      <c r="BE294" s="11">
        <v>0</v>
      </c>
    </row>
    <row x14ac:dyDescent="0.25" r="295" customHeight="1" ht="17.25">
      <c r="A295" s="11">
        <v>57370990</v>
      </c>
      <c r="B295" s="4" t="s">
        <v>1474</v>
      </c>
      <c r="C295" s="5" t="s">
        <v>1475</v>
      </c>
      <c r="D295" s="5" t="s">
        <v>1476</v>
      </c>
      <c r="E295" s="12"/>
      <c r="F295" s="13">
        <f>"1681376016"</f>
      </c>
      <c r="G295" s="13">
        <f>"9781681376011"</f>
      </c>
      <c r="H295" s="11">
        <v>0</v>
      </c>
      <c r="I295" s="14">
        <v>4.57</v>
      </c>
      <c r="J295" s="7" t="s">
        <v>108</v>
      </c>
      <c r="K295" s="5" t="s">
        <v>60</v>
      </c>
      <c r="L295" s="11">
        <v>496</v>
      </c>
      <c r="M295" s="11">
        <v>2022</v>
      </c>
      <c r="N295" s="11">
        <v>1961</v>
      </c>
      <c r="O295" s="15"/>
      <c r="P295" s="8">
        <v>45102</v>
      </c>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4" t="s">
        <v>1477</v>
      </c>
      <c r="AY295" s="5" t="s">
        <v>1478</v>
      </c>
      <c r="AZ295" s="5" t="s">
        <v>38</v>
      </c>
      <c r="BA295" s="12"/>
      <c r="BB295" s="12"/>
      <c r="BC295" s="12"/>
      <c r="BD295" s="11">
        <v>0</v>
      </c>
      <c r="BE295" s="11">
        <v>0</v>
      </c>
    </row>
    <row x14ac:dyDescent="0.25" r="296" customHeight="1" ht="17.25">
      <c r="A296" s="11">
        <v>460984</v>
      </c>
      <c r="B296" s="4" t="s">
        <v>1479</v>
      </c>
      <c r="C296" s="5" t="s">
        <v>1480</v>
      </c>
      <c r="D296" s="5" t="s">
        <v>1481</v>
      </c>
      <c r="E296" s="5" t="s">
        <v>1482</v>
      </c>
      <c r="F296" s="13">
        <f>""</f>
      </c>
      <c r="G296" s="13">
        <f>""</f>
      </c>
      <c r="H296" s="11">
        <v>0</v>
      </c>
      <c r="I296" s="14">
        <v>4.15</v>
      </c>
      <c r="J296" s="7" t="s">
        <v>636</v>
      </c>
      <c r="K296" s="5" t="s">
        <v>60</v>
      </c>
      <c r="L296" s="11">
        <v>368</v>
      </c>
      <c r="M296" s="11">
        <v>1992</v>
      </c>
      <c r="N296" s="11">
        <v>1917</v>
      </c>
      <c r="O296" s="15"/>
      <c r="P296" s="9">
        <v>44479</v>
      </c>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4" t="s">
        <v>1483</v>
      </c>
      <c r="AY296" s="5" t="s">
        <v>1484</v>
      </c>
      <c r="AZ296" s="5" t="s">
        <v>38</v>
      </c>
      <c r="BA296" s="12"/>
      <c r="BB296" s="12"/>
      <c r="BC296" s="12"/>
      <c r="BD296" s="11">
        <v>0</v>
      </c>
      <c r="BE296" s="11">
        <v>0</v>
      </c>
    </row>
    <row x14ac:dyDescent="0.25" r="297" customHeight="1" ht="17.25">
      <c r="A297" s="11">
        <v>109588</v>
      </c>
      <c r="B297" s="4" t="s">
        <v>1485</v>
      </c>
      <c r="C297" s="5" t="s">
        <v>1486</v>
      </c>
      <c r="D297" s="5" t="s">
        <v>1487</v>
      </c>
      <c r="E297" s="12"/>
      <c r="F297" s="13">
        <f>"0195306821"</f>
      </c>
      <c r="G297" s="13">
        <f>"9780195306828"</f>
      </c>
      <c r="H297" s="11">
        <v>0</v>
      </c>
      <c r="I297" s="11">
        <v>4</v>
      </c>
      <c r="J297" s="7" t="s">
        <v>245</v>
      </c>
      <c r="K297" s="5" t="s">
        <v>72</v>
      </c>
      <c r="L297" s="11">
        <v>783</v>
      </c>
      <c r="M297" s="11">
        <v>2006</v>
      </c>
      <c r="N297" s="11">
        <v>1995</v>
      </c>
      <c r="O297" s="15"/>
      <c r="P297" s="8">
        <v>44508</v>
      </c>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4" t="s">
        <v>1467</v>
      </c>
      <c r="AY297" s="5" t="s">
        <v>1488</v>
      </c>
      <c r="AZ297" s="5" t="s">
        <v>38</v>
      </c>
      <c r="BA297" s="12"/>
      <c r="BB297" s="12"/>
      <c r="BC297" s="12"/>
      <c r="BD297" s="11">
        <v>0</v>
      </c>
      <c r="BE297" s="11">
        <v>0</v>
      </c>
    </row>
    <row x14ac:dyDescent="0.25" r="298" customHeight="1" ht="17.25">
      <c r="A298" s="11">
        <v>62890952</v>
      </c>
      <c r="B298" s="4" t="s">
        <v>1489</v>
      </c>
      <c r="C298" s="5" t="s">
        <v>1490</v>
      </c>
      <c r="D298" s="5" t="s">
        <v>1491</v>
      </c>
      <c r="E298" s="5" t="s">
        <v>1490</v>
      </c>
      <c r="F298" s="13">
        <f>"8418681144"</f>
      </c>
      <c r="G298" s="13">
        <f>"9788418681141"</f>
      </c>
      <c r="H298" s="11">
        <v>0</v>
      </c>
      <c r="I298" s="14">
        <v>3.89</v>
      </c>
      <c r="J298" s="7" t="s">
        <v>1492</v>
      </c>
      <c r="K298" s="5" t="s">
        <v>60</v>
      </c>
      <c r="L298" s="11">
        <v>400</v>
      </c>
      <c r="M298" s="11">
        <v>2022</v>
      </c>
      <c r="N298" s="16"/>
      <c r="O298" s="15"/>
      <c r="P298" s="8">
        <v>45113</v>
      </c>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4" t="s">
        <v>1493</v>
      </c>
      <c r="AY298" s="5" t="s">
        <v>1494</v>
      </c>
      <c r="AZ298" s="5" t="s">
        <v>38</v>
      </c>
      <c r="BA298" s="12"/>
      <c r="BB298" s="12"/>
      <c r="BC298" s="12"/>
      <c r="BD298" s="11">
        <v>0</v>
      </c>
      <c r="BE298" s="11">
        <v>0</v>
      </c>
    </row>
    <row x14ac:dyDescent="0.25" r="299" customHeight="1" ht="17.25">
      <c r="A299" s="11">
        <v>36744144</v>
      </c>
      <c r="B299" s="4" t="s">
        <v>1495</v>
      </c>
      <c r="C299" s="5" t="s">
        <v>1496</v>
      </c>
      <c r="D299" s="5" t="s">
        <v>1497</v>
      </c>
      <c r="E299" s="5" t="s">
        <v>1498</v>
      </c>
      <c r="F299" s="13">
        <f>"1350012009"</f>
      </c>
      <c r="G299" s="13">
        <f>"9781350012004"</f>
      </c>
      <c r="H299" s="11">
        <v>0</v>
      </c>
      <c r="I299" s="11">
        <v>4</v>
      </c>
      <c r="J299" s="7" t="s">
        <v>1499</v>
      </c>
      <c r="K299" s="5" t="s">
        <v>72</v>
      </c>
      <c r="L299" s="11">
        <v>192</v>
      </c>
      <c r="M299" s="11">
        <v>2018</v>
      </c>
      <c r="N299" s="11">
        <v>2012</v>
      </c>
      <c r="O299" s="15"/>
      <c r="P299" s="8">
        <v>44464</v>
      </c>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4" t="s">
        <v>1477</v>
      </c>
      <c r="AY299" s="5" t="s">
        <v>1500</v>
      </c>
      <c r="AZ299" s="5" t="s">
        <v>38</v>
      </c>
      <c r="BA299" s="12"/>
      <c r="BB299" s="12"/>
      <c r="BC299" s="12"/>
      <c r="BD299" s="11">
        <v>0</v>
      </c>
      <c r="BE299" s="11">
        <v>0</v>
      </c>
    </row>
    <row x14ac:dyDescent="0.25" r="300" customHeight="1" ht="17.25">
      <c r="A300" s="11">
        <v>396829</v>
      </c>
      <c r="B300" s="4" t="s">
        <v>1501</v>
      </c>
      <c r="C300" s="5" t="s">
        <v>1502</v>
      </c>
      <c r="D300" s="5" t="s">
        <v>1503</v>
      </c>
      <c r="E300" s="12"/>
      <c r="F300" s="13">
        <f>""</f>
      </c>
      <c r="G300" s="13">
        <f>""</f>
      </c>
      <c r="H300" s="11">
        <v>0</v>
      </c>
      <c r="I300" s="14">
        <v>3.99</v>
      </c>
      <c r="J300" s="7" t="s">
        <v>1504</v>
      </c>
      <c r="K300" s="5" t="s">
        <v>60</v>
      </c>
      <c r="L300" s="11">
        <v>195</v>
      </c>
      <c r="M300" s="11">
        <v>1964</v>
      </c>
      <c r="N300" s="11">
        <v>1964</v>
      </c>
      <c r="O300" s="15"/>
      <c r="P300" s="8">
        <v>44474</v>
      </c>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4" t="s">
        <v>1467</v>
      </c>
      <c r="AY300" s="5" t="s">
        <v>1505</v>
      </c>
      <c r="AZ300" s="5" t="s">
        <v>38</v>
      </c>
      <c r="BA300" s="12"/>
      <c r="BB300" s="12"/>
      <c r="BC300" s="12"/>
      <c r="BD300" s="11">
        <v>0</v>
      </c>
      <c r="BE300" s="11">
        <v>0</v>
      </c>
    </row>
    <row x14ac:dyDescent="0.25" r="301" customHeight="1" ht="17.25">
      <c r="A301" s="11">
        <v>1601408</v>
      </c>
      <c r="B301" s="4" t="s">
        <v>1506</v>
      </c>
      <c r="C301" s="5" t="s">
        <v>1507</v>
      </c>
      <c r="D301" s="5" t="s">
        <v>1508</v>
      </c>
      <c r="E301" s="5" t="s">
        <v>1509</v>
      </c>
      <c r="F301" s="13">
        <f>"0486217396"</f>
      </c>
      <c r="G301" s="13">
        <f>"9780486217390"</f>
      </c>
      <c r="H301" s="11">
        <v>0</v>
      </c>
      <c r="I301" s="14">
        <v>3.94</v>
      </c>
      <c r="J301" s="7" t="s">
        <v>571</v>
      </c>
      <c r="K301" s="5" t="s">
        <v>60</v>
      </c>
      <c r="L301" s="11">
        <v>544</v>
      </c>
      <c r="M301" s="11">
        <v>1967</v>
      </c>
      <c r="N301" s="11">
        <v>1941</v>
      </c>
      <c r="O301" s="15"/>
      <c r="P301" s="8">
        <v>44464</v>
      </c>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4" t="s">
        <v>1477</v>
      </c>
      <c r="AY301" s="5" t="s">
        <v>1510</v>
      </c>
      <c r="AZ301" s="5" t="s">
        <v>38</v>
      </c>
      <c r="BA301" s="12"/>
      <c r="BB301" s="12"/>
      <c r="BC301" s="12"/>
      <c r="BD301" s="11">
        <v>0</v>
      </c>
      <c r="BE301" s="11">
        <v>0</v>
      </c>
    </row>
    <row x14ac:dyDescent="0.25" r="302" customHeight="1" ht="17.25">
      <c r="A302" s="11">
        <v>31852</v>
      </c>
      <c r="B302" s="4" t="s">
        <v>1511</v>
      </c>
      <c r="C302" s="5" t="s">
        <v>1512</v>
      </c>
      <c r="D302" s="5" t="s">
        <v>1513</v>
      </c>
      <c r="E302" s="5" t="s">
        <v>1514</v>
      </c>
      <c r="F302" s="13">
        <f>"0195101960"</f>
      </c>
      <c r="G302" s="13">
        <f>"9780195101966"</f>
      </c>
      <c r="H302" s="11">
        <v>0</v>
      </c>
      <c r="I302" s="14">
        <v>3.82</v>
      </c>
      <c r="J302" s="7" t="s">
        <v>1215</v>
      </c>
      <c r="K302" s="5" t="s">
        <v>60</v>
      </c>
      <c r="L302" s="11">
        <v>352</v>
      </c>
      <c r="M302" s="11">
        <v>1996</v>
      </c>
      <c r="N302" s="11">
        <v>1996</v>
      </c>
      <c r="O302" s="15"/>
      <c r="P302" s="8">
        <v>44464</v>
      </c>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4" t="s">
        <v>1477</v>
      </c>
      <c r="AY302" s="5" t="s">
        <v>1515</v>
      </c>
      <c r="AZ302" s="5" t="s">
        <v>38</v>
      </c>
      <c r="BA302" s="12"/>
      <c r="BB302" s="12"/>
      <c r="BC302" s="12"/>
      <c r="BD302" s="11">
        <v>0</v>
      </c>
      <c r="BE302" s="11">
        <v>0</v>
      </c>
    </row>
    <row x14ac:dyDescent="0.25" r="303" customHeight="1" ht="17.25">
      <c r="A303" s="11">
        <v>40308701</v>
      </c>
      <c r="B303" s="4" t="s">
        <v>1516</v>
      </c>
      <c r="C303" s="5" t="s">
        <v>1517</v>
      </c>
      <c r="D303" s="5" t="s">
        <v>1518</v>
      </c>
      <c r="E303" s="12"/>
      <c r="F303" s="13">
        <f>"0830852220"</f>
      </c>
      <c r="G303" s="13">
        <f>"9780830852222"</f>
      </c>
      <c r="H303" s="11">
        <v>0</v>
      </c>
      <c r="I303" s="14">
        <v>4.36</v>
      </c>
      <c r="J303" s="7" t="s">
        <v>1519</v>
      </c>
      <c r="K303" s="5" t="s">
        <v>72</v>
      </c>
      <c r="L303" s="11">
        <v>600</v>
      </c>
      <c r="M303" s="11">
        <v>2018</v>
      </c>
      <c r="N303" s="11">
        <v>2018</v>
      </c>
      <c r="O303" s="15"/>
      <c r="P303" s="8">
        <v>44464</v>
      </c>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4" t="s">
        <v>1520</v>
      </c>
      <c r="AY303" s="5" t="s">
        <v>1521</v>
      </c>
      <c r="AZ303" s="5" t="s">
        <v>38</v>
      </c>
      <c r="BA303" s="12"/>
      <c r="BB303" s="12"/>
      <c r="BC303" s="12"/>
      <c r="BD303" s="11">
        <v>0</v>
      </c>
      <c r="BE303" s="11">
        <v>0</v>
      </c>
    </row>
    <row x14ac:dyDescent="0.25" r="304" customHeight="1" ht="17.25">
      <c r="A304" s="11">
        <v>17393385</v>
      </c>
      <c r="B304" s="4" t="s">
        <v>1522</v>
      </c>
      <c r="C304" s="5" t="s">
        <v>1523</v>
      </c>
      <c r="D304" s="5" t="s">
        <v>1524</v>
      </c>
      <c r="E304" s="12"/>
      <c r="F304" s="13">
        <f>"0199301085"</f>
      </c>
      <c r="G304" s="13">
        <f>"9780199301089"</f>
      </c>
      <c r="H304" s="11">
        <v>0</v>
      </c>
      <c r="I304" s="14">
        <v>3.91</v>
      </c>
      <c r="J304" s="7" t="s">
        <v>245</v>
      </c>
      <c r="K304" s="5" t="s">
        <v>60</v>
      </c>
      <c r="L304" s="11">
        <v>200</v>
      </c>
      <c r="M304" s="11">
        <v>2013</v>
      </c>
      <c r="N304" s="11">
        <v>2013</v>
      </c>
      <c r="O304" s="15"/>
      <c r="P304" s="8">
        <v>44464</v>
      </c>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4" t="s">
        <v>1477</v>
      </c>
      <c r="AY304" s="5" t="s">
        <v>1525</v>
      </c>
      <c r="AZ304" s="5" t="s">
        <v>38</v>
      </c>
      <c r="BA304" s="12"/>
      <c r="BB304" s="12"/>
      <c r="BC304" s="12"/>
      <c r="BD304" s="11">
        <v>0</v>
      </c>
      <c r="BE304" s="11">
        <v>0</v>
      </c>
    </row>
    <row x14ac:dyDescent="0.25" r="305" customHeight="1" ht="17.25">
      <c r="A305" s="11">
        <v>778458</v>
      </c>
      <c r="B305" s="4" t="s">
        <v>1526</v>
      </c>
      <c r="C305" s="5" t="s">
        <v>1527</v>
      </c>
      <c r="D305" s="5" t="s">
        <v>1528</v>
      </c>
      <c r="E305" s="5" t="s">
        <v>1529</v>
      </c>
      <c r="F305" s="13">
        <f>"0393001229"</f>
      </c>
      <c r="G305" s="13">
        <f>"9780393001228"</f>
      </c>
      <c r="H305" s="11">
        <v>0</v>
      </c>
      <c r="I305" s="14">
        <v>4.04</v>
      </c>
      <c r="J305" s="7" t="s">
        <v>144</v>
      </c>
      <c r="K305" s="5" t="s">
        <v>60</v>
      </c>
      <c r="L305" s="11">
        <v>269</v>
      </c>
      <c r="M305" s="11">
        <v>1962</v>
      </c>
      <c r="N305" s="11">
        <v>1941</v>
      </c>
      <c r="O305" s="15"/>
      <c r="P305" s="8">
        <v>44455</v>
      </c>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4" t="s">
        <v>1477</v>
      </c>
      <c r="AY305" s="5" t="s">
        <v>1530</v>
      </c>
      <c r="AZ305" s="5" t="s">
        <v>38</v>
      </c>
      <c r="BA305" s="12"/>
      <c r="BB305" s="12"/>
      <c r="BC305" s="12"/>
      <c r="BD305" s="11">
        <v>0</v>
      </c>
      <c r="BE305" s="11">
        <v>0</v>
      </c>
    </row>
    <row x14ac:dyDescent="0.25" r="306" customHeight="1" ht="17.25">
      <c r="A306" s="11">
        <v>41954426</v>
      </c>
      <c r="B306" s="4" t="s">
        <v>1531</v>
      </c>
      <c r="C306" s="5" t="s">
        <v>1532</v>
      </c>
      <c r="D306" s="5" t="s">
        <v>1533</v>
      </c>
      <c r="E306" s="12"/>
      <c r="F306" s="13">
        <f>"0241304539"</f>
      </c>
      <c r="G306" s="13">
        <f>"9780241304532"</f>
      </c>
      <c r="H306" s="11">
        <v>0</v>
      </c>
      <c r="I306" s="14">
        <v>4.08</v>
      </c>
      <c r="J306" s="7" t="s">
        <v>1534</v>
      </c>
      <c r="K306" s="5" t="s">
        <v>72</v>
      </c>
      <c r="L306" s="11">
        <v>704</v>
      </c>
      <c r="M306" s="11">
        <v>2019</v>
      </c>
      <c r="N306" s="11">
        <v>2019</v>
      </c>
      <c r="O306" s="15"/>
      <c r="P306" s="8">
        <v>44464</v>
      </c>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4" t="s">
        <v>1477</v>
      </c>
      <c r="AY306" s="5" t="s">
        <v>1535</v>
      </c>
      <c r="AZ306" s="5" t="s">
        <v>38</v>
      </c>
      <c r="BA306" s="12"/>
      <c r="BB306" s="12"/>
      <c r="BC306" s="12"/>
      <c r="BD306" s="11">
        <v>0</v>
      </c>
      <c r="BE306" s="11">
        <v>0</v>
      </c>
    </row>
    <row x14ac:dyDescent="0.25" r="307" customHeight="1" ht="17.25">
      <c r="A307" s="11">
        <v>481309</v>
      </c>
      <c r="B307" s="4" t="s">
        <v>1536</v>
      </c>
      <c r="C307" s="5" t="s">
        <v>1537</v>
      </c>
      <c r="D307" s="5" t="s">
        <v>1538</v>
      </c>
      <c r="E307" s="5" t="s">
        <v>1539</v>
      </c>
      <c r="F307" s="13">
        <f>"0674045351"</f>
      </c>
      <c r="G307" s="13">
        <f>"9780674045354"</f>
      </c>
      <c r="H307" s="11">
        <v>0</v>
      </c>
      <c r="I307" s="14">
        <v>3.94</v>
      </c>
      <c r="J307" s="7" t="s">
        <v>138</v>
      </c>
      <c r="K307" s="5" t="s">
        <v>60</v>
      </c>
      <c r="L307" s="11">
        <v>320</v>
      </c>
      <c r="M307" s="11">
        <v>1983</v>
      </c>
      <c r="N307" s="11">
        <v>1983</v>
      </c>
      <c r="O307" s="15"/>
      <c r="P307" s="8">
        <v>44455</v>
      </c>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4" t="s">
        <v>1540</v>
      </c>
      <c r="AY307" s="5" t="s">
        <v>1541</v>
      </c>
      <c r="AZ307" s="5" t="s">
        <v>38</v>
      </c>
      <c r="BA307" s="12"/>
      <c r="BB307" s="12"/>
      <c r="BC307" s="12"/>
      <c r="BD307" s="11">
        <v>0</v>
      </c>
      <c r="BE307" s="11">
        <v>0</v>
      </c>
    </row>
    <row x14ac:dyDescent="0.25" r="308" customHeight="1" ht="17.25">
      <c r="A308" s="11">
        <v>19390</v>
      </c>
      <c r="B308" s="4" t="s">
        <v>1542</v>
      </c>
      <c r="C308" s="5" t="s">
        <v>1543</v>
      </c>
      <c r="D308" s="5" t="s">
        <v>1544</v>
      </c>
      <c r="E308" s="5" t="s">
        <v>1545</v>
      </c>
      <c r="F308" s="13">
        <f>"014044257X"</f>
      </c>
      <c r="G308" s="13">
        <f>"9780140442571"</f>
      </c>
      <c r="H308" s="11">
        <v>0</v>
      </c>
      <c r="I308" s="14">
        <v>4.07</v>
      </c>
      <c r="J308" s="7" t="s">
        <v>263</v>
      </c>
      <c r="K308" s="5" t="s">
        <v>60</v>
      </c>
      <c r="L308" s="11">
        <v>400</v>
      </c>
      <c r="M308" s="11">
        <v>1984</v>
      </c>
      <c r="N308" s="11">
        <v>1764</v>
      </c>
      <c r="O308" s="15"/>
      <c r="P308" s="8">
        <v>44455</v>
      </c>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4" t="s">
        <v>1540</v>
      </c>
      <c r="AY308" s="5" t="s">
        <v>1546</v>
      </c>
      <c r="AZ308" s="5" t="s">
        <v>38</v>
      </c>
      <c r="BA308" s="12"/>
      <c r="BB308" s="12"/>
      <c r="BC308" s="12"/>
      <c r="BD308" s="11">
        <v>0</v>
      </c>
      <c r="BE308" s="11">
        <v>0</v>
      </c>
    </row>
    <row x14ac:dyDescent="0.25" r="309" customHeight="1" ht="17.25">
      <c r="A309" s="11">
        <v>13792158</v>
      </c>
      <c r="B309" s="4" t="s">
        <v>1547</v>
      </c>
      <c r="C309" s="5" t="s">
        <v>1548</v>
      </c>
      <c r="D309" s="5" t="s">
        <v>1549</v>
      </c>
      <c r="E309" s="12"/>
      <c r="F309" s="13">
        <f>"0810875985"</f>
      </c>
      <c r="G309" s="13">
        <f>"9780810875982"</f>
      </c>
      <c r="H309" s="11">
        <v>0</v>
      </c>
      <c r="I309" s="11">
        <v>5</v>
      </c>
      <c r="J309" s="7" t="s">
        <v>1550</v>
      </c>
      <c r="K309" s="5" t="s">
        <v>60</v>
      </c>
      <c r="L309" s="11">
        <v>430</v>
      </c>
      <c r="M309" s="11">
        <v>2010</v>
      </c>
      <c r="N309" s="11">
        <v>2010</v>
      </c>
      <c r="O309" s="15"/>
      <c r="P309" s="8">
        <v>44261</v>
      </c>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4" t="s">
        <v>1540</v>
      </c>
      <c r="AY309" s="5" t="s">
        <v>1551</v>
      </c>
      <c r="AZ309" s="5" t="s">
        <v>38</v>
      </c>
      <c r="BA309" s="12"/>
      <c r="BB309" s="12"/>
      <c r="BC309" s="12"/>
      <c r="BD309" s="11">
        <v>0</v>
      </c>
      <c r="BE309" s="11">
        <v>0</v>
      </c>
    </row>
    <row x14ac:dyDescent="0.25" r="310" customHeight="1" ht="17.25">
      <c r="A310" s="11">
        <v>42068288</v>
      </c>
      <c r="B310" s="4" t="s">
        <v>1552</v>
      </c>
      <c r="C310" s="5" t="s">
        <v>1553</v>
      </c>
      <c r="D310" s="5" t="s">
        <v>1554</v>
      </c>
      <c r="E310" s="12"/>
      <c r="F310" s="13">
        <f>"1783782285"</f>
      </c>
      <c r="G310" s="13">
        <f>"9781783782284"</f>
      </c>
      <c r="H310" s="11">
        <v>0</v>
      </c>
      <c r="I310" s="14">
        <v>3.71</v>
      </c>
      <c r="J310" s="7" t="s">
        <v>1555</v>
      </c>
      <c r="K310" s="5" t="s">
        <v>72</v>
      </c>
      <c r="L310" s="11">
        <v>432</v>
      </c>
      <c r="M310" s="11">
        <v>2018</v>
      </c>
      <c r="N310" s="11">
        <v>2018</v>
      </c>
      <c r="O310" s="15"/>
      <c r="P310" s="8">
        <v>44242</v>
      </c>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4" t="s">
        <v>1477</v>
      </c>
      <c r="AY310" s="5" t="s">
        <v>1556</v>
      </c>
      <c r="AZ310" s="5" t="s">
        <v>38</v>
      </c>
      <c r="BA310" s="12"/>
      <c r="BB310" s="12"/>
      <c r="BC310" s="12"/>
      <c r="BD310" s="11">
        <v>0</v>
      </c>
      <c r="BE310" s="11">
        <v>0</v>
      </c>
    </row>
    <row x14ac:dyDescent="0.25" r="311" customHeight="1" ht="17.25">
      <c r="A311" s="11">
        <v>879273</v>
      </c>
      <c r="B311" s="4" t="s">
        <v>1557</v>
      </c>
      <c r="C311" s="5" t="s">
        <v>1558</v>
      </c>
      <c r="D311" s="5" t="s">
        <v>1559</v>
      </c>
      <c r="E311" s="12"/>
      <c r="F311" s="13">
        <f>"0268010919"</f>
      </c>
      <c r="G311" s="13">
        <f>"9780268010911"</f>
      </c>
      <c r="H311" s="11">
        <v>0</v>
      </c>
      <c r="I311" s="14">
        <v>3.86</v>
      </c>
      <c r="J311" s="7" t="s">
        <v>1560</v>
      </c>
      <c r="K311" s="5" t="s">
        <v>60</v>
      </c>
      <c r="L311" s="11">
        <v>410</v>
      </c>
      <c r="M311" s="11">
        <v>1990</v>
      </c>
      <c r="N311" s="11">
        <v>1952</v>
      </c>
      <c r="O311" s="15"/>
      <c r="P311" s="9">
        <v>44128</v>
      </c>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4" t="s">
        <v>1483</v>
      </c>
      <c r="AY311" s="5" t="s">
        <v>1561</v>
      </c>
      <c r="AZ311" s="5" t="s">
        <v>38</v>
      </c>
      <c r="BA311" s="12"/>
      <c r="BB311" s="12"/>
      <c r="BC311" s="12"/>
      <c r="BD311" s="11">
        <v>0</v>
      </c>
      <c r="BE311" s="11">
        <v>0</v>
      </c>
    </row>
    <row x14ac:dyDescent="0.25" r="312" customHeight="1" ht="17.25">
      <c r="A312" s="11">
        <v>314932</v>
      </c>
      <c r="B312" s="4" t="s">
        <v>1562</v>
      </c>
      <c r="C312" s="5" t="s">
        <v>1563</v>
      </c>
      <c r="D312" s="5" t="s">
        <v>1564</v>
      </c>
      <c r="E312" s="12"/>
      <c r="F312" s="13">
        <f>"0192854100"</f>
      </c>
      <c r="G312" s="13">
        <f>"9780192854100"</f>
      </c>
      <c r="H312" s="11">
        <v>0</v>
      </c>
      <c r="I312" s="14">
        <v>3.67</v>
      </c>
      <c r="J312" s="7" t="s">
        <v>245</v>
      </c>
      <c r="K312" s="5" t="s">
        <v>60</v>
      </c>
      <c r="L312" s="11">
        <v>160</v>
      </c>
      <c r="M312" s="11">
        <v>2002</v>
      </c>
      <c r="N312" s="11">
        <v>1997</v>
      </c>
      <c r="O312" s="15"/>
      <c r="P312" s="8">
        <v>43945</v>
      </c>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4" t="s">
        <v>1483</v>
      </c>
      <c r="AY312" s="5" t="s">
        <v>1565</v>
      </c>
      <c r="AZ312" s="5" t="s">
        <v>38</v>
      </c>
      <c r="BA312" s="12"/>
      <c r="BB312" s="12"/>
      <c r="BC312" s="12"/>
      <c r="BD312" s="11">
        <v>0</v>
      </c>
      <c r="BE312" s="11">
        <v>0</v>
      </c>
    </row>
    <row x14ac:dyDescent="0.25" r="313" customHeight="1" ht="17.25">
      <c r="A313" s="11">
        <v>17759226</v>
      </c>
      <c r="B313" s="4" t="s">
        <v>1566</v>
      </c>
      <c r="C313" s="5" t="s">
        <v>1567</v>
      </c>
      <c r="D313" s="5" t="s">
        <v>1568</v>
      </c>
      <c r="E313" s="5" t="s">
        <v>1569</v>
      </c>
      <c r="F313" s="13">
        <f>"0691138702"</f>
      </c>
      <c r="G313" s="13">
        <f>"9780691138701"</f>
      </c>
      <c r="H313" s="11">
        <v>0</v>
      </c>
      <c r="I313" s="14">
        <v>4.55</v>
      </c>
      <c r="J313" s="7" t="s">
        <v>172</v>
      </c>
      <c r="K313" s="5" t="s">
        <v>72</v>
      </c>
      <c r="L313" s="11">
        <v>1344</v>
      </c>
      <c r="M313" s="11">
        <v>2014</v>
      </c>
      <c r="N313" s="11">
        <v>2004</v>
      </c>
      <c r="O313" s="15"/>
      <c r="P313" s="8">
        <v>43967</v>
      </c>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4" t="s">
        <v>1540</v>
      </c>
      <c r="AY313" s="5" t="s">
        <v>1570</v>
      </c>
      <c r="AZ313" s="5" t="s">
        <v>38</v>
      </c>
      <c r="BA313" s="12"/>
      <c r="BB313" s="12"/>
      <c r="BC313" s="12"/>
      <c r="BD313" s="11">
        <v>0</v>
      </c>
      <c r="BE313" s="11">
        <v>0</v>
      </c>
    </row>
    <row x14ac:dyDescent="0.25" r="314" customHeight="1" ht="17.25">
      <c r="A314" s="11">
        <v>1888592</v>
      </c>
      <c r="B314" s="4" t="s">
        <v>1571</v>
      </c>
      <c r="C314" s="5" t="s">
        <v>1572</v>
      </c>
      <c r="D314" s="5" t="s">
        <v>1573</v>
      </c>
      <c r="E314" s="5" t="s">
        <v>1574</v>
      </c>
      <c r="F314" s="13">
        <f>"081269337X"</f>
      </c>
      <c r="G314" s="13">
        <f>"9780812693379"</f>
      </c>
      <c r="H314" s="11">
        <v>0</v>
      </c>
      <c r="I314" s="14">
        <v>4.07</v>
      </c>
      <c r="J314" s="7" t="s">
        <v>1575</v>
      </c>
      <c r="K314" s="5" t="s">
        <v>60</v>
      </c>
      <c r="L314" s="11">
        <v>200</v>
      </c>
      <c r="M314" s="11">
        <v>1999</v>
      </c>
      <c r="N314" s="11">
        <v>1975</v>
      </c>
      <c r="O314" s="15"/>
      <c r="P314" s="8">
        <v>43952</v>
      </c>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4" t="s">
        <v>1483</v>
      </c>
      <c r="AY314" s="5" t="s">
        <v>1576</v>
      </c>
      <c r="AZ314" s="5" t="s">
        <v>38</v>
      </c>
      <c r="BA314" s="12"/>
      <c r="BB314" s="12"/>
      <c r="BC314" s="12"/>
      <c r="BD314" s="11">
        <v>0</v>
      </c>
      <c r="BE314" s="11">
        <v>0</v>
      </c>
    </row>
    <row x14ac:dyDescent="0.25" r="315" customHeight="1" ht="17.25">
      <c r="A315" s="11">
        <v>33307193</v>
      </c>
      <c r="B315" s="4" t="s">
        <v>1577</v>
      </c>
      <c r="C315" s="5" t="s">
        <v>1578</v>
      </c>
      <c r="D315" s="5" t="s">
        <v>1579</v>
      </c>
      <c r="E315" s="12"/>
      <c r="F315" s="13">
        <f>""</f>
      </c>
      <c r="G315" s="13">
        <f>""</f>
      </c>
      <c r="H315" s="11">
        <v>0</v>
      </c>
      <c r="I315" s="14">
        <v>4.21</v>
      </c>
      <c r="J315" s="7" t="s">
        <v>163</v>
      </c>
      <c r="K315" s="5" t="s">
        <v>90</v>
      </c>
      <c r="L315" s="11">
        <v>272</v>
      </c>
      <c r="M315" s="11">
        <v>2016</v>
      </c>
      <c r="N315" s="16"/>
      <c r="O315" s="15"/>
      <c r="P315" s="9">
        <v>43094</v>
      </c>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4" t="s">
        <v>1483</v>
      </c>
      <c r="AY315" s="5" t="s">
        <v>1580</v>
      </c>
      <c r="AZ315" s="5" t="s">
        <v>38</v>
      </c>
      <c r="BA315" s="12"/>
      <c r="BB315" s="12"/>
      <c r="BC315" s="12"/>
      <c r="BD315" s="11">
        <v>0</v>
      </c>
      <c r="BE315" s="11">
        <v>0</v>
      </c>
    </row>
    <row x14ac:dyDescent="0.25" r="316" customHeight="1" ht="17.25">
      <c r="A316" s="11">
        <v>127227</v>
      </c>
      <c r="B316" s="4" t="s">
        <v>1581</v>
      </c>
      <c r="C316" s="5" t="s">
        <v>1582</v>
      </c>
      <c r="D316" s="5" t="s">
        <v>1583</v>
      </c>
      <c r="E316" s="5" t="s">
        <v>1584</v>
      </c>
      <c r="F316" s="13">
        <f>"0226025985"</f>
      </c>
      <c r="G316" s="13">
        <f>"9780226025988"</f>
      </c>
      <c r="H316" s="11">
        <v>0</v>
      </c>
      <c r="I316" s="14">
        <v>4.22</v>
      </c>
      <c r="J316" s="7" t="s">
        <v>1585</v>
      </c>
      <c r="K316" s="5" t="s">
        <v>60</v>
      </c>
      <c r="L316" s="11">
        <v>349</v>
      </c>
      <c r="M316" s="11">
        <v>1998</v>
      </c>
      <c r="N316" s="11">
        <v>1958</v>
      </c>
      <c r="O316" s="15"/>
      <c r="P316" s="8">
        <v>42856</v>
      </c>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4" t="s">
        <v>1467</v>
      </c>
      <c r="AY316" s="5" t="s">
        <v>1586</v>
      </c>
      <c r="AZ316" s="5" t="s">
        <v>38</v>
      </c>
      <c r="BA316" s="12"/>
      <c r="BB316" s="12"/>
      <c r="BC316" s="12"/>
      <c r="BD316" s="11">
        <v>0</v>
      </c>
      <c r="BE316" s="11">
        <v>0</v>
      </c>
    </row>
    <row x14ac:dyDescent="0.25" r="317" customHeight="1" ht="17.25">
      <c r="A317" s="11">
        <v>744128</v>
      </c>
      <c r="B317" s="4" t="s">
        <v>1587</v>
      </c>
      <c r="C317" s="5" t="s">
        <v>252</v>
      </c>
      <c r="D317" s="5" t="s">
        <v>253</v>
      </c>
      <c r="E317" s="5" t="s">
        <v>1588</v>
      </c>
      <c r="F317" s="13">
        <f>"0704301806"</f>
      </c>
      <c r="G317" s="13">
        <f>"9780704301801"</f>
      </c>
      <c r="H317" s="11">
        <v>0</v>
      </c>
      <c r="I317" s="14">
        <v>4.11</v>
      </c>
      <c r="J317" s="7" t="s">
        <v>1589</v>
      </c>
      <c r="K317" s="5" t="s">
        <v>60</v>
      </c>
      <c r="L317" s="11">
        <v>212</v>
      </c>
      <c r="M317" s="11">
        <v>1993</v>
      </c>
      <c r="N317" s="11">
        <v>1973</v>
      </c>
      <c r="O317" s="15"/>
      <c r="P317" s="8">
        <v>42816</v>
      </c>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4" t="s">
        <v>1467</v>
      </c>
      <c r="AY317" s="5" t="s">
        <v>1590</v>
      </c>
      <c r="AZ317" s="5" t="s">
        <v>38</v>
      </c>
      <c r="BA317" s="12"/>
      <c r="BB317" s="12"/>
      <c r="BC317" s="12"/>
      <c r="BD317" s="11">
        <v>0</v>
      </c>
      <c r="BE317" s="11">
        <v>0</v>
      </c>
    </row>
    <row x14ac:dyDescent="0.25" r="318" customHeight="1" ht="15.75">
      <c r="A318" s="11">
        <v>25281733</v>
      </c>
      <c r="B318" s="4" t="s">
        <v>1591</v>
      </c>
      <c r="C318" s="5" t="s">
        <v>1592</v>
      </c>
      <c r="D318" s="5" t="s">
        <v>1593</v>
      </c>
      <c r="E318" s="5" t="s">
        <v>1594</v>
      </c>
      <c r="F318" s="13">
        <f>""</f>
      </c>
      <c r="G318" s="13">
        <f>""</f>
      </c>
      <c r="H318" s="11">
        <v>0</v>
      </c>
      <c r="I318" s="14">
        <v>4.06</v>
      </c>
      <c r="J318" s="7" t="s">
        <v>1595</v>
      </c>
      <c r="K318" s="5" t="s">
        <v>90</v>
      </c>
      <c r="L318" s="11">
        <v>298</v>
      </c>
      <c r="M318" s="11">
        <v>2015</v>
      </c>
      <c r="N318" s="11">
        <v>2011</v>
      </c>
      <c r="O318" s="15"/>
      <c r="P318" s="8">
        <v>45145</v>
      </c>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4" t="s">
        <v>419</v>
      </c>
      <c r="AY318" s="5" t="s">
        <v>1596</v>
      </c>
      <c r="AZ318" s="5" t="s">
        <v>38</v>
      </c>
      <c r="BA318" s="12"/>
      <c r="BB318" s="12"/>
      <c r="BC318" s="12"/>
      <c r="BD318" s="11">
        <v>0</v>
      </c>
      <c r="BE318" s="11">
        <v>0</v>
      </c>
    </row>
    <row x14ac:dyDescent="0.25" r="319" customHeight="1" ht="15.75">
      <c r="A319" s="11">
        <v>60701439</v>
      </c>
      <c r="B319" s="4" t="s">
        <v>1597</v>
      </c>
      <c r="C319" s="5" t="s">
        <v>1598</v>
      </c>
      <c r="D319" s="5" t="s">
        <v>1599</v>
      </c>
      <c r="E319" s="12"/>
      <c r="F319" s="13">
        <f>"1982153083"</f>
      </c>
      <c r="G319" s="13">
        <f>"9781982153083"</f>
      </c>
      <c r="H319" s="11">
        <v>0</v>
      </c>
      <c r="I319" s="14">
        <v>3.7</v>
      </c>
      <c r="J319" s="7" t="s">
        <v>132</v>
      </c>
      <c r="K319" s="5" t="s">
        <v>72</v>
      </c>
      <c r="L319" s="11">
        <v>336</v>
      </c>
      <c r="M319" s="11">
        <v>2023</v>
      </c>
      <c r="N319" s="11">
        <v>2023</v>
      </c>
      <c r="O319" s="15"/>
      <c r="P319" s="8">
        <v>45163</v>
      </c>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4" t="s">
        <v>419</v>
      </c>
      <c r="AY319" s="5" t="s">
        <v>1600</v>
      </c>
      <c r="AZ319" s="5" t="s">
        <v>38</v>
      </c>
      <c r="BA319" s="12"/>
      <c r="BB319" s="12"/>
      <c r="BC319" s="12"/>
      <c r="BD319" s="11">
        <v>0</v>
      </c>
      <c r="BE319" s="11">
        <v>0</v>
      </c>
    </row>
    <row x14ac:dyDescent="0.25" r="320" customHeight="1" ht="15.75">
      <c r="A320" s="11">
        <v>62888191</v>
      </c>
      <c r="B320" s="4" t="s">
        <v>1601</v>
      </c>
      <c r="C320" s="5" t="s">
        <v>1602</v>
      </c>
      <c r="D320" s="5" t="s">
        <v>1603</v>
      </c>
      <c r="E320" s="12"/>
      <c r="F320" s="13">
        <f>"1638930368"</f>
      </c>
      <c r="G320" s="13">
        <f>"9781638930365"</f>
      </c>
      <c r="H320" s="11">
        <v>0</v>
      </c>
      <c r="I320" s="14">
        <v>4.21</v>
      </c>
      <c r="J320" s="7" t="s">
        <v>1604</v>
      </c>
      <c r="K320" s="5" t="s">
        <v>72</v>
      </c>
      <c r="L320" s="11">
        <v>336</v>
      </c>
      <c r="M320" s="11">
        <v>2023</v>
      </c>
      <c r="N320" s="11">
        <v>2023</v>
      </c>
      <c r="O320" s="15"/>
      <c r="P320" s="8">
        <v>45127</v>
      </c>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4" t="s">
        <v>419</v>
      </c>
      <c r="AY320" s="5" t="s">
        <v>1605</v>
      </c>
      <c r="AZ320" s="5" t="s">
        <v>38</v>
      </c>
      <c r="BA320" s="12"/>
      <c r="BB320" s="12"/>
      <c r="BC320" s="12"/>
      <c r="BD320" s="11">
        <v>0</v>
      </c>
      <c r="BE320" s="11">
        <v>0</v>
      </c>
    </row>
    <row x14ac:dyDescent="0.25" r="321" customHeight="1" ht="15.75">
      <c r="A321" s="11">
        <v>17343</v>
      </c>
      <c r="B321" s="4" t="s">
        <v>1606</v>
      </c>
      <c r="C321" s="5" t="s">
        <v>1607</v>
      </c>
      <c r="D321" s="5" t="s">
        <v>1608</v>
      </c>
      <c r="E321" s="12"/>
      <c r="F321" s="13">
        <f>""</f>
      </c>
      <c r="G321" s="13">
        <f>""</f>
      </c>
      <c r="H321" s="11">
        <v>0</v>
      </c>
      <c r="I321" s="14">
        <v>4.18</v>
      </c>
      <c r="J321" s="7" t="s">
        <v>1609</v>
      </c>
      <c r="K321" s="5" t="s">
        <v>60</v>
      </c>
      <c r="L321" s="11">
        <v>313</v>
      </c>
      <c r="M321" s="11">
        <v>2006</v>
      </c>
      <c r="N321" s="11">
        <v>1956</v>
      </c>
      <c r="O321" s="15"/>
      <c r="P321" s="8">
        <v>45114</v>
      </c>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4" t="s">
        <v>419</v>
      </c>
      <c r="AY321" s="5" t="s">
        <v>1610</v>
      </c>
      <c r="AZ321" s="5" t="s">
        <v>38</v>
      </c>
      <c r="BA321" s="12"/>
      <c r="BB321" s="12"/>
      <c r="BC321" s="12"/>
      <c r="BD321" s="11">
        <v>0</v>
      </c>
      <c r="BE321" s="11">
        <v>0</v>
      </c>
    </row>
    <row x14ac:dyDescent="0.25" r="322" customHeight="1" ht="15.75">
      <c r="A322" s="11">
        <v>2214574</v>
      </c>
      <c r="B322" s="4" t="s">
        <v>1611</v>
      </c>
      <c r="C322" s="5" t="s">
        <v>1612</v>
      </c>
      <c r="D322" s="5" t="s">
        <v>1613</v>
      </c>
      <c r="E322" s="12"/>
      <c r="F322" s="13">
        <f>"0151014248"</f>
      </c>
      <c r="G322" s="13">
        <f>"9780151014248"</f>
      </c>
      <c r="H322" s="11">
        <v>0</v>
      </c>
      <c r="I322" s="14">
        <v>3.84</v>
      </c>
      <c r="J322" s="7" t="s">
        <v>931</v>
      </c>
      <c r="K322" s="5" t="s">
        <v>72</v>
      </c>
      <c r="L322" s="11">
        <v>279</v>
      </c>
      <c r="M322" s="11">
        <v>2008</v>
      </c>
      <c r="N322" s="11">
        <v>2008</v>
      </c>
      <c r="O322" s="15"/>
      <c r="P322" s="8">
        <v>45112</v>
      </c>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4" t="s">
        <v>419</v>
      </c>
      <c r="AY322" s="5" t="s">
        <v>1614</v>
      </c>
      <c r="AZ322" s="5" t="s">
        <v>38</v>
      </c>
      <c r="BA322" s="12"/>
      <c r="BB322" s="12"/>
      <c r="BC322" s="12"/>
      <c r="BD322" s="11">
        <v>0</v>
      </c>
      <c r="BE322" s="11">
        <v>0</v>
      </c>
    </row>
    <row x14ac:dyDescent="0.25" r="323" customHeight="1" ht="15.75">
      <c r="A323" s="11">
        <v>4449027</v>
      </c>
      <c r="B323" s="4" t="s">
        <v>1615</v>
      </c>
      <c r="C323" s="5" t="s">
        <v>1616</v>
      </c>
      <c r="D323" s="5" t="s">
        <v>1617</v>
      </c>
      <c r="E323" s="12"/>
      <c r="F323" s="13">
        <f>"0571243258"</f>
      </c>
      <c r="G323" s="13">
        <f>"9780571243259"</f>
      </c>
      <c r="H323" s="11">
        <v>0</v>
      </c>
      <c r="I323" s="14">
        <v>3.08</v>
      </c>
      <c r="J323" s="7" t="s">
        <v>1618</v>
      </c>
      <c r="K323" s="5" t="s">
        <v>60</v>
      </c>
      <c r="L323" s="11">
        <v>284</v>
      </c>
      <c r="M323" s="11">
        <v>2008</v>
      </c>
      <c r="N323" s="11">
        <v>1968</v>
      </c>
      <c r="O323" s="15"/>
      <c r="P323" s="8">
        <v>45111</v>
      </c>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4" t="s">
        <v>1619</v>
      </c>
      <c r="AY323" s="5" t="s">
        <v>1620</v>
      </c>
      <c r="AZ323" s="5" t="s">
        <v>38</v>
      </c>
      <c r="BA323" s="12"/>
      <c r="BB323" s="12"/>
      <c r="BC323" s="12"/>
      <c r="BD323" s="11">
        <v>0</v>
      </c>
      <c r="BE323" s="11">
        <v>0</v>
      </c>
    </row>
    <row x14ac:dyDescent="0.25" r="324" customHeight="1" ht="15.75">
      <c r="A324" s="11">
        <v>1565490</v>
      </c>
      <c r="B324" s="4" t="s">
        <v>1621</v>
      </c>
      <c r="C324" s="5" t="s">
        <v>1622</v>
      </c>
      <c r="D324" s="5" t="s">
        <v>1623</v>
      </c>
      <c r="E324" s="12"/>
      <c r="F324" s="13">
        <f>"0349130221"</f>
      </c>
      <c r="G324" s="13">
        <f>"9780349130224"</f>
      </c>
      <c r="H324" s="11">
        <v>0</v>
      </c>
      <c r="I324" s="14">
        <v>3.66</v>
      </c>
      <c r="J324" s="7" t="s">
        <v>1624</v>
      </c>
      <c r="K324" s="5" t="s">
        <v>60</v>
      </c>
      <c r="L324" s="11">
        <v>240</v>
      </c>
      <c r="M324" s="11">
        <v>1991</v>
      </c>
      <c r="N324" s="11">
        <v>1969</v>
      </c>
      <c r="O324" s="15"/>
      <c r="P324" s="8">
        <v>45111</v>
      </c>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4" t="s">
        <v>1619</v>
      </c>
      <c r="AY324" s="5" t="s">
        <v>1625</v>
      </c>
      <c r="AZ324" s="5" t="s">
        <v>38</v>
      </c>
      <c r="BA324" s="12"/>
      <c r="BB324" s="12"/>
      <c r="BC324" s="12"/>
      <c r="BD324" s="11">
        <v>0</v>
      </c>
      <c r="BE324" s="11">
        <v>0</v>
      </c>
    </row>
    <row x14ac:dyDescent="0.25" r="325" customHeight="1" ht="15.75">
      <c r="A325" s="11">
        <v>13507212</v>
      </c>
      <c r="B325" s="4" t="s">
        <v>1626</v>
      </c>
      <c r="C325" s="5" t="s">
        <v>1627</v>
      </c>
      <c r="D325" s="5" t="s">
        <v>1628</v>
      </c>
      <c r="E325" s="12"/>
      <c r="F325" s="13">
        <f>""</f>
      </c>
      <c r="G325" s="13">
        <f>""</f>
      </c>
      <c r="H325" s="11">
        <v>0</v>
      </c>
      <c r="I325" s="14">
        <v>4.28</v>
      </c>
      <c r="J325" s="7" t="s">
        <v>1629</v>
      </c>
      <c r="K325" s="5" t="s">
        <v>72</v>
      </c>
      <c r="L325" s="11">
        <v>412</v>
      </c>
      <c r="M325" s="11">
        <v>2012</v>
      </c>
      <c r="N325" s="11">
        <v>2012</v>
      </c>
      <c r="O325" s="15"/>
      <c r="P325" s="8">
        <v>45111</v>
      </c>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4" t="s">
        <v>1619</v>
      </c>
      <c r="AY325" s="5" t="s">
        <v>1630</v>
      </c>
      <c r="AZ325" s="5" t="s">
        <v>38</v>
      </c>
      <c r="BA325" s="12"/>
      <c r="BB325" s="12"/>
      <c r="BC325" s="12"/>
      <c r="BD325" s="11">
        <v>0</v>
      </c>
      <c r="BE325" s="11">
        <v>0</v>
      </c>
    </row>
    <row x14ac:dyDescent="0.25" r="326" customHeight="1" ht="15.75">
      <c r="A326" s="11">
        <v>6101138</v>
      </c>
      <c r="B326" s="4" t="s">
        <v>1631</v>
      </c>
      <c r="C326" s="5" t="s">
        <v>1627</v>
      </c>
      <c r="D326" s="5" t="s">
        <v>1628</v>
      </c>
      <c r="E326" s="12"/>
      <c r="F326" s="13">
        <f>"0007230184"</f>
      </c>
      <c r="G326" s="13">
        <f>""</f>
      </c>
      <c r="H326" s="11">
        <v>0</v>
      </c>
      <c r="I326" s="14">
        <v>3.9</v>
      </c>
      <c r="J326" s="7" t="s">
        <v>1632</v>
      </c>
      <c r="K326" s="5" t="s">
        <v>60</v>
      </c>
      <c r="L326" s="11">
        <v>653</v>
      </c>
      <c r="M326" s="11">
        <v>2010</v>
      </c>
      <c r="N326" s="11">
        <v>2009</v>
      </c>
      <c r="O326" s="15"/>
      <c r="P326" s="8">
        <v>45111</v>
      </c>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4" t="s">
        <v>1619</v>
      </c>
      <c r="AY326" s="5" t="s">
        <v>1633</v>
      </c>
      <c r="AZ326" s="5" t="s">
        <v>38</v>
      </c>
      <c r="BA326" s="12"/>
      <c r="BB326" s="12"/>
      <c r="BC326" s="12"/>
      <c r="BD326" s="11">
        <v>0</v>
      </c>
      <c r="BE326" s="11">
        <v>0</v>
      </c>
    </row>
    <row x14ac:dyDescent="0.25" r="327" customHeight="1" ht="15.75">
      <c r="A327" s="11">
        <v>9903</v>
      </c>
      <c r="B327" s="4" t="s">
        <v>1634</v>
      </c>
      <c r="C327" s="5" t="s">
        <v>1123</v>
      </c>
      <c r="D327" s="5" t="s">
        <v>1124</v>
      </c>
      <c r="E327" s="12"/>
      <c r="F327" s="13">
        <f>"0099440830"</f>
      </c>
      <c r="G327" s="13">
        <f>"9780099440833"</f>
      </c>
      <c r="H327" s="11">
        <v>0</v>
      </c>
      <c r="I327" s="14">
        <v>3.96</v>
      </c>
      <c r="J327" s="7" t="s">
        <v>1018</v>
      </c>
      <c r="K327" s="5" t="s">
        <v>60</v>
      </c>
      <c r="L327" s="11">
        <v>209</v>
      </c>
      <c r="M327" s="11">
        <v>2003</v>
      </c>
      <c r="N327" s="11">
        <v>1977</v>
      </c>
      <c r="O327" s="15"/>
      <c r="P327" s="8">
        <v>45105</v>
      </c>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4" t="s">
        <v>419</v>
      </c>
      <c r="AY327" s="5" t="s">
        <v>1635</v>
      </c>
      <c r="AZ327" s="5" t="s">
        <v>38</v>
      </c>
      <c r="BA327" s="12"/>
      <c r="BB327" s="12"/>
      <c r="BC327" s="12"/>
      <c r="BD327" s="11">
        <v>0</v>
      </c>
      <c r="BE327" s="11">
        <v>0</v>
      </c>
    </row>
    <row x14ac:dyDescent="0.25" r="328" customHeight="1" ht="15.75">
      <c r="A328" s="11">
        <v>61149830</v>
      </c>
      <c r="B328" s="4" t="s">
        <v>1636</v>
      </c>
      <c r="C328" s="5" t="s">
        <v>1637</v>
      </c>
      <c r="D328" s="5" t="s">
        <v>1638</v>
      </c>
      <c r="E328" s="5" t="s">
        <v>1639</v>
      </c>
      <c r="F328" s="13">
        <f>""</f>
      </c>
      <c r="G328" s="13">
        <f>"9781681376745"</f>
      </c>
      <c r="H328" s="11">
        <v>0</v>
      </c>
      <c r="I328" s="14">
        <v>3.79</v>
      </c>
      <c r="J328" s="7" t="s">
        <v>108</v>
      </c>
      <c r="K328" s="5" t="s">
        <v>60</v>
      </c>
      <c r="L328" s="11">
        <v>200</v>
      </c>
      <c r="M328" s="11">
        <v>2023</v>
      </c>
      <c r="N328" s="11">
        <v>1963</v>
      </c>
      <c r="O328" s="15"/>
      <c r="P328" s="8">
        <v>45102</v>
      </c>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4" t="s">
        <v>419</v>
      </c>
      <c r="AY328" s="5" t="s">
        <v>1640</v>
      </c>
      <c r="AZ328" s="5" t="s">
        <v>38</v>
      </c>
      <c r="BA328" s="12"/>
      <c r="BB328" s="12"/>
      <c r="BC328" s="12"/>
      <c r="BD328" s="11">
        <v>0</v>
      </c>
      <c r="BE328" s="11">
        <v>0</v>
      </c>
    </row>
    <row x14ac:dyDescent="0.25" r="329" customHeight="1" ht="15.75">
      <c r="A329" s="11">
        <v>827327</v>
      </c>
      <c r="B329" s="4" t="s">
        <v>1641</v>
      </c>
      <c r="C329" s="5" t="s">
        <v>1642</v>
      </c>
      <c r="D329" s="5" t="s">
        <v>1643</v>
      </c>
      <c r="E329" s="5" t="s">
        <v>1644</v>
      </c>
      <c r="F329" s="13">
        <f>"1590170024"</f>
      </c>
      <c r="G329" s="13">
        <f>"9781590170021"</f>
      </c>
      <c r="H329" s="11">
        <v>0</v>
      </c>
      <c r="I329" s="14">
        <v>3.99</v>
      </c>
      <c r="J329" s="7" t="s">
        <v>108</v>
      </c>
      <c r="K329" s="5" t="s">
        <v>60</v>
      </c>
      <c r="L329" s="11">
        <v>643</v>
      </c>
      <c r="M329" s="11">
        <v>2002</v>
      </c>
      <c r="N329" s="11">
        <v>1961</v>
      </c>
      <c r="O329" s="15"/>
      <c r="P329" s="8">
        <v>45102</v>
      </c>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4" t="s">
        <v>419</v>
      </c>
      <c r="AY329" s="5" t="s">
        <v>1645</v>
      </c>
      <c r="AZ329" s="5" t="s">
        <v>38</v>
      </c>
      <c r="BA329" s="12"/>
      <c r="BB329" s="12"/>
      <c r="BC329" s="12"/>
      <c r="BD329" s="11">
        <v>0</v>
      </c>
      <c r="BE329" s="11">
        <v>0</v>
      </c>
    </row>
    <row x14ac:dyDescent="0.25" r="330" customHeight="1" ht="15.75">
      <c r="A330" s="11">
        <v>29099707</v>
      </c>
      <c r="B330" s="4" t="s">
        <v>1646</v>
      </c>
      <c r="C330" s="5" t="s">
        <v>1647</v>
      </c>
      <c r="D330" s="5" t="s">
        <v>1648</v>
      </c>
      <c r="E330" s="5" t="s">
        <v>1649</v>
      </c>
      <c r="F330" s="13">
        <f>"8416542120"</f>
      </c>
      <c r="G330" s="13">
        <f>"9788416542123"</f>
      </c>
      <c r="H330" s="11">
        <v>0</v>
      </c>
      <c r="I330" s="14">
        <v>3.47</v>
      </c>
      <c r="J330" s="7" t="s">
        <v>1650</v>
      </c>
      <c r="K330" s="5" t="s">
        <v>60</v>
      </c>
      <c r="L330" s="11">
        <v>432</v>
      </c>
      <c r="M330" s="11">
        <v>2016</v>
      </c>
      <c r="N330" s="11">
        <v>1969</v>
      </c>
      <c r="O330" s="15"/>
      <c r="P330" s="8">
        <v>45108</v>
      </c>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4" t="s">
        <v>419</v>
      </c>
      <c r="AY330" s="5" t="s">
        <v>1651</v>
      </c>
      <c r="AZ330" s="5" t="s">
        <v>38</v>
      </c>
      <c r="BA330" s="12"/>
      <c r="BB330" s="12"/>
      <c r="BC330" s="12"/>
      <c r="BD330" s="11">
        <v>0</v>
      </c>
      <c r="BE330" s="11">
        <v>0</v>
      </c>
    </row>
    <row x14ac:dyDescent="0.25" r="331" customHeight="1" ht="15.75">
      <c r="A331" s="11">
        <v>41219</v>
      </c>
      <c r="B331" s="4" t="s">
        <v>1652</v>
      </c>
      <c r="C331" s="5" t="s">
        <v>1653</v>
      </c>
      <c r="D331" s="5" t="s">
        <v>1654</v>
      </c>
      <c r="E331" s="12"/>
      <c r="F331" s="13">
        <f>"0679735909"</f>
      </c>
      <c r="G331" s="13">
        <f>"9780679735908"</f>
      </c>
      <c r="H331" s="11">
        <v>0</v>
      </c>
      <c r="I331" s="14">
        <v>3.89</v>
      </c>
      <c r="J331" s="7" t="s">
        <v>114</v>
      </c>
      <c r="K331" s="5" t="s">
        <v>60</v>
      </c>
      <c r="L331" s="11">
        <v>555</v>
      </c>
      <c r="M331" s="11">
        <v>1991</v>
      </c>
      <c r="N331" s="11">
        <v>1990</v>
      </c>
      <c r="O331" s="15"/>
      <c r="P331" s="8">
        <v>45109</v>
      </c>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4" t="s">
        <v>1619</v>
      </c>
      <c r="AY331" s="5" t="s">
        <v>1655</v>
      </c>
      <c r="AZ331" s="5" t="s">
        <v>38</v>
      </c>
      <c r="BA331" s="12"/>
      <c r="BB331" s="12"/>
      <c r="BC331" s="12"/>
      <c r="BD331" s="11">
        <v>0</v>
      </c>
      <c r="BE331" s="11">
        <v>0</v>
      </c>
    </row>
    <row x14ac:dyDescent="0.25" r="332" customHeight="1" ht="15.75">
      <c r="A332" s="11">
        <v>60433831</v>
      </c>
      <c r="B332" s="4" t="s">
        <v>1656</v>
      </c>
      <c r="C332" s="5" t="s">
        <v>1657</v>
      </c>
      <c r="D332" s="5" t="s">
        <v>1658</v>
      </c>
      <c r="E332" s="12"/>
      <c r="F332" s="13">
        <f>"1681376199"</f>
      </c>
      <c r="G332" s="13">
        <f>"9781681376196"</f>
      </c>
      <c r="H332" s="11">
        <v>0</v>
      </c>
      <c r="I332" s="14">
        <v>3.69</v>
      </c>
      <c r="J332" s="7" t="s">
        <v>108</v>
      </c>
      <c r="K332" s="5" t="s">
        <v>60</v>
      </c>
      <c r="L332" s="11">
        <v>288</v>
      </c>
      <c r="M332" s="11">
        <v>2022</v>
      </c>
      <c r="N332" s="11">
        <v>1922</v>
      </c>
      <c r="O332" s="15"/>
      <c r="P332" s="8">
        <v>45102</v>
      </c>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4" t="s">
        <v>419</v>
      </c>
      <c r="AY332" s="5" t="s">
        <v>1659</v>
      </c>
      <c r="AZ332" s="5" t="s">
        <v>38</v>
      </c>
      <c r="BA332" s="12"/>
      <c r="BB332" s="12"/>
      <c r="BC332" s="12"/>
      <c r="BD332" s="11">
        <v>0</v>
      </c>
      <c r="BE332" s="11">
        <v>0</v>
      </c>
    </row>
    <row x14ac:dyDescent="0.25" r="333" customHeight="1" ht="15.75">
      <c r="A333" s="11">
        <v>24783930</v>
      </c>
      <c r="B333" s="4" t="s">
        <v>1660</v>
      </c>
      <c r="C333" s="5" t="s">
        <v>1661</v>
      </c>
      <c r="D333" s="5" t="s">
        <v>1662</v>
      </c>
      <c r="E333" s="5" t="s">
        <v>1663</v>
      </c>
      <c r="F333" s="13">
        <f>"1590179064"</f>
      </c>
      <c r="G333" s="13">
        <f>"9781590179062"</f>
      </c>
      <c r="H333" s="11">
        <v>0</v>
      </c>
      <c r="I333" s="14">
        <v>3.85</v>
      </c>
      <c r="J333" s="7" t="s">
        <v>108</v>
      </c>
      <c r="K333" s="5" t="s">
        <v>60</v>
      </c>
      <c r="L333" s="11">
        <v>464</v>
      </c>
      <c r="M333" s="11">
        <v>2015</v>
      </c>
      <c r="N333" s="11">
        <v>1964</v>
      </c>
      <c r="O333" s="15"/>
      <c r="P333" s="8">
        <v>45102</v>
      </c>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4" t="s">
        <v>419</v>
      </c>
      <c r="AY333" s="5" t="s">
        <v>1664</v>
      </c>
      <c r="AZ333" s="5" t="s">
        <v>38</v>
      </c>
      <c r="BA333" s="12"/>
      <c r="BB333" s="12"/>
      <c r="BC333" s="12"/>
      <c r="BD333" s="11">
        <v>0</v>
      </c>
      <c r="BE333" s="11">
        <v>0</v>
      </c>
    </row>
    <row x14ac:dyDescent="0.25" r="334" customHeight="1" ht="15.75">
      <c r="A334" s="11">
        <v>311642</v>
      </c>
      <c r="B334" s="4" t="s">
        <v>1665</v>
      </c>
      <c r="C334" s="5" t="s">
        <v>1666</v>
      </c>
      <c r="D334" s="5" t="s">
        <v>1667</v>
      </c>
      <c r="E334" s="5" t="s">
        <v>1668</v>
      </c>
      <c r="F334" s="13">
        <f>"1564780953"</f>
      </c>
      <c r="G334" s="13">
        <f>"9781564780959"</f>
      </c>
      <c r="H334" s="11">
        <v>0</v>
      </c>
      <c r="I334" s="14">
        <v>4.33</v>
      </c>
      <c r="J334" s="7" t="s">
        <v>59</v>
      </c>
      <c r="K334" s="5" t="s">
        <v>60</v>
      </c>
      <c r="L334" s="11">
        <v>557</v>
      </c>
      <c r="M334" s="11">
        <v>1996</v>
      </c>
      <c r="N334" s="11">
        <v>1977</v>
      </c>
      <c r="O334" s="15"/>
      <c r="P334" s="8">
        <v>45094</v>
      </c>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4" t="s">
        <v>419</v>
      </c>
      <c r="AY334" s="5" t="s">
        <v>1669</v>
      </c>
      <c r="AZ334" s="5" t="s">
        <v>38</v>
      </c>
      <c r="BA334" s="12"/>
      <c r="BB334" s="12"/>
      <c r="BC334" s="12"/>
      <c r="BD334" s="11">
        <v>0</v>
      </c>
      <c r="BE334" s="11">
        <v>0</v>
      </c>
    </row>
    <row x14ac:dyDescent="0.25" r="335" customHeight="1" ht="15.75">
      <c r="A335" s="11">
        <v>80333180</v>
      </c>
      <c r="B335" s="4" t="s">
        <v>1670</v>
      </c>
      <c r="C335" s="5" t="s">
        <v>1671</v>
      </c>
      <c r="D335" s="5" t="s">
        <v>1672</v>
      </c>
      <c r="E335" s="12"/>
      <c r="F335" s="13">
        <f>"1628975180"</f>
      </c>
      <c r="G335" s="13">
        <f>"9781628975185"</f>
      </c>
      <c r="H335" s="11">
        <v>0</v>
      </c>
      <c r="I335" s="11">
        <v>0</v>
      </c>
      <c r="J335" s="7" t="s">
        <v>59</v>
      </c>
      <c r="K335" s="5" t="s">
        <v>60</v>
      </c>
      <c r="L335" s="11">
        <v>350</v>
      </c>
      <c r="M335" s="11">
        <v>2024</v>
      </c>
      <c r="N335" s="16"/>
      <c r="O335" s="15"/>
      <c r="P335" s="8">
        <v>45101</v>
      </c>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4" t="s">
        <v>419</v>
      </c>
      <c r="AY335" s="5" t="s">
        <v>1673</v>
      </c>
      <c r="AZ335" s="5" t="s">
        <v>38</v>
      </c>
      <c r="BA335" s="12"/>
      <c r="BB335" s="12"/>
      <c r="BC335" s="12"/>
      <c r="BD335" s="11">
        <v>0</v>
      </c>
      <c r="BE335" s="11">
        <v>0</v>
      </c>
    </row>
    <row x14ac:dyDescent="0.25" r="336" customHeight="1" ht="15.75">
      <c r="A336" s="11">
        <v>122286486</v>
      </c>
      <c r="B336" s="4" t="s">
        <v>1674</v>
      </c>
      <c r="C336" s="5" t="s">
        <v>1675</v>
      </c>
      <c r="D336" s="5" t="s">
        <v>1676</v>
      </c>
      <c r="E336" s="5" t="s">
        <v>1677</v>
      </c>
      <c r="F336" s="13">
        <f>""</f>
      </c>
      <c r="G336" s="13">
        <f>""</f>
      </c>
      <c r="H336" s="11">
        <v>0</v>
      </c>
      <c r="I336" s="14">
        <v>3.84</v>
      </c>
      <c r="J336" s="7" t="s">
        <v>108</v>
      </c>
      <c r="K336" s="5" t="s">
        <v>90</v>
      </c>
      <c r="L336" s="11">
        <v>247</v>
      </c>
      <c r="M336" s="11">
        <v>2023</v>
      </c>
      <c r="N336" s="11">
        <v>1963</v>
      </c>
      <c r="O336" s="15"/>
      <c r="P336" s="8">
        <v>45102</v>
      </c>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4" t="s">
        <v>419</v>
      </c>
      <c r="AY336" s="5" t="s">
        <v>1678</v>
      </c>
      <c r="AZ336" s="5" t="s">
        <v>38</v>
      </c>
      <c r="BA336" s="12"/>
      <c r="BB336" s="12"/>
      <c r="BC336" s="12"/>
      <c r="BD336" s="11">
        <v>0</v>
      </c>
      <c r="BE336" s="11">
        <v>0</v>
      </c>
    </row>
    <row x14ac:dyDescent="0.25" r="337" customHeight="1" ht="15.75">
      <c r="A337" s="11">
        <v>188442</v>
      </c>
      <c r="B337" s="4" t="s">
        <v>1679</v>
      </c>
      <c r="C337" s="5" t="s">
        <v>1680</v>
      </c>
      <c r="D337" s="5" t="s">
        <v>1681</v>
      </c>
      <c r="E337" s="5" t="s">
        <v>1682</v>
      </c>
      <c r="F337" s="13">
        <f>"0940322641"</f>
      </c>
      <c r="G337" s="13">
        <f>"9780940322646"</f>
      </c>
      <c r="H337" s="11">
        <v>0</v>
      </c>
      <c r="I337" s="14">
        <v>3.48</v>
      </c>
      <c r="J337" s="7" t="s">
        <v>108</v>
      </c>
      <c r="K337" s="5" t="s">
        <v>60</v>
      </c>
      <c r="L337" s="11">
        <v>304</v>
      </c>
      <c r="M337" s="11">
        <v>2001</v>
      </c>
      <c r="N337" s="11">
        <v>1935</v>
      </c>
      <c r="O337" s="15"/>
      <c r="P337" s="8">
        <v>45102</v>
      </c>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4" t="s">
        <v>419</v>
      </c>
      <c r="AY337" s="5" t="s">
        <v>1683</v>
      </c>
      <c r="AZ337" s="5" t="s">
        <v>38</v>
      </c>
      <c r="BA337" s="12"/>
      <c r="BB337" s="12"/>
      <c r="BC337" s="12"/>
      <c r="BD337" s="11">
        <v>0</v>
      </c>
      <c r="BE337" s="11">
        <v>0</v>
      </c>
    </row>
    <row x14ac:dyDescent="0.25" r="338" customHeight="1" ht="15.75">
      <c r="A338" s="11">
        <v>34941841</v>
      </c>
      <c r="B338" s="4" t="s">
        <v>1684</v>
      </c>
      <c r="C338" s="5" t="s">
        <v>1685</v>
      </c>
      <c r="D338" s="5" t="s">
        <v>1686</v>
      </c>
      <c r="E338" s="5" t="s">
        <v>1687</v>
      </c>
      <c r="F338" s="13">
        <f>"168137126X"</f>
      </c>
      <c r="G338" s="13">
        <f>"9781681371269"</f>
      </c>
      <c r="H338" s="11">
        <v>0</v>
      </c>
      <c r="I338" s="14">
        <v>3.79</v>
      </c>
      <c r="J338" s="7" t="s">
        <v>108</v>
      </c>
      <c r="K338" s="5" t="s">
        <v>90</v>
      </c>
      <c r="L338" s="11">
        <v>272</v>
      </c>
      <c r="M338" s="11">
        <v>2018</v>
      </c>
      <c r="N338" s="11">
        <v>1842</v>
      </c>
      <c r="O338" s="15"/>
      <c r="P338" s="8">
        <v>45102</v>
      </c>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4" t="s">
        <v>419</v>
      </c>
      <c r="AY338" s="5" t="s">
        <v>1688</v>
      </c>
      <c r="AZ338" s="5" t="s">
        <v>38</v>
      </c>
      <c r="BA338" s="12"/>
      <c r="BB338" s="12"/>
      <c r="BC338" s="12"/>
      <c r="BD338" s="11">
        <v>0</v>
      </c>
      <c r="BE338" s="11">
        <v>0</v>
      </c>
    </row>
    <row x14ac:dyDescent="0.25" r="339" customHeight="1" ht="15.75">
      <c r="A339" s="11">
        <v>91290204</v>
      </c>
      <c r="B339" s="4" t="s">
        <v>1689</v>
      </c>
      <c r="C339" s="5" t="s">
        <v>1690</v>
      </c>
      <c r="D339" s="5" t="s">
        <v>1691</v>
      </c>
      <c r="E339" s="12"/>
      <c r="F339" s="13">
        <f>"1913505669"</f>
      </c>
      <c r="G339" s="13">
        <f>"9781913505660"</f>
      </c>
      <c r="H339" s="11">
        <v>0</v>
      </c>
      <c r="I339" s="14">
        <v>3.76</v>
      </c>
      <c r="J339" s="7" t="s">
        <v>1692</v>
      </c>
      <c r="K339" s="5" t="s">
        <v>72</v>
      </c>
      <c r="L339" s="11">
        <v>320</v>
      </c>
      <c r="M339" s="11">
        <v>2023</v>
      </c>
      <c r="N339" s="16"/>
      <c r="O339" s="15"/>
      <c r="P339" s="8">
        <v>45089</v>
      </c>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4" t="s">
        <v>419</v>
      </c>
      <c r="AY339" s="5" t="s">
        <v>1693</v>
      </c>
      <c r="AZ339" s="5" t="s">
        <v>38</v>
      </c>
      <c r="BA339" s="12"/>
      <c r="BB339" s="12"/>
      <c r="BC339" s="12"/>
      <c r="BD339" s="11">
        <v>0</v>
      </c>
      <c r="BE339" s="11">
        <v>0</v>
      </c>
    </row>
    <row x14ac:dyDescent="0.25" r="340" customHeight="1" ht="15.75">
      <c r="A340" s="11">
        <v>198483</v>
      </c>
      <c r="B340" s="4" t="s">
        <v>1694</v>
      </c>
      <c r="C340" s="5" t="s">
        <v>1695</v>
      </c>
      <c r="D340" s="5" t="s">
        <v>1696</v>
      </c>
      <c r="E340" s="12"/>
      <c r="F340" s="13">
        <f>"0140235191"</f>
      </c>
      <c r="G340" s="13">
        <f>"9780140235197"</f>
      </c>
      <c r="H340" s="11">
        <v>0</v>
      </c>
      <c r="I340" s="14">
        <v>3.75</v>
      </c>
      <c r="J340" s="7" t="s">
        <v>491</v>
      </c>
      <c r="K340" s="5" t="s">
        <v>60</v>
      </c>
      <c r="L340" s="11">
        <v>221</v>
      </c>
      <c r="M340" s="11">
        <v>1986</v>
      </c>
      <c r="N340" s="11">
        <v>1972</v>
      </c>
      <c r="O340" s="15"/>
      <c r="P340" s="8">
        <v>45081</v>
      </c>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4" t="s">
        <v>419</v>
      </c>
      <c r="AY340" s="5" t="s">
        <v>1697</v>
      </c>
      <c r="AZ340" s="5" t="s">
        <v>38</v>
      </c>
      <c r="BA340" s="12"/>
      <c r="BB340" s="12"/>
      <c r="BC340" s="12"/>
      <c r="BD340" s="11">
        <v>0</v>
      </c>
      <c r="BE340" s="11">
        <v>0</v>
      </c>
    </row>
    <row x14ac:dyDescent="0.25" r="341" customHeight="1" ht="15.75">
      <c r="A341" s="11">
        <v>110457</v>
      </c>
      <c r="B341" s="4" t="s">
        <v>1698</v>
      </c>
      <c r="C341" s="5" t="s">
        <v>1025</v>
      </c>
      <c r="D341" s="5" t="s">
        <v>1026</v>
      </c>
      <c r="E341" s="5" t="s">
        <v>1699</v>
      </c>
      <c r="F341" s="13">
        <f>"0802150268"</f>
      </c>
      <c r="G341" s="13">
        <f>"9780802150264"</f>
      </c>
      <c r="H341" s="11">
        <v>0</v>
      </c>
      <c r="I341" s="14">
        <v>3.56</v>
      </c>
      <c r="J341" s="7" t="s">
        <v>66</v>
      </c>
      <c r="K341" s="5" t="s">
        <v>60</v>
      </c>
      <c r="L341" s="11">
        <v>160</v>
      </c>
      <c r="M341" s="11">
        <v>1994</v>
      </c>
      <c r="N341" s="11">
        <v>1928</v>
      </c>
      <c r="O341" s="15"/>
      <c r="P341" s="8">
        <v>45081</v>
      </c>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4" t="s">
        <v>419</v>
      </c>
      <c r="AY341" s="5" t="s">
        <v>1700</v>
      </c>
      <c r="AZ341" s="5" t="s">
        <v>38</v>
      </c>
      <c r="BA341" s="12"/>
      <c r="BB341" s="12"/>
      <c r="BC341" s="12"/>
      <c r="BD341" s="11">
        <v>0</v>
      </c>
      <c r="BE341" s="11">
        <v>0</v>
      </c>
    </row>
    <row x14ac:dyDescent="0.25" r="342" customHeight="1" ht="15.75">
      <c r="A342" s="11">
        <v>287490</v>
      </c>
      <c r="B342" s="4" t="s">
        <v>1701</v>
      </c>
      <c r="C342" s="5" t="s">
        <v>1702</v>
      </c>
      <c r="D342" s="5" t="s">
        <v>1703</v>
      </c>
      <c r="E342" s="5" t="s">
        <v>1704</v>
      </c>
      <c r="F342" s="13">
        <f>"094032220X"</f>
      </c>
      <c r="G342" s="13">
        <f>"9780940322202"</f>
      </c>
      <c r="H342" s="11">
        <v>0</v>
      </c>
      <c r="I342" s="14">
        <v>4.02</v>
      </c>
      <c r="J342" s="7" t="s">
        <v>108</v>
      </c>
      <c r="K342" s="5" t="s">
        <v>60</v>
      </c>
      <c r="L342" s="11">
        <v>455</v>
      </c>
      <c r="M342" s="11">
        <v>2000</v>
      </c>
      <c r="N342" s="11">
        <v>1903</v>
      </c>
      <c r="O342" s="15"/>
      <c r="P342" s="8">
        <v>45081</v>
      </c>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4" t="s">
        <v>1705</v>
      </c>
      <c r="AY342" s="5" t="s">
        <v>1706</v>
      </c>
      <c r="AZ342" s="5" t="s">
        <v>38</v>
      </c>
      <c r="BA342" s="12"/>
      <c r="BB342" s="12"/>
      <c r="BC342" s="12"/>
      <c r="BD342" s="11">
        <v>0</v>
      </c>
      <c r="BE342" s="11">
        <v>0</v>
      </c>
    </row>
    <row x14ac:dyDescent="0.25" r="343" customHeight="1" ht="15.75">
      <c r="A343" s="11">
        <v>1034371</v>
      </c>
      <c r="B343" s="4" t="s">
        <v>1707</v>
      </c>
      <c r="C343" s="5" t="s">
        <v>1708</v>
      </c>
      <c r="D343" s="5" t="s">
        <v>1709</v>
      </c>
      <c r="E343" s="12"/>
      <c r="F343" s="13">
        <f>"8433917994"</f>
      </c>
      <c r="G343" s="13">
        <f>"9788433917997"</f>
      </c>
      <c r="H343" s="11">
        <v>0</v>
      </c>
      <c r="I343" s="14">
        <v>3.79</v>
      </c>
      <c r="J343" s="7" t="s">
        <v>1710</v>
      </c>
      <c r="K343" s="5" t="s">
        <v>60</v>
      </c>
      <c r="L343" s="11">
        <v>160</v>
      </c>
      <c r="M343" s="11">
        <v>1990</v>
      </c>
      <c r="N343" s="11">
        <v>1972</v>
      </c>
      <c r="O343" s="15"/>
      <c r="P343" s="8">
        <v>45079</v>
      </c>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4" t="s">
        <v>419</v>
      </c>
      <c r="AY343" s="5" t="s">
        <v>1711</v>
      </c>
      <c r="AZ343" s="5" t="s">
        <v>38</v>
      </c>
      <c r="BA343" s="12"/>
      <c r="BB343" s="12"/>
      <c r="BC343" s="12"/>
      <c r="BD343" s="11">
        <v>0</v>
      </c>
      <c r="BE343" s="11">
        <v>0</v>
      </c>
    </row>
    <row x14ac:dyDescent="0.25" r="344" customHeight="1" ht="15.75">
      <c r="A344" s="11">
        <v>57739876</v>
      </c>
      <c r="B344" s="4" t="s">
        <v>1712</v>
      </c>
      <c r="C344" s="5" t="s">
        <v>714</v>
      </c>
      <c r="D344" s="5" t="s">
        <v>715</v>
      </c>
      <c r="E344" s="12"/>
      <c r="F344" s="13">
        <f>"0385547935"</f>
      </c>
      <c r="G344" s="13">
        <f>"9780385547932"</f>
      </c>
      <c r="H344" s="11">
        <v>0</v>
      </c>
      <c r="I344" s="14">
        <v>3.78</v>
      </c>
      <c r="J344" s="7" t="s">
        <v>716</v>
      </c>
      <c r="K344" s="5" t="s">
        <v>72</v>
      </c>
      <c r="L344" s="11">
        <v>720</v>
      </c>
      <c r="M344" s="11">
        <v>2022</v>
      </c>
      <c r="N344" s="11">
        <v>2022</v>
      </c>
      <c r="O344" s="15"/>
      <c r="P344" s="8">
        <v>44814</v>
      </c>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4" t="s">
        <v>419</v>
      </c>
      <c r="AY344" s="5" t="s">
        <v>1713</v>
      </c>
      <c r="AZ344" s="5" t="s">
        <v>38</v>
      </c>
      <c r="BA344" s="12"/>
      <c r="BB344" s="12"/>
      <c r="BC344" s="12"/>
      <c r="BD344" s="11">
        <v>0</v>
      </c>
      <c r="BE344" s="11">
        <v>0</v>
      </c>
    </row>
    <row x14ac:dyDescent="0.25" r="345" customHeight="1" ht="15.75">
      <c r="A345" s="11">
        <v>88076</v>
      </c>
      <c r="B345" s="4" t="s">
        <v>1714</v>
      </c>
      <c r="C345" s="5" t="s">
        <v>1715</v>
      </c>
      <c r="D345" s="5" t="s">
        <v>1716</v>
      </c>
      <c r="E345" s="5" t="s">
        <v>1717</v>
      </c>
      <c r="F345" s="13">
        <f>"1400040019"</f>
      </c>
      <c r="G345" s="13">
        <f>"9781400040018"</f>
      </c>
      <c r="H345" s="11">
        <v>0</v>
      </c>
      <c r="I345" s="14">
        <v>4.42</v>
      </c>
      <c r="J345" s="7" t="s">
        <v>1718</v>
      </c>
      <c r="K345" s="5" t="s">
        <v>72</v>
      </c>
      <c r="L345" s="11">
        <v>1492</v>
      </c>
      <c r="M345" s="11">
        <v>2005</v>
      </c>
      <c r="N345" s="11">
        <v>1943</v>
      </c>
      <c r="O345" s="15"/>
      <c r="P345" s="8">
        <v>44932</v>
      </c>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4" t="s">
        <v>419</v>
      </c>
      <c r="AY345" s="5" t="s">
        <v>1719</v>
      </c>
      <c r="AZ345" s="5" t="s">
        <v>38</v>
      </c>
      <c r="BA345" s="12"/>
      <c r="BB345" s="12"/>
      <c r="BC345" s="12"/>
      <c r="BD345" s="11">
        <v>0</v>
      </c>
      <c r="BE345" s="11">
        <v>0</v>
      </c>
    </row>
    <row x14ac:dyDescent="0.25" r="346" customHeight="1" ht="15.75">
      <c r="A346" s="11">
        <v>59202649</v>
      </c>
      <c r="B346" s="4" t="s">
        <v>1720</v>
      </c>
      <c r="C346" s="5" t="s">
        <v>1721</v>
      </c>
      <c r="D346" s="5" t="s">
        <v>1722</v>
      </c>
      <c r="E346" s="5" t="s">
        <v>1723</v>
      </c>
      <c r="F346" s="13">
        <f>"1628974184"</f>
      </c>
      <c r="G346" s="13">
        <f>"9781628974188"</f>
      </c>
      <c r="H346" s="11">
        <v>0</v>
      </c>
      <c r="I346" s="14">
        <v>3.45</v>
      </c>
      <c r="J346" s="7" t="s">
        <v>59</v>
      </c>
      <c r="K346" s="5" t="s">
        <v>96</v>
      </c>
      <c r="L346" s="11">
        <v>900</v>
      </c>
      <c r="M346" s="11">
        <v>2022</v>
      </c>
      <c r="N346" s="16"/>
      <c r="O346" s="15"/>
      <c r="P346" s="8">
        <v>44869</v>
      </c>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4" t="s">
        <v>419</v>
      </c>
      <c r="AY346" s="5" t="s">
        <v>1724</v>
      </c>
      <c r="AZ346" s="5" t="s">
        <v>38</v>
      </c>
      <c r="BA346" s="12"/>
      <c r="BB346" s="12"/>
      <c r="BC346" s="12"/>
      <c r="BD346" s="11">
        <v>0</v>
      </c>
      <c r="BE346" s="11">
        <v>0</v>
      </c>
    </row>
    <row x14ac:dyDescent="0.25" r="347" customHeight="1" ht="15.75">
      <c r="A347" s="11">
        <v>98048</v>
      </c>
      <c r="B347" s="4" t="s">
        <v>1725</v>
      </c>
      <c r="C347" s="5" t="s">
        <v>1726</v>
      </c>
      <c r="D347" s="5" t="s">
        <v>1727</v>
      </c>
      <c r="E347" s="12"/>
      <c r="F347" s="13">
        <f>"0142001821"</f>
      </c>
      <c r="G347" s="13">
        <f>"9780142001820"</f>
      </c>
      <c r="H347" s="11">
        <v>0</v>
      </c>
      <c r="I347" s="14">
        <v>3.9</v>
      </c>
      <c r="J347" s="7" t="s">
        <v>491</v>
      </c>
      <c r="K347" s="5" t="s">
        <v>60</v>
      </c>
      <c r="L347" s="11">
        <v>315</v>
      </c>
      <c r="M347" s="11">
        <v>2003</v>
      </c>
      <c r="N347" s="11">
        <v>2001</v>
      </c>
      <c r="O347" s="15"/>
      <c r="P347" s="8">
        <v>44804</v>
      </c>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4" t="s">
        <v>419</v>
      </c>
      <c r="AY347" s="5" t="s">
        <v>1728</v>
      </c>
      <c r="AZ347" s="5" t="s">
        <v>38</v>
      </c>
      <c r="BA347" s="12"/>
      <c r="BB347" s="12"/>
      <c r="BC347" s="12"/>
      <c r="BD347" s="11">
        <v>0</v>
      </c>
      <c r="BE347" s="11">
        <v>0</v>
      </c>
    </row>
    <row x14ac:dyDescent="0.25" r="348" customHeight="1" ht="15.75">
      <c r="A348" s="11">
        <v>119512</v>
      </c>
      <c r="B348" s="4" t="s">
        <v>1729</v>
      </c>
      <c r="C348" s="5" t="s">
        <v>1730</v>
      </c>
      <c r="D348" s="5" t="s">
        <v>1731</v>
      </c>
      <c r="E348" s="5" t="s">
        <v>1732</v>
      </c>
      <c r="F348" s="13">
        <f>"0811215040"</f>
      </c>
      <c r="G348" s="13">
        <f>"9780811215046"</f>
      </c>
      <c r="H348" s="11">
        <v>0</v>
      </c>
      <c r="I348" s="14">
        <v>4.16</v>
      </c>
      <c r="J348" s="7" t="s">
        <v>126</v>
      </c>
      <c r="K348" s="5" t="s">
        <v>60</v>
      </c>
      <c r="L348" s="11">
        <v>314</v>
      </c>
      <c r="M348" s="11">
        <v>2002</v>
      </c>
      <c r="N348" s="11">
        <v>1989</v>
      </c>
      <c r="O348" s="15"/>
      <c r="P348" s="8">
        <v>45058</v>
      </c>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4" t="s">
        <v>419</v>
      </c>
      <c r="AY348" s="5" t="s">
        <v>1733</v>
      </c>
      <c r="AZ348" s="5" t="s">
        <v>38</v>
      </c>
      <c r="BA348" s="12"/>
      <c r="BB348" s="12"/>
      <c r="BC348" s="12"/>
      <c r="BD348" s="11">
        <v>0</v>
      </c>
      <c r="BE348" s="11">
        <v>0</v>
      </c>
    </row>
    <row x14ac:dyDescent="0.25" r="349" customHeight="1" ht="15.75">
      <c r="A349" s="11">
        <v>48595115</v>
      </c>
      <c r="B349" s="4" t="s">
        <v>1734</v>
      </c>
      <c r="C349" s="5" t="s">
        <v>1735</v>
      </c>
      <c r="D349" s="5" t="s">
        <v>1736</v>
      </c>
      <c r="E349" s="12"/>
      <c r="F349" s="13">
        <f>"161219849X"</f>
      </c>
      <c r="G349" s="13">
        <f>""</f>
      </c>
      <c r="H349" s="11">
        <v>0</v>
      </c>
      <c r="I349" s="14">
        <v>4.16</v>
      </c>
      <c r="J349" s="7" t="s">
        <v>1737</v>
      </c>
      <c r="K349" s="5" t="s">
        <v>90</v>
      </c>
      <c r="L349" s="11">
        <v>252</v>
      </c>
      <c r="M349" s="11">
        <v>2020</v>
      </c>
      <c r="N349" s="11">
        <v>2019</v>
      </c>
      <c r="O349" s="15"/>
      <c r="P349" s="8">
        <v>44340</v>
      </c>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4" t="s">
        <v>419</v>
      </c>
      <c r="AY349" s="5" t="s">
        <v>1738</v>
      </c>
      <c r="AZ349" s="5" t="s">
        <v>38</v>
      </c>
      <c r="BA349" s="12"/>
      <c r="BB349" s="12"/>
      <c r="BC349" s="12"/>
      <c r="BD349" s="11">
        <v>0</v>
      </c>
      <c r="BE349" s="11">
        <v>0</v>
      </c>
    </row>
    <row x14ac:dyDescent="0.25" r="350" customHeight="1" ht="15.75">
      <c r="A350" s="11">
        <v>14059541</v>
      </c>
      <c r="B350" s="4" t="s">
        <v>1739</v>
      </c>
      <c r="C350" s="5" t="s">
        <v>1740</v>
      </c>
      <c r="D350" s="5" t="s">
        <v>1741</v>
      </c>
      <c r="E350" s="12"/>
      <c r="F350" s="13">
        <f>"014119894X"</f>
      </c>
      <c r="G350" s="13">
        <f>"9780141198941"</f>
      </c>
      <c r="H350" s="11">
        <v>0</v>
      </c>
      <c r="I350" s="14">
        <v>3.67</v>
      </c>
      <c r="J350" s="7" t="s">
        <v>491</v>
      </c>
      <c r="K350" s="5" t="s">
        <v>60</v>
      </c>
      <c r="L350" s="11">
        <v>238</v>
      </c>
      <c r="M350" s="11">
        <v>2012</v>
      </c>
      <c r="N350" s="11">
        <v>1824</v>
      </c>
      <c r="O350" s="15"/>
      <c r="P350" s="8">
        <v>44265</v>
      </c>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4" t="s">
        <v>419</v>
      </c>
      <c r="AY350" s="5" t="s">
        <v>1742</v>
      </c>
      <c r="AZ350" s="5" t="s">
        <v>38</v>
      </c>
      <c r="BA350" s="12"/>
      <c r="BB350" s="12"/>
      <c r="BC350" s="12"/>
      <c r="BD350" s="11">
        <v>0</v>
      </c>
      <c r="BE350" s="11">
        <v>0</v>
      </c>
    </row>
    <row x14ac:dyDescent="0.25" r="351" customHeight="1" ht="15.75">
      <c r="A351" s="11">
        <v>16286</v>
      </c>
      <c r="B351" s="4" t="s">
        <v>1743</v>
      </c>
      <c r="C351" s="5" t="s">
        <v>1744</v>
      </c>
      <c r="D351" s="5" t="s">
        <v>1745</v>
      </c>
      <c r="E351" s="12"/>
      <c r="F351" s="13">
        <f>"0316296198"</f>
      </c>
      <c r="G351" s="13">
        <f>"9780316296199"</f>
      </c>
      <c r="H351" s="11">
        <v>0</v>
      </c>
      <c r="I351" s="14">
        <v>4.05</v>
      </c>
      <c r="J351" s="7" t="s">
        <v>1746</v>
      </c>
      <c r="K351" s="5" t="s">
        <v>60</v>
      </c>
      <c r="L351" s="11">
        <v>656</v>
      </c>
      <c r="M351" s="11">
        <v>2001</v>
      </c>
      <c r="N351" s="11">
        <v>1965</v>
      </c>
      <c r="O351" s="15"/>
      <c r="P351" s="8">
        <v>44256</v>
      </c>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4" t="s">
        <v>419</v>
      </c>
      <c r="AY351" s="5" t="s">
        <v>1747</v>
      </c>
      <c r="AZ351" s="5" t="s">
        <v>38</v>
      </c>
      <c r="BA351" s="12"/>
      <c r="BB351" s="12"/>
      <c r="BC351" s="12"/>
      <c r="BD351" s="11">
        <v>0</v>
      </c>
      <c r="BE351" s="11">
        <v>0</v>
      </c>
    </row>
    <row x14ac:dyDescent="0.25" r="352" customHeight="1" ht="15.75">
      <c r="A352" s="11">
        <v>3816454</v>
      </c>
      <c r="B352" s="4" t="s">
        <v>1748</v>
      </c>
      <c r="C352" s="5" t="s">
        <v>1749</v>
      </c>
      <c r="D352" s="5" t="s">
        <v>1750</v>
      </c>
      <c r="E352" s="12"/>
      <c r="F352" s="13">
        <f>"0811217450"</f>
      </c>
      <c r="G352" s="13">
        <f>"9780811217453"</f>
      </c>
      <c r="H352" s="11">
        <v>0</v>
      </c>
      <c r="I352" s="14">
        <v>3.78</v>
      </c>
      <c r="J352" s="7" t="s">
        <v>126</v>
      </c>
      <c r="K352" s="5" t="s">
        <v>60</v>
      </c>
      <c r="L352" s="11">
        <v>106</v>
      </c>
      <c r="M352" s="11">
        <v>2008</v>
      </c>
      <c r="N352" s="11">
        <v>2008</v>
      </c>
      <c r="O352" s="15"/>
      <c r="P352" s="8">
        <v>44252</v>
      </c>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4" t="s">
        <v>419</v>
      </c>
      <c r="AY352" s="5" t="s">
        <v>1751</v>
      </c>
      <c r="AZ352" s="5" t="s">
        <v>38</v>
      </c>
      <c r="BA352" s="12"/>
      <c r="BB352" s="12"/>
      <c r="BC352" s="12"/>
      <c r="BD352" s="11">
        <v>0</v>
      </c>
      <c r="BE352" s="11">
        <v>0</v>
      </c>
    </row>
    <row x14ac:dyDescent="0.25" r="353" customHeight="1" ht="15.75">
      <c r="A353" s="11">
        <v>37380</v>
      </c>
      <c r="B353" s="4" t="s">
        <v>1752</v>
      </c>
      <c r="C353" s="5" t="s">
        <v>1753</v>
      </c>
      <c r="D353" s="5" t="s">
        <v>1754</v>
      </c>
      <c r="E353" s="12"/>
      <c r="F353" s="13">
        <f>"0618084746"</f>
      </c>
      <c r="G353" s="13">
        <f>"9780618084746"</f>
      </c>
      <c r="H353" s="11">
        <v>0</v>
      </c>
      <c r="I353" s="14">
        <v>3.99</v>
      </c>
      <c r="J353" s="7" t="s">
        <v>1755</v>
      </c>
      <c r="K353" s="5" t="s">
        <v>60</v>
      </c>
      <c r="L353" s="11">
        <v>359</v>
      </c>
      <c r="M353" s="11">
        <v>2000</v>
      </c>
      <c r="N353" s="11">
        <v>1940</v>
      </c>
      <c r="O353" s="15"/>
      <c r="P353" s="8">
        <v>44226</v>
      </c>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4" t="s">
        <v>419</v>
      </c>
      <c r="AY353" s="5" t="s">
        <v>1756</v>
      </c>
      <c r="AZ353" s="5" t="s">
        <v>38</v>
      </c>
      <c r="BA353" s="12"/>
      <c r="BB353" s="12"/>
      <c r="BC353" s="12"/>
      <c r="BD353" s="11">
        <v>0</v>
      </c>
      <c r="BE353" s="11">
        <v>0</v>
      </c>
    </row>
    <row x14ac:dyDescent="0.25" r="354" customHeight="1" ht="15.75">
      <c r="A354" s="11">
        <v>54303848</v>
      </c>
      <c r="B354" s="4" t="s">
        <v>1757</v>
      </c>
      <c r="C354" s="5" t="s">
        <v>1758</v>
      </c>
      <c r="D354" s="5" t="s">
        <v>1759</v>
      </c>
      <c r="E354" s="12"/>
      <c r="F354" s="13">
        <f>""</f>
      </c>
      <c r="G354" s="13">
        <f>""</f>
      </c>
      <c r="H354" s="11">
        <v>0</v>
      </c>
      <c r="I354" s="14">
        <v>3.94</v>
      </c>
      <c r="J354" s="7" t="s">
        <v>1760</v>
      </c>
      <c r="K354" s="5" t="s">
        <v>72</v>
      </c>
      <c r="L354" s="11">
        <v>191</v>
      </c>
      <c r="M354" s="11">
        <v>2021</v>
      </c>
      <c r="N354" s="11">
        <v>2021</v>
      </c>
      <c r="O354" s="15"/>
      <c r="P354" s="8">
        <v>44216</v>
      </c>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4" t="s">
        <v>419</v>
      </c>
      <c r="AY354" s="5" t="s">
        <v>1761</v>
      </c>
      <c r="AZ354" s="5" t="s">
        <v>38</v>
      </c>
      <c r="BA354" s="12"/>
      <c r="BB354" s="12"/>
      <c r="BC354" s="12"/>
      <c r="BD354" s="11">
        <v>0</v>
      </c>
      <c r="BE354" s="11">
        <v>0</v>
      </c>
    </row>
    <row x14ac:dyDescent="0.25" r="355" customHeight="1" ht="15.75">
      <c r="A355" s="11">
        <v>54120408</v>
      </c>
      <c r="B355" s="4" t="s">
        <v>1762</v>
      </c>
      <c r="C355" s="5" t="s">
        <v>1763</v>
      </c>
      <c r="D355" s="5" t="s">
        <v>1764</v>
      </c>
      <c r="E355" s="12"/>
      <c r="F355" s="13">
        <f>"059331817X"</f>
      </c>
      <c r="G355" s="13">
        <f>"9780593318171"</f>
      </c>
      <c r="H355" s="11">
        <v>0</v>
      </c>
      <c r="I355" s="14">
        <v>3.75</v>
      </c>
      <c r="J355" s="7" t="s">
        <v>1765</v>
      </c>
      <c r="K355" s="5" t="s">
        <v>72</v>
      </c>
      <c r="L355" s="11">
        <v>303</v>
      </c>
      <c r="M355" s="11">
        <v>2021</v>
      </c>
      <c r="N355" s="11">
        <v>2021</v>
      </c>
      <c r="O355" s="15"/>
      <c r="P355" s="8">
        <v>44216</v>
      </c>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4" t="s">
        <v>419</v>
      </c>
      <c r="AY355" s="5" t="s">
        <v>1766</v>
      </c>
      <c r="AZ355" s="5" t="s">
        <v>38</v>
      </c>
      <c r="BA355" s="12"/>
      <c r="BB355" s="12"/>
      <c r="BC355" s="12"/>
      <c r="BD355" s="11">
        <v>0</v>
      </c>
      <c r="BE355" s="11">
        <v>0</v>
      </c>
    </row>
    <row x14ac:dyDescent="0.25" r="356" customHeight="1" ht="15.75">
      <c r="A356" s="11">
        <v>52692515</v>
      </c>
      <c r="B356" s="4" t="s">
        <v>1767</v>
      </c>
      <c r="C356" s="5" t="s">
        <v>1768</v>
      </c>
      <c r="D356" s="5" t="s">
        <v>1769</v>
      </c>
      <c r="E356" s="5" t="s">
        <v>1770</v>
      </c>
      <c r="F356" s="13">
        <f>"1526622246"</f>
      </c>
      <c r="G356" s="13">
        <f>"9781526622242"</f>
      </c>
      <c r="H356" s="11">
        <v>0</v>
      </c>
      <c r="I356" s="14">
        <v>3.61</v>
      </c>
      <c r="J356" s="7" t="s">
        <v>1771</v>
      </c>
      <c r="K356" s="5" t="s">
        <v>60</v>
      </c>
      <c r="L356" s="11">
        <v>416</v>
      </c>
      <c r="M356" s="11">
        <v>2020</v>
      </c>
      <c r="N356" s="11">
        <v>2015</v>
      </c>
      <c r="O356" s="15"/>
      <c r="P356" s="8">
        <v>44216</v>
      </c>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4" t="s">
        <v>419</v>
      </c>
      <c r="AY356" s="5" t="s">
        <v>1772</v>
      </c>
      <c r="AZ356" s="5" t="s">
        <v>38</v>
      </c>
      <c r="BA356" s="12"/>
      <c r="BB356" s="12"/>
      <c r="BC356" s="12"/>
      <c r="BD356" s="11">
        <v>0</v>
      </c>
      <c r="BE356" s="11">
        <v>0</v>
      </c>
    </row>
    <row x14ac:dyDescent="0.25" r="357" customHeight="1" ht="15.75">
      <c r="A357" s="11">
        <v>53205917</v>
      </c>
      <c r="B357" s="4" t="s">
        <v>1773</v>
      </c>
      <c r="C357" s="5" t="s">
        <v>1774</v>
      </c>
      <c r="D357" s="5" t="s">
        <v>1775</v>
      </c>
      <c r="E357" s="5" t="s">
        <v>1776</v>
      </c>
      <c r="F357" s="13">
        <f>"1250750555"</f>
      </c>
      <c r="G357" s="13">
        <f>"9781250750556"</f>
      </c>
      <c r="H357" s="11">
        <v>0</v>
      </c>
      <c r="I357" s="14">
        <v>4.01</v>
      </c>
      <c r="J357" s="7" t="s">
        <v>1777</v>
      </c>
      <c r="K357" s="5" t="s">
        <v>72</v>
      </c>
      <c r="L357" s="11">
        <v>208</v>
      </c>
      <c r="M357" s="11">
        <v>2021</v>
      </c>
      <c r="N357" s="11">
        <v>2011</v>
      </c>
      <c r="O357" s="15"/>
      <c r="P357" s="8">
        <v>44216</v>
      </c>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4" t="s">
        <v>419</v>
      </c>
      <c r="AY357" s="5" t="s">
        <v>1778</v>
      </c>
      <c r="AZ357" s="5" t="s">
        <v>38</v>
      </c>
      <c r="BA357" s="12"/>
      <c r="BB357" s="12"/>
      <c r="BC357" s="12"/>
      <c r="BD357" s="11">
        <v>0</v>
      </c>
      <c r="BE357" s="11">
        <v>0</v>
      </c>
    </row>
    <row x14ac:dyDescent="0.25" r="358" customHeight="1" ht="15.75">
      <c r="A358" s="11">
        <v>56561001</v>
      </c>
      <c r="B358" s="4" t="s">
        <v>1779</v>
      </c>
      <c r="C358" s="5" t="s">
        <v>1780</v>
      </c>
      <c r="D358" s="5" t="s">
        <v>1781</v>
      </c>
      <c r="E358" s="12"/>
      <c r="F358" s="13">
        <f>""</f>
      </c>
      <c r="G358" s="13">
        <f>""</f>
      </c>
      <c r="H358" s="11">
        <v>0</v>
      </c>
      <c r="I358" s="14">
        <v>3.6</v>
      </c>
      <c r="J358" s="7" t="s">
        <v>665</v>
      </c>
      <c r="K358" s="5" t="s">
        <v>90</v>
      </c>
      <c r="L358" s="11">
        <v>304</v>
      </c>
      <c r="M358" s="11">
        <v>2021</v>
      </c>
      <c r="N358" s="11">
        <v>2021</v>
      </c>
      <c r="O358" s="15"/>
      <c r="P358" s="8">
        <v>44216</v>
      </c>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4" t="s">
        <v>419</v>
      </c>
      <c r="AY358" s="5" t="s">
        <v>1782</v>
      </c>
      <c r="AZ358" s="5" t="s">
        <v>38</v>
      </c>
      <c r="BA358" s="12"/>
      <c r="BB358" s="12"/>
      <c r="BC358" s="12"/>
      <c r="BD358" s="11">
        <v>0</v>
      </c>
      <c r="BE358" s="11">
        <v>0</v>
      </c>
    </row>
    <row x14ac:dyDescent="0.25" r="359" customHeight="1" ht="15.75">
      <c r="A359" s="11">
        <v>51134978</v>
      </c>
      <c r="B359" s="4" t="s">
        <v>1783</v>
      </c>
      <c r="C359" s="5" t="s">
        <v>1784</v>
      </c>
      <c r="D359" s="5" t="s">
        <v>1785</v>
      </c>
      <c r="E359" s="12"/>
      <c r="F359" s="13">
        <f>"1913547035"</f>
      </c>
      <c r="G359" s="13">
        <f>"9781913547035"</f>
      </c>
      <c r="H359" s="11">
        <v>0</v>
      </c>
      <c r="I359" s="14">
        <v>3.54</v>
      </c>
      <c r="J359" s="7" t="s">
        <v>1786</v>
      </c>
      <c r="K359" s="5" t="s">
        <v>60</v>
      </c>
      <c r="L359" s="11">
        <v>160</v>
      </c>
      <c r="M359" s="11">
        <v>2020</v>
      </c>
      <c r="N359" s="11">
        <v>2020</v>
      </c>
      <c r="O359" s="15"/>
      <c r="P359" s="8">
        <v>44216</v>
      </c>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4" t="s">
        <v>419</v>
      </c>
      <c r="AY359" s="5" t="s">
        <v>1787</v>
      </c>
      <c r="AZ359" s="5" t="s">
        <v>38</v>
      </c>
      <c r="BA359" s="12"/>
      <c r="BB359" s="12"/>
      <c r="BC359" s="12"/>
      <c r="BD359" s="11">
        <v>0</v>
      </c>
      <c r="BE359" s="11">
        <v>0</v>
      </c>
    </row>
    <row x14ac:dyDescent="0.25" r="360" customHeight="1" ht="15.75">
      <c r="A360" s="11">
        <v>53492652</v>
      </c>
      <c r="B360" s="4" t="s">
        <v>1788</v>
      </c>
      <c r="C360" s="5" t="s">
        <v>1789</v>
      </c>
      <c r="D360" s="5" t="s">
        <v>1790</v>
      </c>
      <c r="E360" s="5" t="s">
        <v>1791</v>
      </c>
      <c r="F360" s="13">
        <f>"0811230619"</f>
      </c>
      <c r="G360" s="13">
        <f>"9780811230612"</f>
      </c>
      <c r="H360" s="11">
        <v>0</v>
      </c>
      <c r="I360" s="14">
        <v>4.29</v>
      </c>
      <c r="J360" s="7" t="s">
        <v>126</v>
      </c>
      <c r="K360" s="5" t="s">
        <v>72</v>
      </c>
      <c r="L360" s="11">
        <v>176</v>
      </c>
      <c r="M360" s="11">
        <v>2021</v>
      </c>
      <c r="N360" s="11">
        <v>1969</v>
      </c>
      <c r="O360" s="15"/>
      <c r="P360" s="8">
        <v>44216</v>
      </c>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4" t="s">
        <v>419</v>
      </c>
      <c r="AY360" s="5" t="s">
        <v>1792</v>
      </c>
      <c r="AZ360" s="5" t="s">
        <v>38</v>
      </c>
      <c r="BA360" s="12"/>
      <c r="BB360" s="12"/>
      <c r="BC360" s="12"/>
      <c r="BD360" s="11">
        <v>0</v>
      </c>
      <c r="BE360" s="11">
        <v>0</v>
      </c>
    </row>
    <row x14ac:dyDescent="0.25" r="361" customHeight="1" ht="15.75">
      <c r="A361" s="11">
        <v>2659806</v>
      </c>
      <c r="B361" s="4" t="s">
        <v>1793</v>
      </c>
      <c r="C361" s="5" t="s">
        <v>1794</v>
      </c>
      <c r="D361" s="5" t="s">
        <v>1795</v>
      </c>
      <c r="E361" s="12"/>
      <c r="F361" s="13">
        <f>"843396853X"</f>
      </c>
      <c r="G361" s="13">
        <f>"9788433968531"</f>
      </c>
      <c r="H361" s="11">
        <v>0</v>
      </c>
      <c r="I361" s="14">
        <v>3.7</v>
      </c>
      <c r="J361" s="7" t="s">
        <v>1710</v>
      </c>
      <c r="K361" s="5" t="s">
        <v>60</v>
      </c>
      <c r="L361" s="11">
        <v>256</v>
      </c>
      <c r="M361" s="11">
        <v>2003</v>
      </c>
      <c r="N361" s="11">
        <v>2003</v>
      </c>
      <c r="O361" s="15"/>
      <c r="P361" s="8">
        <v>44166</v>
      </c>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4" t="s">
        <v>419</v>
      </c>
      <c r="AY361" s="5" t="s">
        <v>1796</v>
      </c>
      <c r="AZ361" s="5" t="s">
        <v>38</v>
      </c>
      <c r="BA361" s="12"/>
      <c r="BB361" s="12"/>
      <c r="BC361" s="12"/>
      <c r="BD361" s="11">
        <v>0</v>
      </c>
      <c r="BE361" s="11">
        <v>0</v>
      </c>
    </row>
    <row x14ac:dyDescent="0.25" r="362" customHeight="1" ht="15.75">
      <c r="A362" s="11">
        <v>55711682</v>
      </c>
      <c r="B362" s="4" t="s">
        <v>1797</v>
      </c>
      <c r="C362" s="5" t="s">
        <v>1798</v>
      </c>
      <c r="D362" s="5" t="s">
        <v>1799</v>
      </c>
      <c r="E362" s="12"/>
      <c r="F362" s="13">
        <f>"1982158301"</f>
      </c>
      <c r="G362" s="13">
        <f>"9781982158309"</f>
      </c>
      <c r="H362" s="11">
        <v>0</v>
      </c>
      <c r="I362" s="14">
        <v>3.46</v>
      </c>
      <c r="J362" s="7" t="s">
        <v>1800</v>
      </c>
      <c r="K362" s="5" t="s">
        <v>72</v>
      </c>
      <c r="L362" s="11">
        <v>304</v>
      </c>
      <c r="M362" s="11">
        <v>2021</v>
      </c>
      <c r="N362" s="11">
        <v>2021</v>
      </c>
      <c r="O362" s="15"/>
      <c r="P362" s="8">
        <v>44216</v>
      </c>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4" t="s">
        <v>419</v>
      </c>
      <c r="AY362" s="5" t="s">
        <v>1801</v>
      </c>
      <c r="AZ362" s="5" t="s">
        <v>38</v>
      </c>
      <c r="BA362" s="12"/>
      <c r="BB362" s="12"/>
      <c r="BC362" s="12"/>
      <c r="BD362" s="11">
        <v>0</v>
      </c>
      <c r="BE362" s="11">
        <v>0</v>
      </c>
    </row>
    <row x14ac:dyDescent="0.25" r="363" customHeight="1" ht="15.75">
      <c r="A363" s="11">
        <v>153426</v>
      </c>
      <c r="B363" s="4" t="s">
        <v>1802</v>
      </c>
      <c r="C363" s="5" t="s">
        <v>1789</v>
      </c>
      <c r="D363" s="5" t="s">
        <v>1790</v>
      </c>
      <c r="E363" s="5" t="s">
        <v>1803</v>
      </c>
      <c r="F363" s="13">
        <f>"0816617120"</f>
      </c>
      <c r="G363" s="13">
        <f>"9780816617128"</f>
      </c>
      <c r="H363" s="11">
        <v>0</v>
      </c>
      <c r="I363" s="14">
        <v>4.13</v>
      </c>
      <c r="J363" s="7" t="s">
        <v>983</v>
      </c>
      <c r="K363" s="5" t="s">
        <v>60</v>
      </c>
      <c r="L363" s="11">
        <v>173</v>
      </c>
      <c r="M363" s="11">
        <v>1988</v>
      </c>
      <c r="N363" s="11">
        <v>1964</v>
      </c>
      <c r="O363" s="15"/>
      <c r="P363" s="8">
        <v>44216</v>
      </c>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4" t="s">
        <v>419</v>
      </c>
      <c r="AY363" s="5" t="s">
        <v>1804</v>
      </c>
      <c r="AZ363" s="5" t="s">
        <v>38</v>
      </c>
      <c r="BA363" s="12"/>
      <c r="BB363" s="12"/>
      <c r="BC363" s="12"/>
      <c r="BD363" s="11">
        <v>0</v>
      </c>
      <c r="BE363" s="11">
        <v>0</v>
      </c>
    </row>
    <row x14ac:dyDescent="0.25" r="364" customHeight="1" ht="15.75">
      <c r="A364" s="11">
        <v>56761975</v>
      </c>
      <c r="B364" s="4" t="s">
        <v>1805</v>
      </c>
      <c r="C364" s="5" t="s">
        <v>1806</v>
      </c>
      <c r="D364" s="5" t="s">
        <v>1807</v>
      </c>
      <c r="E364" s="12"/>
      <c r="F364" s="13">
        <f>""</f>
      </c>
      <c r="G364" s="13">
        <f>""</f>
      </c>
      <c r="H364" s="11">
        <v>0</v>
      </c>
      <c r="I364" s="14">
        <v>3.41</v>
      </c>
      <c r="J364" s="7" t="s">
        <v>120</v>
      </c>
      <c r="K364" s="5" t="s">
        <v>90</v>
      </c>
      <c r="L364" s="11">
        <v>288</v>
      </c>
      <c r="M364" s="11">
        <v>2021</v>
      </c>
      <c r="N364" s="11">
        <v>2021</v>
      </c>
      <c r="O364" s="15"/>
      <c r="P364" s="8">
        <v>44216</v>
      </c>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4" t="s">
        <v>419</v>
      </c>
      <c r="AY364" s="5" t="s">
        <v>1808</v>
      </c>
      <c r="AZ364" s="5" t="s">
        <v>38</v>
      </c>
      <c r="BA364" s="12"/>
      <c r="BB364" s="12"/>
      <c r="BC364" s="12"/>
      <c r="BD364" s="11">
        <v>0</v>
      </c>
      <c r="BE364" s="11">
        <v>0</v>
      </c>
    </row>
    <row x14ac:dyDescent="0.25" r="365" customHeight="1" ht="15.75">
      <c r="A365" s="11">
        <v>63032</v>
      </c>
      <c r="B365" s="11">
        <v>2666</v>
      </c>
      <c r="C365" s="5" t="s">
        <v>1809</v>
      </c>
      <c r="D365" s="5" t="s">
        <v>1810</v>
      </c>
      <c r="E365" s="12"/>
      <c r="F365" s="13">
        <f>"843396867X"</f>
      </c>
      <c r="G365" s="13">
        <f>"9788433968678"</f>
      </c>
      <c r="H365" s="11">
        <v>0</v>
      </c>
      <c r="I365" s="14">
        <v>4.2</v>
      </c>
      <c r="J365" s="7" t="s">
        <v>1710</v>
      </c>
      <c r="K365" s="5" t="s">
        <v>60</v>
      </c>
      <c r="L365" s="11">
        <v>1128</v>
      </c>
      <c r="M365" s="11">
        <v>2004</v>
      </c>
      <c r="N365" s="11">
        <v>2004</v>
      </c>
      <c r="O365" s="15"/>
      <c r="P365" s="8">
        <v>43970</v>
      </c>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4" t="s">
        <v>419</v>
      </c>
      <c r="AY365" s="5" t="s">
        <v>1811</v>
      </c>
      <c r="AZ365" s="5" t="s">
        <v>38</v>
      </c>
      <c r="BA365" s="12"/>
      <c r="BB365" s="12"/>
      <c r="BC365" s="12"/>
      <c r="BD365" s="11">
        <v>0</v>
      </c>
      <c r="BE365" s="11">
        <v>0</v>
      </c>
    </row>
    <row x14ac:dyDescent="0.25" r="366" customHeight="1" ht="15.75">
      <c r="A366" s="11">
        <v>215262</v>
      </c>
      <c r="B366" s="4" t="s">
        <v>1812</v>
      </c>
      <c r="C366" s="5" t="s">
        <v>1813</v>
      </c>
      <c r="D366" s="5" t="s">
        <v>1814</v>
      </c>
      <c r="E366" s="12"/>
      <c r="F366" s="13">
        <f>"0720611792"</f>
      </c>
      <c r="G366" s="13">
        <f>"9780720611793"</f>
      </c>
      <c r="H366" s="11">
        <v>0</v>
      </c>
      <c r="I366" s="14">
        <v>3.61</v>
      </c>
      <c r="J366" s="7" t="s">
        <v>1815</v>
      </c>
      <c r="K366" s="5" t="s">
        <v>60</v>
      </c>
      <c r="L366" s="11">
        <v>234</v>
      </c>
      <c r="M366" s="11">
        <v>2003</v>
      </c>
      <c r="N366" s="11">
        <v>1943</v>
      </c>
      <c r="O366" s="15"/>
      <c r="P366" s="8">
        <v>43952</v>
      </c>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4" t="s">
        <v>419</v>
      </c>
      <c r="AY366" s="5" t="s">
        <v>1816</v>
      </c>
      <c r="AZ366" s="5" t="s">
        <v>38</v>
      </c>
      <c r="BA366" s="12"/>
      <c r="BB366" s="12"/>
      <c r="BC366" s="12"/>
      <c r="BD366" s="11">
        <v>0</v>
      </c>
      <c r="BE366" s="11">
        <v>0</v>
      </c>
    </row>
    <row x14ac:dyDescent="0.25" r="367" customHeight="1" ht="15.75">
      <c r="A367" s="11">
        <v>6077503</v>
      </c>
      <c r="B367" s="4" t="s">
        <v>1817</v>
      </c>
      <c r="C367" s="5" t="s">
        <v>1818</v>
      </c>
      <c r="D367" s="5" t="s">
        <v>1819</v>
      </c>
      <c r="E367" s="5" t="s">
        <v>1820</v>
      </c>
      <c r="F367" s="13">
        <f>"0802118925"</f>
      </c>
      <c r="G367" s="13">
        <f>"9780802118929"</f>
      </c>
      <c r="H367" s="11">
        <v>4</v>
      </c>
      <c r="I367" s="14">
        <v>2.85</v>
      </c>
      <c r="J367" s="7" t="s">
        <v>66</v>
      </c>
      <c r="K367" s="5" t="s">
        <v>72</v>
      </c>
      <c r="L367" s="11">
        <v>208</v>
      </c>
      <c r="M367" s="11">
        <v>2009</v>
      </c>
      <c r="N367" s="11">
        <v>2008</v>
      </c>
      <c r="O367" s="8">
        <v>43949</v>
      </c>
      <c r="P367" s="8">
        <v>43939</v>
      </c>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4" t="s">
        <v>32</v>
      </c>
      <c r="AY367" s="5" t="s">
        <v>1821</v>
      </c>
      <c r="AZ367" s="5" t="s">
        <v>158</v>
      </c>
      <c r="BA367" s="5" t="s">
        <v>1822</v>
      </c>
      <c r="BB367" s="12"/>
      <c r="BC367" s="12"/>
      <c r="BD367" s="11">
        <v>1</v>
      </c>
      <c r="BE367" s="11">
        <v>0</v>
      </c>
    </row>
    <row x14ac:dyDescent="0.25" r="368" customHeight="1" ht="15.75">
      <c r="A368" s="11">
        <v>30244626</v>
      </c>
      <c r="B368" s="4" t="s">
        <v>1823</v>
      </c>
      <c r="C368" s="5" t="s">
        <v>1824</v>
      </c>
      <c r="D368" s="5" t="s">
        <v>1825</v>
      </c>
      <c r="E368" s="12"/>
      <c r="F368" s="13">
        <f>"1627794468"</f>
      </c>
      <c r="G368" s="13">
        <f>"9781627794466"</f>
      </c>
      <c r="H368" s="11">
        <v>0</v>
      </c>
      <c r="I368" s="14">
        <v>3.95</v>
      </c>
      <c r="J368" s="7" t="s">
        <v>1826</v>
      </c>
      <c r="K368" s="5" t="s">
        <v>72</v>
      </c>
      <c r="L368" s="11">
        <v>866</v>
      </c>
      <c r="M368" s="11">
        <v>2017</v>
      </c>
      <c r="N368" s="11">
        <v>2017</v>
      </c>
      <c r="O368" s="15"/>
      <c r="P368" s="8">
        <v>42943</v>
      </c>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4" t="s">
        <v>419</v>
      </c>
      <c r="AY368" s="5" t="s">
        <v>1827</v>
      </c>
      <c r="AZ368" s="5" t="s">
        <v>38</v>
      </c>
      <c r="BA368" s="12"/>
      <c r="BB368" s="12"/>
      <c r="BC368" s="12"/>
      <c r="BD368" s="11">
        <v>0</v>
      </c>
      <c r="BE368" s="11">
        <v>0</v>
      </c>
    </row>
    <row x14ac:dyDescent="0.25" r="369" customHeight="1" ht="15.75">
      <c r="A369" s="11">
        <v>30763882</v>
      </c>
      <c r="B369" s="4" t="s">
        <v>1828</v>
      </c>
      <c r="C369" s="5" t="s">
        <v>1829</v>
      </c>
      <c r="D369" s="5" t="s">
        <v>1830</v>
      </c>
      <c r="E369" s="5" t="s">
        <v>1831</v>
      </c>
      <c r="F369" s="13">
        <f>"0399184597"</f>
      </c>
      <c r="G369" s="13">
        <f>"9780399184598"</f>
      </c>
      <c r="H369" s="11">
        <v>0</v>
      </c>
      <c r="I369" s="14">
        <v>3.73</v>
      </c>
      <c r="J369" s="7" t="s">
        <v>418</v>
      </c>
      <c r="K369" s="5" t="s">
        <v>72</v>
      </c>
      <c r="L369" s="11">
        <v>183</v>
      </c>
      <c r="M369" s="11">
        <v>2017</v>
      </c>
      <c r="N369" s="11">
        <v>2014</v>
      </c>
      <c r="O369" s="15"/>
      <c r="P369" s="8">
        <v>43287</v>
      </c>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4" t="s">
        <v>419</v>
      </c>
      <c r="AY369" s="5" t="s">
        <v>1832</v>
      </c>
      <c r="AZ369" s="5" t="s">
        <v>38</v>
      </c>
      <c r="BA369" s="12"/>
      <c r="BB369" s="12"/>
      <c r="BC369" s="12"/>
      <c r="BD369" s="11">
        <v>0</v>
      </c>
      <c r="BE369" s="11">
        <v>0</v>
      </c>
    </row>
    <row x14ac:dyDescent="0.25" r="370" customHeight="1" ht="15.75">
      <c r="A370" s="11">
        <v>1101679</v>
      </c>
      <c r="B370" s="4" t="s">
        <v>1833</v>
      </c>
      <c r="C370" s="5" t="s">
        <v>1834</v>
      </c>
      <c r="D370" s="5" t="s">
        <v>1835</v>
      </c>
      <c r="E370" s="12"/>
      <c r="F370" s="13">
        <f>"0140241175"</f>
      </c>
      <c r="G370" s="13">
        <f>"9780140241174"</f>
      </c>
      <c r="H370" s="11">
        <v>0</v>
      </c>
      <c r="I370" s="14">
        <v>3.98</v>
      </c>
      <c r="J370" s="7" t="s">
        <v>1836</v>
      </c>
      <c r="K370" s="5" t="s">
        <v>60</v>
      </c>
      <c r="L370" s="11">
        <v>352</v>
      </c>
      <c r="M370" s="11">
        <v>1996</v>
      </c>
      <c r="N370" s="11">
        <v>1984</v>
      </c>
      <c r="O370" s="15"/>
      <c r="P370" s="9">
        <v>42721</v>
      </c>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4" t="s">
        <v>419</v>
      </c>
      <c r="AY370" s="5" t="s">
        <v>1837</v>
      </c>
      <c r="AZ370" s="5" t="s">
        <v>38</v>
      </c>
      <c r="BA370" s="12"/>
      <c r="BB370" s="12"/>
      <c r="BC370" s="12"/>
      <c r="BD370" s="11">
        <v>0</v>
      </c>
      <c r="BE370" s="11">
        <v>0</v>
      </c>
    </row>
    <row x14ac:dyDescent="0.25" r="371" customHeight="1" ht="15.75">
      <c r="A371" s="11">
        <v>1125111</v>
      </c>
      <c r="B371" s="4" t="s">
        <v>1838</v>
      </c>
      <c r="C371" s="5" t="s">
        <v>1839</v>
      </c>
      <c r="D371" s="5" t="s">
        <v>1840</v>
      </c>
      <c r="E371" s="12"/>
      <c r="F371" s="13">
        <f>"074750847X"</f>
      </c>
      <c r="G371" s="13">
        <f>"9780747508472"</f>
      </c>
      <c r="H371" s="11">
        <v>0</v>
      </c>
      <c r="I371" s="14">
        <v>3.76</v>
      </c>
      <c r="J371" s="7" t="s">
        <v>1841</v>
      </c>
      <c r="K371" s="5" t="s">
        <v>60</v>
      </c>
      <c r="L371" s="11">
        <v>128</v>
      </c>
      <c r="M371" s="11">
        <v>1991</v>
      </c>
      <c r="N371" s="11">
        <v>1985</v>
      </c>
      <c r="O371" s="15"/>
      <c r="P371" s="8">
        <v>43921</v>
      </c>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4" t="s">
        <v>419</v>
      </c>
      <c r="AY371" s="5" t="s">
        <v>1842</v>
      </c>
      <c r="AZ371" s="5" t="s">
        <v>38</v>
      </c>
      <c r="BA371" s="12"/>
      <c r="BB371" s="12"/>
      <c r="BC371" s="12"/>
      <c r="BD371" s="11">
        <v>0</v>
      </c>
      <c r="BE371" s="11">
        <v>0</v>
      </c>
    </row>
    <row x14ac:dyDescent="0.25" r="372" customHeight="1" ht="15.75">
      <c r="A372" s="11">
        <v>14287</v>
      </c>
      <c r="B372" s="4" t="s">
        <v>1843</v>
      </c>
      <c r="C372" s="5" t="s">
        <v>1844</v>
      </c>
      <c r="D372" s="5" t="s">
        <v>1845</v>
      </c>
      <c r="E372" s="5" t="s">
        <v>1846</v>
      </c>
      <c r="F372" s="13">
        <f>""</f>
      </c>
      <c r="G372" s="13">
        <f>"9784770029041"</f>
      </c>
      <c r="H372" s="11">
        <v>0</v>
      </c>
      <c r="I372" s="14">
        <v>3.29</v>
      </c>
      <c r="J372" s="7" t="s">
        <v>1847</v>
      </c>
      <c r="K372" s="5" t="s">
        <v>60</v>
      </c>
      <c r="L372" s="11">
        <v>126</v>
      </c>
      <c r="M372" s="11">
        <v>2003</v>
      </c>
      <c r="N372" s="11">
        <v>1976</v>
      </c>
      <c r="O372" s="15"/>
      <c r="P372" s="8">
        <v>42544</v>
      </c>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4" t="s">
        <v>419</v>
      </c>
      <c r="AY372" s="5" t="s">
        <v>1848</v>
      </c>
      <c r="AZ372" s="5" t="s">
        <v>38</v>
      </c>
      <c r="BA372" s="12"/>
      <c r="BB372" s="12"/>
      <c r="BC372" s="12"/>
      <c r="BD372" s="11">
        <v>0</v>
      </c>
      <c r="BE372" s="11">
        <v>0</v>
      </c>
    </row>
    <row x14ac:dyDescent="0.25" r="373" customHeight="1" ht="15.75">
      <c r="A373" s="11">
        <v>18698840</v>
      </c>
      <c r="B373" s="4" t="s">
        <v>1849</v>
      </c>
      <c r="C373" s="5" t="s">
        <v>1850</v>
      </c>
      <c r="D373" s="5" t="s">
        <v>1851</v>
      </c>
      <c r="E373" s="12"/>
      <c r="F373" s="13">
        <f>"0062280007"</f>
      </c>
      <c r="G373" s="13">
        <f>"9780062280008"</f>
      </c>
      <c r="H373" s="11">
        <v>0</v>
      </c>
      <c r="I373" s="14">
        <v>3.44</v>
      </c>
      <c r="J373" s="7" t="s">
        <v>225</v>
      </c>
      <c r="K373" s="5" t="s">
        <v>72</v>
      </c>
      <c r="L373" s="11">
        <v>384</v>
      </c>
      <c r="M373" s="11">
        <v>2014</v>
      </c>
      <c r="N373" s="11">
        <v>2014</v>
      </c>
      <c r="O373" s="15"/>
      <c r="P373" s="8">
        <v>42593</v>
      </c>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4" t="s">
        <v>419</v>
      </c>
      <c r="AY373" s="5" t="s">
        <v>1852</v>
      </c>
      <c r="AZ373" s="5" t="s">
        <v>38</v>
      </c>
      <c r="BA373" s="12"/>
      <c r="BB373" s="12"/>
      <c r="BC373" s="12"/>
      <c r="BD373" s="11">
        <v>0</v>
      </c>
      <c r="BE373" s="11">
        <v>0</v>
      </c>
    </row>
    <row x14ac:dyDescent="0.25" r="374" customHeight="1" ht="15.75">
      <c r="A374" s="11">
        <v>18938315</v>
      </c>
      <c r="B374" s="4" t="s">
        <v>1853</v>
      </c>
      <c r="C374" s="5" t="s">
        <v>1854</v>
      </c>
      <c r="D374" s="5" t="s">
        <v>1855</v>
      </c>
      <c r="E374" s="5" t="s">
        <v>1856</v>
      </c>
      <c r="F374" s="13">
        <f>"0773543090"</f>
      </c>
      <c r="G374" s="13">
        <f>"9780773543096"</f>
      </c>
      <c r="H374" s="11">
        <v>0</v>
      </c>
      <c r="I374" s="14">
        <v>4.34</v>
      </c>
      <c r="J374" s="7" t="s">
        <v>1857</v>
      </c>
      <c r="K374" s="5" t="s">
        <v>60</v>
      </c>
      <c r="L374" s="11">
        <v>739</v>
      </c>
      <c r="M374" s="11">
        <v>2014</v>
      </c>
      <c r="N374" s="11">
        <v>1948</v>
      </c>
      <c r="O374" s="15"/>
      <c r="P374" s="8">
        <v>42485</v>
      </c>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4" t="s">
        <v>61</v>
      </c>
      <c r="AY374" s="5" t="s">
        <v>1858</v>
      </c>
      <c r="AZ374" s="5" t="s">
        <v>38</v>
      </c>
      <c r="BA374" s="12"/>
      <c r="BB374" s="12"/>
      <c r="BC374" s="12"/>
      <c r="BD374" s="11">
        <v>0</v>
      </c>
      <c r="BE374" s="11">
        <v>0</v>
      </c>
    </row>
    <row x14ac:dyDescent="0.25" r="375" customHeight="1" ht="15.75">
      <c r="A375" s="11">
        <v>133456</v>
      </c>
      <c r="B375" s="4" t="s">
        <v>1859</v>
      </c>
      <c r="C375" s="5" t="s">
        <v>1860</v>
      </c>
      <c r="D375" s="5" t="s">
        <v>1861</v>
      </c>
      <c r="E375" s="12"/>
      <c r="F375" s="13">
        <f>"0312860390"</f>
      </c>
      <c r="G375" s="13">
        <f>"9780312860394"</f>
      </c>
      <c r="H375" s="11">
        <v>0</v>
      </c>
      <c r="I375" s="14">
        <v>3.71</v>
      </c>
      <c r="J375" s="7" t="s">
        <v>1862</v>
      </c>
      <c r="K375" s="5" t="s">
        <v>60</v>
      </c>
      <c r="L375" s="11">
        <v>224</v>
      </c>
      <c r="M375" s="11">
        <v>1996</v>
      </c>
      <c r="N375" s="11">
        <v>1987</v>
      </c>
      <c r="O375" s="15"/>
      <c r="P375" s="8">
        <v>42100</v>
      </c>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4" t="s">
        <v>419</v>
      </c>
      <c r="AY375" s="5" t="s">
        <v>1863</v>
      </c>
      <c r="AZ375" s="5" t="s">
        <v>38</v>
      </c>
      <c r="BA375" s="12"/>
      <c r="BB375" s="12"/>
      <c r="BC375" s="12"/>
      <c r="BD375" s="11">
        <v>0</v>
      </c>
      <c r="BE375" s="11">
        <v>0</v>
      </c>
    </row>
    <row x14ac:dyDescent="0.25" r="376" customHeight="1" ht="15.75">
      <c r="A376" s="11">
        <v>24826361</v>
      </c>
      <c r="B376" s="4" t="s">
        <v>1864</v>
      </c>
      <c r="C376" s="5" t="s">
        <v>1865</v>
      </c>
      <c r="D376" s="5" t="s">
        <v>1866</v>
      </c>
      <c r="E376" s="5" t="s">
        <v>1867</v>
      </c>
      <c r="F376" s="13">
        <f>"0811223639"</f>
      </c>
      <c r="G376" s="13">
        <f>"9780811223638"</f>
      </c>
      <c r="H376" s="11">
        <v>0</v>
      </c>
      <c r="I376" s="14">
        <v>4.06</v>
      </c>
      <c r="J376" s="7" t="s">
        <v>126</v>
      </c>
      <c r="K376" s="5" t="s">
        <v>60</v>
      </c>
      <c r="L376" s="11">
        <v>470</v>
      </c>
      <c r="M376" s="11">
        <v>2015</v>
      </c>
      <c r="N376" s="11">
        <v>2002</v>
      </c>
      <c r="O376" s="15"/>
      <c r="P376" s="8">
        <v>42345</v>
      </c>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4" t="s">
        <v>419</v>
      </c>
      <c r="AY376" s="5" t="s">
        <v>1868</v>
      </c>
      <c r="AZ376" s="5" t="s">
        <v>38</v>
      </c>
      <c r="BA376" s="12"/>
      <c r="BB376" s="12"/>
      <c r="BC376" s="12"/>
      <c r="BD376" s="11">
        <v>0</v>
      </c>
      <c r="BE376" s="11">
        <v>0</v>
      </c>
    </row>
    <row x14ac:dyDescent="0.25" r="377" customHeight="1" ht="15.75">
      <c r="A377" s="11">
        <v>7442</v>
      </c>
      <c r="B377" s="4" t="s">
        <v>1869</v>
      </c>
      <c r="C377" s="5" t="s">
        <v>1870</v>
      </c>
      <c r="D377" s="5" t="s">
        <v>1871</v>
      </c>
      <c r="E377" s="12"/>
      <c r="F377" s="13">
        <f>"0553380648"</f>
      </c>
      <c r="G377" s="13">
        <f>"9780553380644"</f>
      </c>
      <c r="H377" s="11">
        <v>0</v>
      </c>
      <c r="I377" s="14">
        <v>3.92</v>
      </c>
      <c r="J377" s="7" t="s">
        <v>1872</v>
      </c>
      <c r="K377" s="5" t="s">
        <v>60</v>
      </c>
      <c r="L377" s="11">
        <v>416</v>
      </c>
      <c r="M377" s="11">
        <v>1999</v>
      </c>
      <c r="N377" s="11">
        <v>1968</v>
      </c>
      <c r="O377" s="15"/>
      <c r="P377" s="8">
        <v>42128</v>
      </c>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4" t="s">
        <v>419</v>
      </c>
      <c r="AY377" s="5" t="s">
        <v>1873</v>
      </c>
      <c r="AZ377" s="5" t="s">
        <v>38</v>
      </c>
      <c r="BA377" s="12"/>
      <c r="BB377" s="12"/>
      <c r="BC377" s="12"/>
      <c r="BD377" s="11">
        <v>0</v>
      </c>
      <c r="BE377" s="11">
        <v>0</v>
      </c>
    </row>
    <row x14ac:dyDescent="0.25" r="378" customHeight="1" ht="15.75">
      <c r="A378" s="11">
        <v>24826356</v>
      </c>
      <c r="B378" s="4" t="s">
        <v>1874</v>
      </c>
      <c r="C378" s="5" t="s">
        <v>1875</v>
      </c>
      <c r="D378" s="5" t="s">
        <v>1876</v>
      </c>
      <c r="E378" s="5" t="s">
        <v>1877</v>
      </c>
      <c r="F378" s="13">
        <f>"0811221083"</f>
      </c>
      <c r="G378" s="13">
        <f>"9780811221085"</f>
      </c>
      <c r="H378" s="11">
        <v>0</v>
      </c>
      <c r="I378" s="14">
        <v>3.68</v>
      </c>
      <c r="J378" s="7" t="s">
        <v>126</v>
      </c>
      <c r="K378" s="5" t="s">
        <v>60</v>
      </c>
      <c r="L378" s="11">
        <v>96</v>
      </c>
      <c r="M378" s="11">
        <v>2015</v>
      </c>
      <c r="N378" s="11">
        <v>2006</v>
      </c>
      <c r="O378" s="15"/>
      <c r="P378" s="8">
        <v>42485</v>
      </c>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4" t="s">
        <v>419</v>
      </c>
      <c r="AY378" s="5" t="s">
        <v>1878</v>
      </c>
      <c r="AZ378" s="5" t="s">
        <v>38</v>
      </c>
      <c r="BA378" s="12"/>
      <c r="BB378" s="12"/>
      <c r="BC378" s="12"/>
      <c r="BD378" s="11">
        <v>0</v>
      </c>
      <c r="BE378" s="11">
        <v>0</v>
      </c>
    </row>
    <row x14ac:dyDescent="0.25" r="379" customHeight="1" ht="15.75">
      <c r="A379" s="11">
        <v>18453074</v>
      </c>
      <c r="B379" s="4" t="s">
        <v>1879</v>
      </c>
      <c r="C379" s="5" t="s">
        <v>1880</v>
      </c>
      <c r="D379" s="5" t="s">
        <v>1881</v>
      </c>
      <c r="E379" s="12"/>
      <c r="F379" s="13">
        <f>"0316033979"</f>
      </c>
      <c r="G379" s="13">
        <f>"9780316033978"</f>
      </c>
      <c r="H379" s="11">
        <v>0</v>
      </c>
      <c r="I379" s="14">
        <v>3.08</v>
      </c>
      <c r="J379" s="7" t="s">
        <v>411</v>
      </c>
      <c r="K379" s="5" t="s">
        <v>72</v>
      </c>
      <c r="L379" s="11">
        <v>352</v>
      </c>
      <c r="M379" s="11">
        <v>2014</v>
      </c>
      <c r="N379" s="11">
        <v>2014</v>
      </c>
      <c r="O379" s="15"/>
      <c r="P379" s="8">
        <v>41844</v>
      </c>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4" t="s">
        <v>419</v>
      </c>
      <c r="AY379" s="5" t="s">
        <v>1882</v>
      </c>
      <c r="AZ379" s="5" t="s">
        <v>38</v>
      </c>
      <c r="BA379" s="12"/>
      <c r="BB379" s="12"/>
      <c r="BC379" s="12"/>
      <c r="BD379" s="11">
        <v>0</v>
      </c>
      <c r="BE379" s="11">
        <v>0</v>
      </c>
    </row>
    <row x14ac:dyDescent="0.25" r="380" customHeight="1" ht="15.75">
      <c r="A380" s="11">
        <v>152808</v>
      </c>
      <c r="B380" s="4" t="s">
        <v>1883</v>
      </c>
      <c r="C380" s="5" t="s">
        <v>1875</v>
      </c>
      <c r="D380" s="5" t="s">
        <v>1876</v>
      </c>
      <c r="E380" s="5" t="s">
        <v>1884</v>
      </c>
      <c r="F380" s="13">
        <f>"0811216314"</f>
      </c>
      <c r="G380" s="13">
        <f>"9780811216319"</f>
      </c>
      <c r="H380" s="11">
        <v>0</v>
      </c>
      <c r="I380" s="14">
        <v>3.7</v>
      </c>
      <c r="J380" s="7" t="s">
        <v>126</v>
      </c>
      <c r="K380" s="5" t="s">
        <v>60</v>
      </c>
      <c r="L380" s="11">
        <v>117</v>
      </c>
      <c r="M380" s="11">
        <v>2007</v>
      </c>
      <c r="N380" s="11">
        <v>1993</v>
      </c>
      <c r="O380" s="15"/>
      <c r="P380" s="8">
        <v>41494</v>
      </c>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4" t="s">
        <v>419</v>
      </c>
      <c r="AY380" s="5" t="s">
        <v>1885</v>
      </c>
      <c r="AZ380" s="5" t="s">
        <v>38</v>
      </c>
      <c r="BA380" s="12"/>
      <c r="BB380" s="12"/>
      <c r="BC380" s="12"/>
      <c r="BD380" s="11">
        <v>0</v>
      </c>
      <c r="BE380" s="11">
        <v>0</v>
      </c>
    </row>
    <row x14ac:dyDescent="0.25" r="381" customHeight="1" ht="15.75">
      <c r="A381" s="11">
        <v>13544002</v>
      </c>
      <c r="B381" s="4" t="s">
        <v>1886</v>
      </c>
      <c r="C381" s="5" t="s">
        <v>1887</v>
      </c>
      <c r="D381" s="5" t="s">
        <v>1888</v>
      </c>
      <c r="E381" s="5" t="s">
        <v>682</v>
      </c>
      <c r="F381" s="13">
        <f>"0983477574"</f>
      </c>
      <c r="G381" s="13">
        <f>"9780983477570"</f>
      </c>
      <c r="H381" s="11">
        <v>0</v>
      </c>
      <c r="I381" s="14">
        <v>3.61</v>
      </c>
      <c r="J381" s="7" t="s">
        <v>1889</v>
      </c>
      <c r="K381" s="5" t="s">
        <v>60</v>
      </c>
      <c r="L381" s="11">
        <v>240</v>
      </c>
      <c r="M381" s="11">
        <v>2012</v>
      </c>
      <c r="N381" s="11">
        <v>2012</v>
      </c>
      <c r="O381" s="15"/>
      <c r="P381" s="8">
        <v>41704</v>
      </c>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4" t="s">
        <v>419</v>
      </c>
      <c r="AY381" s="5" t="s">
        <v>1890</v>
      </c>
      <c r="AZ381" s="5" t="s">
        <v>38</v>
      </c>
      <c r="BA381" s="12"/>
      <c r="BB381" s="12"/>
      <c r="BC381" s="12"/>
      <c r="BD381" s="11">
        <v>0</v>
      </c>
      <c r="BE381" s="11">
        <v>0</v>
      </c>
    </row>
    <row x14ac:dyDescent="0.25" r="382" customHeight="1" ht="15.75">
      <c r="A382" s="11">
        <v>31491</v>
      </c>
      <c r="B382" s="4" t="s">
        <v>1891</v>
      </c>
      <c r="C382" s="5" t="s">
        <v>948</v>
      </c>
      <c r="D382" s="5" t="s">
        <v>949</v>
      </c>
      <c r="E382" s="5" t="s">
        <v>1892</v>
      </c>
      <c r="F382" s="13">
        <f>"0451530306"</f>
      </c>
      <c r="G382" s="13">
        <f>"9780451530301"</f>
      </c>
      <c r="H382" s="11">
        <v>0</v>
      </c>
      <c r="I382" s="14">
        <v>3.7</v>
      </c>
      <c r="J382" s="7" t="s">
        <v>689</v>
      </c>
      <c r="K382" s="5" t="s">
        <v>60</v>
      </c>
      <c r="L382" s="11">
        <v>544</v>
      </c>
      <c r="M382" s="11">
        <v>2009</v>
      </c>
      <c r="N382" s="11">
        <v>1915</v>
      </c>
      <c r="O382" s="15"/>
      <c r="P382" s="8">
        <v>41529</v>
      </c>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4" t="s">
        <v>419</v>
      </c>
      <c r="AY382" s="5" t="s">
        <v>1893</v>
      </c>
      <c r="AZ382" s="5" t="s">
        <v>38</v>
      </c>
      <c r="BA382" s="12"/>
      <c r="BB382" s="12"/>
      <c r="BC382" s="12"/>
      <c r="BD382" s="11">
        <v>0</v>
      </c>
      <c r="BE382" s="11">
        <v>0</v>
      </c>
    </row>
    <row x14ac:dyDescent="0.25" r="383" customHeight="1" ht="15.75">
      <c r="A383" s="11">
        <v>3483</v>
      </c>
      <c r="B383" s="4" t="s">
        <v>1894</v>
      </c>
      <c r="C383" s="5" t="s">
        <v>1895</v>
      </c>
      <c r="D383" s="5" t="s">
        <v>1896</v>
      </c>
      <c r="E383" s="12"/>
      <c r="F383" s="13">
        <f>"067003777X"</f>
      </c>
      <c r="G383" s="13">
        <f>"9780670037773"</f>
      </c>
      <c r="H383" s="11">
        <v>0</v>
      </c>
      <c r="I383" s="14">
        <v>3.7</v>
      </c>
      <c r="J383" s="7" t="s">
        <v>150</v>
      </c>
      <c r="K383" s="5" t="s">
        <v>72</v>
      </c>
      <c r="L383" s="11">
        <v>514</v>
      </c>
      <c r="M383" s="11">
        <v>2006</v>
      </c>
      <c r="N383" s="11">
        <v>2006</v>
      </c>
      <c r="O383" s="15"/>
      <c r="P383" s="8">
        <v>41778</v>
      </c>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4" t="s">
        <v>419</v>
      </c>
      <c r="AY383" s="5" t="s">
        <v>1897</v>
      </c>
      <c r="AZ383" s="5" t="s">
        <v>38</v>
      </c>
      <c r="BA383" s="12"/>
      <c r="BB383" s="12"/>
      <c r="BC383" s="12"/>
      <c r="BD383" s="11">
        <v>0</v>
      </c>
      <c r="BE383" s="11">
        <v>0</v>
      </c>
    </row>
    <row x14ac:dyDescent="0.25" r="384" customHeight="1" ht="15.75">
      <c r="A384" s="11">
        <v>10862133</v>
      </c>
      <c r="B384" s="4" t="s">
        <v>1898</v>
      </c>
      <c r="C384" s="5" t="s">
        <v>1899</v>
      </c>
      <c r="D384" s="5" t="s">
        <v>1900</v>
      </c>
      <c r="E384" s="12"/>
      <c r="F384" s="13">
        <f>"014312028X"</f>
      </c>
      <c r="G384" s="13">
        <f>"9780143120285"</f>
      </c>
      <c r="H384" s="11">
        <v>1</v>
      </c>
      <c r="I384" s="14">
        <v>3.61</v>
      </c>
      <c r="J384" s="7" t="s">
        <v>491</v>
      </c>
      <c r="K384" s="5" t="s">
        <v>60</v>
      </c>
      <c r="L384" s="11">
        <v>304</v>
      </c>
      <c r="M384" s="11">
        <v>2012</v>
      </c>
      <c r="N384" s="11">
        <v>1957</v>
      </c>
      <c r="O384" s="8">
        <v>41611</v>
      </c>
      <c r="P384" s="9">
        <v>41601</v>
      </c>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4" t="s">
        <v>32</v>
      </c>
      <c r="AY384" s="5" t="s">
        <v>1901</v>
      </c>
      <c r="AZ384" s="5" t="s">
        <v>158</v>
      </c>
      <c r="BA384" s="5" t="s">
        <v>1902</v>
      </c>
      <c r="BB384" s="12"/>
      <c r="BC384" s="12"/>
      <c r="BD384" s="11">
        <v>1</v>
      </c>
      <c r="BE384" s="11">
        <v>0</v>
      </c>
    </row>
    <row x14ac:dyDescent="0.25" r="385" customHeight="1" ht="15.75">
      <c r="A385" s="11">
        <v>274566</v>
      </c>
      <c r="B385" s="4" t="s">
        <v>1903</v>
      </c>
      <c r="C385" s="5" t="s">
        <v>1904</v>
      </c>
      <c r="D385" s="5" t="s">
        <v>1905</v>
      </c>
      <c r="E385" s="5" t="s">
        <v>1906</v>
      </c>
      <c r="F385" s="13">
        <f>"1564783960"</f>
      </c>
      <c r="G385" s="13">
        <f>"9781564783967"</f>
      </c>
      <c r="H385" s="11">
        <v>0</v>
      </c>
      <c r="I385" s="14">
        <v>4.06</v>
      </c>
      <c r="J385" s="7" t="s">
        <v>59</v>
      </c>
      <c r="K385" s="5" t="s">
        <v>60</v>
      </c>
      <c r="L385" s="11">
        <v>328</v>
      </c>
      <c r="M385" s="11">
        <v>2016</v>
      </c>
      <c r="N385" s="11">
        <v>1989</v>
      </c>
      <c r="O385" s="15"/>
      <c r="P385" s="8">
        <v>41763</v>
      </c>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4" t="s">
        <v>419</v>
      </c>
      <c r="AY385" s="5" t="s">
        <v>1907</v>
      </c>
      <c r="AZ385" s="5" t="s">
        <v>38</v>
      </c>
      <c r="BA385" s="12"/>
      <c r="BB385" s="12"/>
      <c r="BC385" s="12"/>
      <c r="BD385" s="11">
        <v>0</v>
      </c>
      <c r="BE385" s="11">
        <v>0</v>
      </c>
    </row>
    <row x14ac:dyDescent="0.25" r="386" customHeight="1" ht="15.75">
      <c r="A386" s="11">
        <v>3067592</v>
      </c>
      <c r="B386" s="4" t="s">
        <v>1908</v>
      </c>
      <c r="C386" s="5" t="s">
        <v>1909</v>
      </c>
      <c r="D386" s="5" t="s">
        <v>1910</v>
      </c>
      <c r="E386" s="12"/>
      <c r="F386" s="13">
        <f>"0812976711"</f>
      </c>
      <c r="G386" s="13">
        <f>"9780812976717"</f>
      </c>
      <c r="H386" s="11">
        <v>0</v>
      </c>
      <c r="I386" s="14">
        <v>3.71</v>
      </c>
      <c r="J386" s="7" t="s">
        <v>1911</v>
      </c>
      <c r="K386" s="5" t="s">
        <v>60</v>
      </c>
      <c r="L386" s="11">
        <v>576</v>
      </c>
      <c r="M386" s="11">
        <v>2008</v>
      </c>
      <c r="N386" s="11">
        <v>1988</v>
      </c>
      <c r="O386" s="15"/>
      <c r="P386" s="8">
        <v>41365</v>
      </c>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4" t="s">
        <v>419</v>
      </c>
      <c r="AY386" s="5" t="s">
        <v>1912</v>
      </c>
      <c r="AZ386" s="5" t="s">
        <v>38</v>
      </c>
      <c r="BA386" s="12"/>
      <c r="BB386" s="12"/>
      <c r="BC386" s="12"/>
      <c r="BD386" s="11">
        <v>0</v>
      </c>
      <c r="BE386" s="11">
        <v>0</v>
      </c>
    </row>
    <row x14ac:dyDescent="0.25" r="387" customHeight="1" ht="15.75">
      <c r="A387" s="11">
        <v>12395</v>
      </c>
      <c r="B387" s="4" t="s">
        <v>1913</v>
      </c>
      <c r="C387" s="5" t="s">
        <v>1914</v>
      </c>
      <c r="D387" s="5" t="s">
        <v>1915</v>
      </c>
      <c r="E387" s="5" t="s">
        <v>1916</v>
      </c>
      <c r="F387" s="13">
        <f>"0811216543"</f>
      </c>
      <c r="G387" s="13">
        <f>"9780811216548"</f>
      </c>
      <c r="H387" s="11">
        <v>0</v>
      </c>
      <c r="I387" s="14">
        <v>4.2</v>
      </c>
      <c r="J387" s="7" t="s">
        <v>126</v>
      </c>
      <c r="K387" s="5" t="s">
        <v>60</v>
      </c>
      <c r="L387" s="11">
        <v>453</v>
      </c>
      <c r="M387" s="11">
        <v>2006</v>
      </c>
      <c r="N387" s="11">
        <v>1932</v>
      </c>
      <c r="O387" s="15"/>
      <c r="P387" s="8">
        <v>41306</v>
      </c>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4" t="s">
        <v>419</v>
      </c>
      <c r="AY387" s="5" t="s">
        <v>1917</v>
      </c>
      <c r="AZ387" s="5" t="s">
        <v>38</v>
      </c>
      <c r="BA387" s="12"/>
      <c r="BB387" s="12"/>
      <c r="BC387" s="12"/>
      <c r="BD387" s="11">
        <v>0</v>
      </c>
      <c r="BE387" s="11">
        <v>0</v>
      </c>
    </row>
    <row x14ac:dyDescent="0.25" r="388" customHeight="1" ht="15.75">
      <c r="A388" s="11">
        <v>250113</v>
      </c>
      <c r="B388" s="4" t="s">
        <v>1918</v>
      </c>
      <c r="C388" s="5" t="s">
        <v>1919</v>
      </c>
      <c r="D388" s="5" t="s">
        <v>1920</v>
      </c>
      <c r="E388" s="5" t="s">
        <v>1921</v>
      </c>
      <c r="F388" s="13">
        <f>"0810117096"</f>
      </c>
      <c r="G388" s="13">
        <f>"9780810117099"</f>
      </c>
      <c r="H388" s="11">
        <v>0</v>
      </c>
      <c r="I388" s="14">
        <v>3.82</v>
      </c>
      <c r="J388" s="7" t="s">
        <v>1922</v>
      </c>
      <c r="K388" s="5" t="s">
        <v>60</v>
      </c>
      <c r="L388" s="11">
        <v>204</v>
      </c>
      <c r="M388" s="11">
        <v>1998</v>
      </c>
      <c r="N388" s="11">
        <v>1934</v>
      </c>
      <c r="O388" s="15"/>
      <c r="P388" s="8">
        <v>41365</v>
      </c>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4" t="s">
        <v>419</v>
      </c>
      <c r="AY388" s="5" t="s">
        <v>1923</v>
      </c>
      <c r="AZ388" s="5" t="s">
        <v>38</v>
      </c>
      <c r="BA388" s="12"/>
      <c r="BB388" s="12"/>
      <c r="BC388" s="12"/>
      <c r="BD388" s="11">
        <v>0</v>
      </c>
      <c r="BE388" s="11">
        <v>0</v>
      </c>
    </row>
    <row x14ac:dyDescent="0.25" r="389" customHeight="1" ht="15.75">
      <c r="A389" s="11">
        <v>53925</v>
      </c>
      <c r="B389" s="4" t="s">
        <v>1924</v>
      </c>
      <c r="C389" s="5" t="s">
        <v>1925</v>
      </c>
      <c r="D389" s="5" t="s">
        <v>1926</v>
      </c>
      <c r="E389" s="12"/>
      <c r="F389" s="13">
        <f>"0571139612"</f>
      </c>
      <c r="G389" s="13">
        <f>"9780571139613"</f>
      </c>
      <c r="H389" s="11">
        <v>0</v>
      </c>
      <c r="I389" s="14">
        <v>4.24</v>
      </c>
      <c r="J389" s="7" t="s">
        <v>1927</v>
      </c>
      <c r="K389" s="5" t="s">
        <v>60</v>
      </c>
      <c r="L389" s="11">
        <v>568</v>
      </c>
      <c r="M389" s="11">
        <v>1986</v>
      </c>
      <c r="N389" s="11">
        <v>1981</v>
      </c>
      <c r="O389" s="15"/>
      <c r="P389" s="8">
        <v>41494</v>
      </c>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4" t="s">
        <v>419</v>
      </c>
      <c r="AY389" s="5" t="s">
        <v>1928</v>
      </c>
      <c r="AZ389" s="5" t="s">
        <v>38</v>
      </c>
      <c r="BA389" s="12"/>
      <c r="BB389" s="12"/>
      <c r="BC389" s="12"/>
      <c r="BD389" s="11">
        <v>0</v>
      </c>
      <c r="BE389" s="11">
        <v>0</v>
      </c>
    </row>
    <row x14ac:dyDescent="0.25" r="390" customHeight="1" ht="15.75">
      <c r="A390" s="11">
        <v>9717</v>
      </c>
      <c r="B390" s="4" t="s">
        <v>1929</v>
      </c>
      <c r="C390" s="5" t="s">
        <v>1930</v>
      </c>
      <c r="D390" s="5" t="s">
        <v>1931</v>
      </c>
      <c r="E390" s="5" t="s">
        <v>1932</v>
      </c>
      <c r="F390" s="13">
        <f>"0571224385"</f>
      </c>
      <c r="G390" s="13">
        <f>"9780571224388"</f>
      </c>
      <c r="H390" s="11">
        <v>0</v>
      </c>
      <c r="I390" s="14">
        <v>4.11</v>
      </c>
      <c r="J390" s="7" t="s">
        <v>505</v>
      </c>
      <c r="K390" s="5" t="s">
        <v>60</v>
      </c>
      <c r="L390" s="11">
        <v>314</v>
      </c>
      <c r="M390" s="11">
        <v>2009</v>
      </c>
      <c r="N390" s="11">
        <v>1984</v>
      </c>
      <c r="O390" s="15"/>
      <c r="P390" s="8">
        <v>41494</v>
      </c>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4" t="s">
        <v>419</v>
      </c>
      <c r="AY390" s="5" t="s">
        <v>1933</v>
      </c>
      <c r="AZ390" s="5" t="s">
        <v>38</v>
      </c>
      <c r="BA390" s="12"/>
      <c r="BB390" s="12"/>
      <c r="BC390" s="12"/>
      <c r="BD390" s="11">
        <v>0</v>
      </c>
      <c r="BE390" s="11">
        <v>0</v>
      </c>
    </row>
    <row x14ac:dyDescent="0.25" r="391" customHeight="1" ht="15.75">
      <c r="A391" s="11">
        <v>193585</v>
      </c>
      <c r="B391" s="4" t="s">
        <v>1934</v>
      </c>
      <c r="C391" s="5" t="s">
        <v>1935</v>
      </c>
      <c r="D391" s="5" t="s">
        <v>1936</v>
      </c>
      <c r="E391" s="12"/>
      <c r="F391" s="13">
        <f>"0810124270"</f>
      </c>
      <c r="G391" s="13">
        <f>"9780810124271"</f>
      </c>
      <c r="H391" s="11">
        <v>0</v>
      </c>
      <c r="I391" s="14">
        <v>4.33</v>
      </c>
      <c r="J391" s="7" t="s">
        <v>1922</v>
      </c>
      <c r="K391" s="5" t="s">
        <v>60</v>
      </c>
      <c r="L391" s="11">
        <v>464</v>
      </c>
      <c r="M391" s="11">
        <v>2007</v>
      </c>
      <c r="N391" s="11">
        <v>2005</v>
      </c>
      <c r="O391" s="15"/>
      <c r="P391" s="8">
        <v>41365</v>
      </c>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4" t="s">
        <v>419</v>
      </c>
      <c r="AY391" s="5" t="s">
        <v>1937</v>
      </c>
      <c r="AZ391" s="5" t="s">
        <v>38</v>
      </c>
      <c r="BA391" s="12"/>
      <c r="BB391" s="12"/>
      <c r="BC391" s="12"/>
      <c r="BD391" s="11">
        <v>0</v>
      </c>
      <c r="BE391" s="11">
        <v>0</v>
      </c>
    </row>
    <row x14ac:dyDescent="0.25" r="392" customHeight="1" ht="15.75">
      <c r="A392" s="11">
        <v>179780</v>
      </c>
      <c r="B392" s="4" t="s">
        <v>1938</v>
      </c>
      <c r="C392" s="5" t="s">
        <v>1939</v>
      </c>
      <c r="D392" s="5" t="s">
        <v>1940</v>
      </c>
      <c r="E392" s="12"/>
      <c r="F392" s="13">
        <f>""</f>
      </c>
      <c r="G392" s="13">
        <f>""</f>
      </c>
      <c r="H392" s="11">
        <v>0</v>
      </c>
      <c r="I392" s="14">
        <v>4.2</v>
      </c>
      <c r="J392" s="7" t="s">
        <v>1941</v>
      </c>
      <c r="K392" s="5" t="s">
        <v>346</v>
      </c>
      <c r="L392" s="11">
        <v>385</v>
      </c>
      <c r="M392" s="11">
        <v>1994</v>
      </c>
      <c r="N392" s="11">
        <v>1971</v>
      </c>
      <c r="O392" s="15"/>
      <c r="P392" s="8">
        <v>41035</v>
      </c>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4" t="s">
        <v>419</v>
      </c>
      <c r="AY392" s="5" t="s">
        <v>1942</v>
      </c>
      <c r="AZ392" s="5" t="s">
        <v>38</v>
      </c>
      <c r="BA392" s="12"/>
      <c r="BB392" s="12"/>
      <c r="BC392" s="12"/>
      <c r="BD392" s="11">
        <v>0</v>
      </c>
      <c r="BE392" s="11">
        <v>0</v>
      </c>
    </row>
    <row x14ac:dyDescent="0.25" r="393" customHeight="1" ht="15.75">
      <c r="A393" s="11">
        <v>4395</v>
      </c>
      <c r="B393" s="4" t="s">
        <v>1943</v>
      </c>
      <c r="C393" s="5" t="s">
        <v>1944</v>
      </c>
      <c r="D393" s="5" t="s">
        <v>1945</v>
      </c>
      <c r="E393" s="12"/>
      <c r="F393" s="13">
        <f>""</f>
      </c>
      <c r="G393" s="13">
        <f>""</f>
      </c>
      <c r="H393" s="11">
        <v>0</v>
      </c>
      <c r="I393" s="11">
        <v>4</v>
      </c>
      <c r="J393" s="7" t="s">
        <v>491</v>
      </c>
      <c r="K393" s="5" t="s">
        <v>60</v>
      </c>
      <c r="L393" s="11">
        <v>455</v>
      </c>
      <c r="M393" s="11">
        <v>2002</v>
      </c>
      <c r="N393" s="11">
        <v>1939</v>
      </c>
      <c r="O393" s="15"/>
      <c r="P393" s="8">
        <v>41049</v>
      </c>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4" t="s">
        <v>419</v>
      </c>
      <c r="AY393" s="5" t="s">
        <v>1946</v>
      </c>
      <c r="AZ393" s="5" t="s">
        <v>38</v>
      </c>
      <c r="BA393" s="12"/>
      <c r="BB393" s="12"/>
      <c r="BC393" s="12"/>
      <c r="BD393" s="11">
        <v>0</v>
      </c>
      <c r="BE393" s="11">
        <v>0</v>
      </c>
    </row>
    <row x14ac:dyDescent="0.25" r="394" customHeight="1" ht="15.75">
      <c r="A394" s="11">
        <v>293101</v>
      </c>
      <c r="B394" s="4" t="s">
        <v>1947</v>
      </c>
      <c r="C394" s="5" t="s">
        <v>1948</v>
      </c>
      <c r="D394" s="5" t="s">
        <v>1949</v>
      </c>
      <c r="E394" s="12"/>
      <c r="F394" s="13">
        <f>"0553116606"</f>
      </c>
      <c r="G394" s="13">
        <f>"9780553116601"</f>
      </c>
      <c r="H394" s="11">
        <v>0</v>
      </c>
      <c r="I394" s="14">
        <v>3.84</v>
      </c>
      <c r="J394" s="7" t="s">
        <v>1950</v>
      </c>
      <c r="K394" s="5" t="s">
        <v>346</v>
      </c>
      <c r="L394" s="11">
        <v>315</v>
      </c>
      <c r="M394" s="11">
        <v>1978</v>
      </c>
      <c r="N394" s="11">
        <v>1977</v>
      </c>
      <c r="O394" s="15"/>
      <c r="P394" s="8">
        <v>41035</v>
      </c>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4" t="s">
        <v>419</v>
      </c>
      <c r="AY394" s="5" t="s">
        <v>1951</v>
      </c>
      <c r="AZ394" s="5" t="s">
        <v>38</v>
      </c>
      <c r="BA394" s="12"/>
      <c r="BB394" s="12"/>
      <c r="BC394" s="12"/>
      <c r="BD394" s="11">
        <v>0</v>
      </c>
      <c r="BE394" s="11">
        <v>0</v>
      </c>
    </row>
    <row x14ac:dyDescent="0.25" r="395" customHeight="1" ht="15.75">
      <c r="A395" s="11">
        <v>6288</v>
      </c>
      <c r="B395" s="4" t="s">
        <v>1952</v>
      </c>
      <c r="C395" s="5" t="s">
        <v>1953</v>
      </c>
      <c r="D395" s="5" t="s">
        <v>1954</v>
      </c>
      <c r="E395" s="12"/>
      <c r="F395" s="13">
        <f>"0307265439"</f>
      </c>
      <c r="G395" s="13">
        <f>"9780307265432"</f>
      </c>
      <c r="H395" s="11">
        <v>0</v>
      </c>
      <c r="I395" s="14">
        <v>3.98</v>
      </c>
      <c r="J395" s="7" t="s">
        <v>1765</v>
      </c>
      <c r="K395" s="5" t="s">
        <v>72</v>
      </c>
      <c r="L395" s="11">
        <v>241</v>
      </c>
      <c r="M395" s="11">
        <v>2006</v>
      </c>
      <c r="N395" s="11">
        <v>2006</v>
      </c>
      <c r="O395" s="15"/>
      <c r="P395" s="8">
        <v>41035</v>
      </c>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4" t="s">
        <v>419</v>
      </c>
      <c r="AY395" s="5" t="s">
        <v>1955</v>
      </c>
      <c r="AZ395" s="5" t="s">
        <v>38</v>
      </c>
      <c r="BA395" s="12"/>
      <c r="BB395" s="12"/>
      <c r="BC395" s="12"/>
      <c r="BD395" s="11">
        <v>0</v>
      </c>
      <c r="BE395" s="11">
        <v>0</v>
      </c>
    </row>
    <row x14ac:dyDescent="0.25" r="396" customHeight="1" ht="15.75">
      <c r="A396" s="11">
        <v>63038</v>
      </c>
      <c r="B396" s="4" t="s">
        <v>1956</v>
      </c>
      <c r="C396" s="5" t="s">
        <v>1957</v>
      </c>
      <c r="D396" s="5" t="s">
        <v>1958</v>
      </c>
      <c r="E396" s="12"/>
      <c r="F396" s="13">
        <f>"1934169005"</f>
      </c>
      <c r="G396" s="13">
        <f>"9781934169001"</f>
      </c>
      <c r="H396" s="11">
        <v>0</v>
      </c>
      <c r="I396" s="14">
        <v>4.24</v>
      </c>
      <c r="J396" s="7" t="s">
        <v>1959</v>
      </c>
      <c r="K396" s="5" t="s">
        <v>60</v>
      </c>
      <c r="L396" s="11">
        <v>672</v>
      </c>
      <c r="M396" s="11">
        <v>2006</v>
      </c>
      <c r="N396" s="11">
        <v>1869</v>
      </c>
      <c r="O396" s="15"/>
      <c r="P396" s="8">
        <v>41043</v>
      </c>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4" t="s">
        <v>419</v>
      </c>
      <c r="AY396" s="5" t="s">
        <v>1960</v>
      </c>
      <c r="AZ396" s="5" t="s">
        <v>38</v>
      </c>
      <c r="BA396" s="12"/>
      <c r="BB396" s="12"/>
      <c r="BC396" s="12"/>
      <c r="BD396" s="11">
        <v>0</v>
      </c>
      <c r="BE396" s="11">
        <v>0</v>
      </c>
    </row>
    <row x14ac:dyDescent="0.25" r="397" customHeight="1" ht="15.75">
      <c r="A397" s="11">
        <v>890</v>
      </c>
      <c r="B397" s="4" t="s">
        <v>1961</v>
      </c>
      <c r="C397" s="5" t="s">
        <v>1944</v>
      </c>
      <c r="D397" s="5" t="s">
        <v>1945</v>
      </c>
      <c r="E397" s="12"/>
      <c r="F397" s="13">
        <f>"0142000671"</f>
      </c>
      <c r="G397" s="13">
        <f>"9780142000670"</f>
      </c>
      <c r="H397" s="11">
        <v>0</v>
      </c>
      <c r="I397" s="14">
        <v>3.88</v>
      </c>
      <c r="J397" s="7" t="s">
        <v>491</v>
      </c>
      <c r="K397" s="5" t="s">
        <v>60</v>
      </c>
      <c r="L397" s="11">
        <v>107</v>
      </c>
      <c r="M397" s="11">
        <v>2002</v>
      </c>
      <c r="N397" s="11">
        <v>1937</v>
      </c>
      <c r="O397" s="8">
        <v>41066</v>
      </c>
      <c r="P397" s="8">
        <v>41064</v>
      </c>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4" t="s">
        <v>32</v>
      </c>
      <c r="AY397" s="5" t="s">
        <v>1962</v>
      </c>
      <c r="AZ397" s="5" t="s">
        <v>158</v>
      </c>
      <c r="BA397" s="12"/>
      <c r="BB397" s="12"/>
      <c r="BC397" s="12"/>
      <c r="BD397" s="11">
        <v>1</v>
      </c>
      <c r="BE397" s="11">
        <v>0</v>
      </c>
    </row>
    <row x14ac:dyDescent="0.25" r="398" customHeight="1" ht="15.75">
      <c r="A398" s="11">
        <v>228296</v>
      </c>
      <c r="B398" s="4" t="s">
        <v>1963</v>
      </c>
      <c r="C398" s="5" t="s">
        <v>1964</v>
      </c>
      <c r="D398" s="5" t="s">
        <v>1965</v>
      </c>
      <c r="E398" s="12"/>
      <c r="F398" s="13">
        <f>"0451194004"</f>
      </c>
      <c r="G398" s="13">
        <f>"9780451194008"</f>
      </c>
      <c r="H398" s="11">
        <v>5</v>
      </c>
      <c r="I398" s="14">
        <v>4.03</v>
      </c>
      <c r="J398" s="7" t="s">
        <v>689</v>
      </c>
      <c r="K398" s="5" t="s">
        <v>72</v>
      </c>
      <c r="L398" s="11">
        <v>308</v>
      </c>
      <c r="M398" s="11">
        <v>1997</v>
      </c>
      <c r="N398" s="11">
        <v>1967</v>
      </c>
      <c r="O398" s="9">
        <v>41241</v>
      </c>
      <c r="P398" s="8">
        <v>41035</v>
      </c>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4" t="s">
        <v>419</v>
      </c>
      <c r="AY398" s="5" t="s">
        <v>1966</v>
      </c>
      <c r="AZ398" s="5" t="s">
        <v>38</v>
      </c>
      <c r="BA398" s="12"/>
      <c r="BB398" s="12"/>
      <c r="BC398" s="12"/>
      <c r="BD398" s="11">
        <v>1</v>
      </c>
      <c r="BE398" s="11">
        <v>0</v>
      </c>
    </row>
    <row x14ac:dyDescent="0.25" r="399" customHeight="1" ht="15.75">
      <c r="A399" s="11">
        <v>46945</v>
      </c>
      <c r="B399" s="4" t="s">
        <v>1967</v>
      </c>
      <c r="C399" s="5" t="s">
        <v>1968</v>
      </c>
      <c r="D399" s="5" t="s">
        <v>1969</v>
      </c>
      <c r="E399" s="5" t="s">
        <v>1970</v>
      </c>
      <c r="F399" s="13">
        <f>"1560252480"</f>
      </c>
      <c r="G399" s="13">
        <f>"9781560252481"</f>
      </c>
      <c r="H399" s="11">
        <v>0</v>
      </c>
      <c r="I399" s="14">
        <v>4.1</v>
      </c>
      <c r="J399" s="7" t="s">
        <v>335</v>
      </c>
      <c r="K399" s="5" t="s">
        <v>60</v>
      </c>
      <c r="L399" s="11">
        <v>279</v>
      </c>
      <c r="M399" s="11">
        <v>1999</v>
      </c>
      <c r="N399" s="11">
        <v>1978</v>
      </c>
      <c r="O399" s="8">
        <v>41057</v>
      </c>
      <c r="P399" s="8">
        <v>41035</v>
      </c>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4" t="s">
        <v>32</v>
      </c>
      <c r="AY399" s="5" t="s">
        <v>1971</v>
      </c>
      <c r="AZ399" s="5" t="s">
        <v>158</v>
      </c>
      <c r="BA399" s="12"/>
      <c r="BB399" s="12"/>
      <c r="BC399" s="12"/>
      <c r="BD399" s="11">
        <v>1</v>
      </c>
      <c r="BE399" s="11">
        <v>0</v>
      </c>
    </row>
    <row x14ac:dyDescent="0.25" r="400" customHeight="1" ht="15.75">
      <c r="A400" s="11">
        <v>5107</v>
      </c>
      <c r="B400" s="4" t="s">
        <v>1972</v>
      </c>
      <c r="C400" s="5" t="s">
        <v>1973</v>
      </c>
      <c r="D400" s="5" t="s">
        <v>1974</v>
      </c>
      <c r="E400" s="12"/>
      <c r="F400" s="13">
        <f>"0316769177"</f>
      </c>
      <c r="G400" s="13">
        <f>"9780316769174"</f>
      </c>
      <c r="H400" s="11">
        <v>0</v>
      </c>
      <c r="I400" s="14">
        <v>3.8</v>
      </c>
      <c r="J400" s="7" t="s">
        <v>1746</v>
      </c>
      <c r="K400" s="5" t="s">
        <v>60</v>
      </c>
      <c r="L400" s="11">
        <v>234</v>
      </c>
      <c r="M400" s="11">
        <v>2001</v>
      </c>
      <c r="N400" s="11">
        <v>1951</v>
      </c>
      <c r="O400" s="8">
        <v>41047</v>
      </c>
      <c r="P400" s="8">
        <v>41018</v>
      </c>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4" t="s">
        <v>32</v>
      </c>
      <c r="AY400" s="5" t="s">
        <v>1975</v>
      </c>
      <c r="AZ400" s="5" t="s">
        <v>158</v>
      </c>
      <c r="BA400" s="12"/>
      <c r="BB400" s="12"/>
      <c r="BC400" s="12"/>
      <c r="BD400" s="11">
        <v>1</v>
      </c>
      <c r="BE400" s="11">
        <v>0</v>
      </c>
    </row>
    <row x14ac:dyDescent="0.25" r="401" customHeight="1" ht="15.75">
      <c r="A401" s="11">
        <v>68783</v>
      </c>
      <c r="B401" s="4" t="s">
        <v>1976</v>
      </c>
      <c r="C401" s="5" t="s">
        <v>1977</v>
      </c>
      <c r="D401" s="5" t="s">
        <v>1978</v>
      </c>
      <c r="E401" s="12"/>
      <c r="F401" s="13">
        <f>"0679746048"</f>
      </c>
      <c r="G401" s="13">
        <f>"9780679746041"</f>
      </c>
      <c r="H401" s="11">
        <v>0</v>
      </c>
      <c r="I401" s="14">
        <v>3.93</v>
      </c>
      <c r="J401" s="7" t="s">
        <v>114</v>
      </c>
      <c r="K401" s="5" t="s">
        <v>60</v>
      </c>
      <c r="L401" s="11">
        <v>169</v>
      </c>
      <c r="M401" s="11">
        <v>1994</v>
      </c>
      <c r="N401" s="11">
        <v>1993</v>
      </c>
      <c r="O401" s="15"/>
      <c r="P401" s="8">
        <v>40915</v>
      </c>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4" t="s">
        <v>419</v>
      </c>
      <c r="AY401" s="5" t="s">
        <v>1979</v>
      </c>
      <c r="AZ401" s="5" t="s">
        <v>38</v>
      </c>
      <c r="BA401" s="12"/>
      <c r="BB401" s="12"/>
      <c r="BC401" s="12"/>
      <c r="BD401" s="11">
        <v>0</v>
      </c>
      <c r="BE401" s="11">
        <v>0</v>
      </c>
    </row>
    <row x14ac:dyDescent="0.25" r="402" customHeight="1" ht="15.75">
      <c r="A402" s="11">
        <v>383022</v>
      </c>
      <c r="B402" s="4" t="s">
        <v>1980</v>
      </c>
      <c r="C402" s="5" t="s">
        <v>1981</v>
      </c>
      <c r="D402" s="5" t="s">
        <v>1982</v>
      </c>
      <c r="E402" s="5" t="s">
        <v>1983</v>
      </c>
      <c r="F402" s="13">
        <f>"1583220089"</f>
      </c>
      <c r="G402" s="13">
        <f>"9781583220085"</f>
      </c>
      <c r="H402" s="11">
        <v>0</v>
      </c>
      <c r="I402" s="14">
        <v>3.88</v>
      </c>
      <c r="J402" s="7" t="s">
        <v>1984</v>
      </c>
      <c r="K402" s="5" t="s">
        <v>60</v>
      </c>
      <c r="L402" s="11">
        <v>464</v>
      </c>
      <c r="M402" s="11">
        <v>1999</v>
      </c>
      <c r="N402" s="11">
        <v>1949</v>
      </c>
      <c r="O402" s="15"/>
      <c r="P402" s="8">
        <v>41035</v>
      </c>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4" t="s">
        <v>419</v>
      </c>
      <c r="AY402" s="5" t="s">
        <v>1985</v>
      </c>
      <c r="AZ402" s="5" t="s">
        <v>38</v>
      </c>
      <c r="BA402" s="12"/>
      <c r="BB402" s="12"/>
      <c r="BC402" s="12"/>
      <c r="BD402" s="11">
        <v>0</v>
      </c>
      <c r="BE402" s="11">
        <v>0</v>
      </c>
    </row>
    <row x14ac:dyDescent="0.25" r="403" customHeight="1" ht="17.25">
      <c r="A403" s="11">
        <v>1027539</v>
      </c>
      <c r="B403" s="4" t="s">
        <v>1986</v>
      </c>
      <c r="C403" s="5" t="s">
        <v>1987</v>
      </c>
      <c r="D403" s="5" t="s">
        <v>1988</v>
      </c>
      <c r="E403" s="12"/>
      <c r="F403" s="13">
        <f>"0738202789"</f>
      </c>
      <c r="G403" s="13">
        <f>"9780738202785"</f>
      </c>
      <c r="H403" s="11">
        <v>0</v>
      </c>
      <c r="I403" s="14">
        <v>4.25</v>
      </c>
      <c r="J403" s="7" t="s">
        <v>77</v>
      </c>
      <c r="K403" s="5" t="s">
        <v>72</v>
      </c>
      <c r="L403" s="11">
        <v>320</v>
      </c>
      <c r="M403" s="11">
        <v>2002</v>
      </c>
      <c r="N403" s="11">
        <v>2002</v>
      </c>
      <c r="O403" s="15"/>
      <c r="P403" s="8">
        <v>45176</v>
      </c>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4" t="s">
        <v>1989</v>
      </c>
      <c r="AY403" s="5" t="s">
        <v>1990</v>
      </c>
      <c r="AZ403" s="5" t="s">
        <v>38</v>
      </c>
      <c r="BA403" s="12"/>
      <c r="BB403" s="12"/>
      <c r="BC403" s="12"/>
      <c r="BD403" s="11">
        <v>0</v>
      </c>
      <c r="BE403" s="11">
        <v>0</v>
      </c>
    </row>
    <row x14ac:dyDescent="0.25" r="404" customHeight="1" ht="17.25">
      <c r="A404" s="11">
        <v>12609</v>
      </c>
      <c r="B404" s="4" t="s">
        <v>1991</v>
      </c>
      <c r="C404" s="5" t="s">
        <v>1992</v>
      </c>
      <c r="D404" s="5" t="s">
        <v>1993</v>
      </c>
      <c r="E404" s="12"/>
      <c r="F404" s="13">
        <f>"0374525641"</f>
      </c>
      <c r="G404" s="13">
        <f>"9780374525644"</f>
      </c>
      <c r="H404" s="11">
        <v>0</v>
      </c>
      <c r="I404" s="14">
        <v>4.19</v>
      </c>
      <c r="J404" s="7" t="s">
        <v>1994</v>
      </c>
      <c r="K404" s="5" t="s">
        <v>60</v>
      </c>
      <c r="L404" s="11">
        <v>341</v>
      </c>
      <c r="M404" s="11">
        <v>2007</v>
      </c>
      <c r="N404" s="11">
        <v>1997</v>
      </c>
      <c r="O404" s="15"/>
      <c r="P404" s="8">
        <v>45177</v>
      </c>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4" t="s">
        <v>1995</v>
      </c>
      <c r="AY404" s="5" t="s">
        <v>1996</v>
      </c>
      <c r="AZ404" s="5" t="s">
        <v>38</v>
      </c>
      <c r="BA404" s="12"/>
      <c r="BB404" s="12"/>
      <c r="BC404" s="12"/>
      <c r="BD404" s="11">
        <v>0</v>
      </c>
      <c r="BE404" s="11">
        <v>0</v>
      </c>
    </row>
    <row x14ac:dyDescent="0.25" r="405" customHeight="1" ht="17.25">
      <c r="A405" s="11">
        <v>59012057</v>
      </c>
      <c r="B405" s="4" t="s">
        <v>1997</v>
      </c>
      <c r="C405" s="5" t="s">
        <v>1998</v>
      </c>
      <c r="D405" s="5" t="s">
        <v>1999</v>
      </c>
      <c r="E405" s="5" t="s">
        <v>2000</v>
      </c>
      <c r="F405" s="13">
        <f>"1839763272"</f>
      </c>
      <c r="G405" s="13">
        <f>"9781839763274"</f>
      </c>
      <c r="H405" s="11">
        <v>0</v>
      </c>
      <c r="I405" s="14">
        <v>3.57</v>
      </c>
      <c r="J405" s="7" t="s">
        <v>2001</v>
      </c>
      <c r="K405" s="5" t="s">
        <v>72</v>
      </c>
      <c r="L405" s="11">
        <v>368</v>
      </c>
      <c r="M405" s="11">
        <v>2022</v>
      </c>
      <c r="N405" s="11">
        <v>2022</v>
      </c>
      <c r="O405" s="15"/>
      <c r="P405" s="8">
        <v>45163</v>
      </c>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4" t="s">
        <v>1995</v>
      </c>
      <c r="AY405" s="5" t="s">
        <v>2002</v>
      </c>
      <c r="AZ405" s="5" t="s">
        <v>38</v>
      </c>
      <c r="BA405" s="12"/>
      <c r="BB405" s="12"/>
      <c r="BC405" s="12"/>
      <c r="BD405" s="11">
        <v>0</v>
      </c>
      <c r="BE405" s="11">
        <v>0</v>
      </c>
    </row>
    <row x14ac:dyDescent="0.25" r="406" customHeight="1" ht="17.25">
      <c r="A406" s="11">
        <v>10302</v>
      </c>
      <c r="B406" s="4" t="s">
        <v>2003</v>
      </c>
      <c r="C406" s="5" t="s">
        <v>2004</v>
      </c>
      <c r="D406" s="5" t="s">
        <v>2005</v>
      </c>
      <c r="E406" s="12"/>
      <c r="F406" s="13">
        <f>"0345308239"</f>
      </c>
      <c r="G406" s="13">
        <f>"9780345308238"</f>
      </c>
      <c r="H406" s="11">
        <v>0</v>
      </c>
      <c r="I406" s="14">
        <v>4.02</v>
      </c>
      <c r="J406" s="7" t="s">
        <v>1018</v>
      </c>
      <c r="K406" s="5" t="s">
        <v>60</v>
      </c>
      <c r="L406" s="11">
        <v>447</v>
      </c>
      <c r="M406" s="11">
        <v>1993</v>
      </c>
      <c r="N406" s="11">
        <v>1984</v>
      </c>
      <c r="O406" s="15"/>
      <c r="P406" s="8">
        <v>45163</v>
      </c>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4" t="s">
        <v>1995</v>
      </c>
      <c r="AY406" s="5" t="s">
        <v>2006</v>
      </c>
      <c r="AZ406" s="5" t="s">
        <v>38</v>
      </c>
      <c r="BA406" s="12"/>
      <c r="BB406" s="12"/>
      <c r="BC406" s="12"/>
      <c r="BD406" s="11">
        <v>0</v>
      </c>
      <c r="BE406" s="11">
        <v>0</v>
      </c>
    </row>
    <row x14ac:dyDescent="0.25" r="407" customHeight="1" ht="17.25">
      <c r="A407" s="11">
        <v>13932</v>
      </c>
      <c r="B407" s="4" t="s">
        <v>2007</v>
      </c>
      <c r="C407" s="5" t="s">
        <v>143</v>
      </c>
      <c r="D407" s="5" t="s">
        <v>2008</v>
      </c>
      <c r="E407" s="12"/>
      <c r="F407" s="13">
        <f>"0684854678"</f>
      </c>
      <c r="G407" s="13">
        <f>"9780684854670"</f>
      </c>
      <c r="H407" s="11">
        <v>0</v>
      </c>
      <c r="I407" s="14">
        <v>4.2</v>
      </c>
      <c r="J407" s="7" t="s">
        <v>132</v>
      </c>
      <c r="K407" s="5" t="s">
        <v>60</v>
      </c>
      <c r="L407" s="11">
        <v>578</v>
      </c>
      <c r="M407" s="11">
        <v>2002</v>
      </c>
      <c r="N407" s="11">
        <v>2000</v>
      </c>
      <c r="O407" s="15"/>
      <c r="P407" s="8">
        <v>45126</v>
      </c>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4" t="s">
        <v>2009</v>
      </c>
      <c r="AY407" s="5" t="s">
        <v>2010</v>
      </c>
      <c r="AZ407" s="5" t="s">
        <v>24</v>
      </c>
      <c r="BA407" s="12"/>
      <c r="BB407" s="12"/>
      <c r="BC407" s="12"/>
      <c r="BD407" s="11">
        <v>1</v>
      </c>
      <c r="BE407" s="11">
        <v>0</v>
      </c>
    </row>
    <row x14ac:dyDescent="0.25" r="408" customHeight="1" ht="17.25">
      <c r="A408" s="11">
        <v>25069299</v>
      </c>
      <c r="B408" s="4" t="s">
        <v>2011</v>
      </c>
      <c r="C408" s="5" t="s">
        <v>2012</v>
      </c>
      <c r="D408" s="5" t="s">
        <v>2013</v>
      </c>
      <c r="E408" s="12"/>
      <c r="F408" s="13">
        <f>"9502305841"</f>
      </c>
      <c r="G408" s="13">
        <f>"9789502305844"</f>
      </c>
      <c r="H408" s="11">
        <v>0</v>
      </c>
      <c r="I408" s="14">
        <v>4.67</v>
      </c>
      <c r="J408" s="7" t="s">
        <v>2014</v>
      </c>
      <c r="K408" s="5" t="s">
        <v>60</v>
      </c>
      <c r="L408" s="11">
        <v>496</v>
      </c>
      <c r="M408" s="11">
        <v>1996</v>
      </c>
      <c r="N408" s="11">
        <v>1984</v>
      </c>
      <c r="O408" s="15"/>
      <c r="P408" s="8">
        <v>45155</v>
      </c>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4" t="s">
        <v>2015</v>
      </c>
      <c r="AY408" s="5" t="s">
        <v>2016</v>
      </c>
      <c r="AZ408" s="5" t="s">
        <v>38</v>
      </c>
      <c r="BA408" s="12"/>
      <c r="BB408" s="12"/>
      <c r="BC408" s="5" t="s">
        <v>2017</v>
      </c>
      <c r="BD408" s="11">
        <v>0</v>
      </c>
      <c r="BE408" s="11">
        <v>1</v>
      </c>
    </row>
    <row x14ac:dyDescent="0.25" r="409" customHeight="1" ht="17.25">
      <c r="A409" s="11">
        <v>6314671</v>
      </c>
      <c r="B409" s="4" t="s">
        <v>2018</v>
      </c>
      <c r="C409" s="5" t="s">
        <v>2019</v>
      </c>
      <c r="D409" s="5" t="s">
        <v>2020</v>
      </c>
      <c r="E409" s="12"/>
      <c r="F409" s="13">
        <f>"0307275175"</f>
      </c>
      <c r="G409" s="13">
        <f>"9780307275172"</f>
      </c>
      <c r="H409" s="11">
        <v>0</v>
      </c>
      <c r="I409" s="14">
        <v>3.94</v>
      </c>
      <c r="J409" s="7" t="s">
        <v>114</v>
      </c>
      <c r="K409" s="5" t="s">
        <v>60</v>
      </c>
      <c r="L409" s="11">
        <v>238</v>
      </c>
      <c r="M409" s="11">
        <v>2009</v>
      </c>
      <c r="N409" s="11">
        <v>2008</v>
      </c>
      <c r="O409" s="15"/>
      <c r="P409" s="8">
        <v>45129</v>
      </c>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4" t="s">
        <v>2015</v>
      </c>
      <c r="AY409" s="5" t="s">
        <v>2021</v>
      </c>
      <c r="AZ409" s="5" t="s">
        <v>38</v>
      </c>
      <c r="BA409" s="12"/>
      <c r="BB409" s="12"/>
      <c r="BC409" s="12"/>
      <c r="BD409" s="11">
        <v>0</v>
      </c>
      <c r="BE409" s="11">
        <v>1</v>
      </c>
    </row>
    <row x14ac:dyDescent="0.25" r="410" customHeight="1" ht="17.25">
      <c r="A410" s="11">
        <v>57693329</v>
      </c>
      <c r="B410" s="4" t="s">
        <v>2022</v>
      </c>
      <c r="C410" s="5" t="s">
        <v>2023</v>
      </c>
      <c r="D410" s="5" t="s">
        <v>2024</v>
      </c>
      <c r="E410" s="12"/>
      <c r="F410" s="13">
        <f>"1250278511"</f>
      </c>
      <c r="G410" s="13">
        <f>"9781250278517"</f>
      </c>
      <c r="H410" s="11">
        <v>0</v>
      </c>
      <c r="I410" s="14">
        <v>4.18</v>
      </c>
      <c r="J410" s="7" t="s">
        <v>2025</v>
      </c>
      <c r="K410" s="5" t="s">
        <v>72</v>
      </c>
      <c r="L410" s="11">
        <v>320</v>
      </c>
      <c r="M410" s="11">
        <v>2022</v>
      </c>
      <c r="N410" s="11">
        <v>2022</v>
      </c>
      <c r="O410" s="15"/>
      <c r="P410" s="8">
        <v>45143</v>
      </c>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4" t="s">
        <v>1995</v>
      </c>
      <c r="AY410" s="5" t="s">
        <v>2026</v>
      </c>
      <c r="AZ410" s="5" t="s">
        <v>38</v>
      </c>
      <c r="BA410" s="12"/>
      <c r="BB410" s="12"/>
      <c r="BC410" s="12"/>
      <c r="BD410" s="11">
        <v>0</v>
      </c>
      <c r="BE410" s="11">
        <v>0</v>
      </c>
    </row>
    <row x14ac:dyDescent="0.25" r="411" customHeight="1" ht="17.25">
      <c r="A411" s="11">
        <v>52458</v>
      </c>
      <c r="B411" s="4" t="s">
        <v>2027</v>
      </c>
      <c r="C411" s="5" t="s">
        <v>2028</v>
      </c>
      <c r="D411" s="5" t="s">
        <v>2029</v>
      </c>
      <c r="E411" s="5" t="s">
        <v>2030</v>
      </c>
      <c r="F411" s="13">
        <f>"039529696X"</f>
      </c>
      <c r="G411" s="13">
        <f>"9780395296967"</f>
      </c>
      <c r="H411" s="11">
        <v>0</v>
      </c>
      <c r="I411" s="11">
        <v>4</v>
      </c>
      <c r="J411" s="7" t="s">
        <v>2031</v>
      </c>
      <c r="K411" s="5" t="s">
        <v>60</v>
      </c>
      <c r="L411" s="11">
        <v>471</v>
      </c>
      <c r="M411" s="11">
        <v>1980</v>
      </c>
      <c r="N411" s="11">
        <v>1941</v>
      </c>
      <c r="O411" s="15"/>
      <c r="P411" s="8">
        <v>45113</v>
      </c>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4" t="s">
        <v>2015</v>
      </c>
      <c r="AY411" s="5" t="s">
        <v>2032</v>
      </c>
      <c r="AZ411" s="5" t="s">
        <v>38</v>
      </c>
      <c r="BA411" s="12"/>
      <c r="BB411" s="12"/>
      <c r="BC411" s="12"/>
      <c r="BD411" s="11">
        <v>1</v>
      </c>
      <c r="BE411" s="11">
        <v>1</v>
      </c>
    </row>
    <row x14ac:dyDescent="0.25" r="412" customHeight="1" ht="17.25">
      <c r="A412" s="11">
        <v>974419</v>
      </c>
      <c r="B412" s="4" t="s">
        <v>2033</v>
      </c>
      <c r="C412" s="5" t="s">
        <v>2034</v>
      </c>
      <c r="D412" s="5" t="s">
        <v>2035</v>
      </c>
      <c r="E412" s="12"/>
      <c r="F412" s="13">
        <f>"014101038X"</f>
      </c>
      <c r="G412" s="13">
        <f>"9780141010380"</f>
      </c>
      <c r="H412" s="11">
        <v>0</v>
      </c>
      <c r="I412" s="14">
        <v>3.87</v>
      </c>
      <c r="J412" s="7" t="s">
        <v>615</v>
      </c>
      <c r="K412" s="5" t="s">
        <v>60</v>
      </c>
      <c r="L412" s="11">
        <v>288</v>
      </c>
      <c r="M412" s="11">
        <v>2003</v>
      </c>
      <c r="N412" s="11">
        <v>2002</v>
      </c>
      <c r="O412" s="15"/>
      <c r="P412" s="8">
        <v>45114</v>
      </c>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4" t="s">
        <v>2015</v>
      </c>
      <c r="AY412" s="5" t="s">
        <v>2036</v>
      </c>
      <c r="AZ412" s="5" t="s">
        <v>38</v>
      </c>
      <c r="BA412" s="12"/>
      <c r="BB412" s="12"/>
      <c r="BC412" s="12"/>
      <c r="BD412" s="11">
        <v>0</v>
      </c>
      <c r="BE412" s="11">
        <v>1</v>
      </c>
    </row>
    <row x14ac:dyDescent="0.25" r="413" customHeight="1" ht="17.25">
      <c r="A413" s="11">
        <v>7951815</v>
      </c>
      <c r="B413" s="4" t="s">
        <v>2037</v>
      </c>
      <c r="C413" s="5" t="s">
        <v>2038</v>
      </c>
      <c r="D413" s="5" t="s">
        <v>2039</v>
      </c>
      <c r="E413" s="12"/>
      <c r="F413" s="13">
        <f>"0143118218"</f>
      </c>
      <c r="G413" s="13">
        <f>"9780143118213"</f>
      </c>
      <c r="H413" s="11">
        <v>0</v>
      </c>
      <c r="I413" s="14">
        <v>4.26</v>
      </c>
      <c r="J413" s="7" t="s">
        <v>491</v>
      </c>
      <c r="K413" s="5" t="s">
        <v>60</v>
      </c>
      <c r="L413" s="11">
        <v>290</v>
      </c>
      <c r="M413" s="11">
        <v>2010</v>
      </c>
      <c r="N413" s="11">
        <v>2009</v>
      </c>
      <c r="O413" s="15"/>
      <c r="P413" s="8">
        <v>45113</v>
      </c>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4" t="s">
        <v>2015</v>
      </c>
      <c r="AY413" s="5" t="s">
        <v>2040</v>
      </c>
      <c r="AZ413" s="5" t="s">
        <v>38</v>
      </c>
      <c r="BA413" s="12"/>
      <c r="BB413" s="12"/>
      <c r="BC413" s="12"/>
      <c r="BD413" s="11">
        <v>0</v>
      </c>
      <c r="BE413" s="11">
        <v>1</v>
      </c>
    </row>
    <row x14ac:dyDescent="0.25" r="414" customHeight="1" ht="17.25">
      <c r="A414" s="11">
        <v>19254342</v>
      </c>
      <c r="B414" s="4" t="s">
        <v>2041</v>
      </c>
      <c r="C414" s="5" t="s">
        <v>2042</v>
      </c>
      <c r="D414" s="5" t="s">
        <v>2043</v>
      </c>
      <c r="E414" s="5" t="s">
        <v>540</v>
      </c>
      <c r="F414" s="13">
        <f>""</f>
      </c>
      <c r="G414" s="13">
        <f>""</f>
      </c>
      <c r="H414" s="11">
        <v>0</v>
      </c>
      <c r="I414" s="14">
        <v>4.24</v>
      </c>
      <c r="J414" s="7" t="s">
        <v>2044</v>
      </c>
      <c r="K414" s="5" t="s">
        <v>90</v>
      </c>
      <c r="L414" s="11">
        <v>394</v>
      </c>
      <c r="M414" s="11">
        <v>2013</v>
      </c>
      <c r="N414" s="11">
        <v>1982</v>
      </c>
      <c r="O414" s="15"/>
      <c r="P414" s="8">
        <v>45113</v>
      </c>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4" t="s">
        <v>1995</v>
      </c>
      <c r="AY414" s="5" t="s">
        <v>2045</v>
      </c>
      <c r="AZ414" s="5" t="s">
        <v>38</v>
      </c>
      <c r="BA414" s="12"/>
      <c r="BB414" s="12"/>
      <c r="BC414" s="12"/>
      <c r="BD414" s="11">
        <v>0</v>
      </c>
      <c r="BE414" s="11">
        <v>0</v>
      </c>
    </row>
    <row x14ac:dyDescent="0.25" r="415" customHeight="1" ht="17.25">
      <c r="A415" s="11">
        <v>89522</v>
      </c>
      <c r="B415" s="4" t="s">
        <v>2046</v>
      </c>
      <c r="C415" s="5" t="s">
        <v>2047</v>
      </c>
      <c r="D415" s="5" t="s">
        <v>2048</v>
      </c>
      <c r="E415" s="5" t="s">
        <v>2049</v>
      </c>
      <c r="F415" s="13">
        <f>"0306811596"</f>
      </c>
      <c r="G415" s="13">
        <f>"9780306811593"</f>
      </c>
      <c r="H415" s="11">
        <v>0</v>
      </c>
      <c r="I415" s="14">
        <v>3.72</v>
      </c>
      <c r="J415" s="7" t="s">
        <v>335</v>
      </c>
      <c r="K415" s="5" t="s">
        <v>60</v>
      </c>
      <c r="L415" s="11">
        <v>269</v>
      </c>
      <c r="M415" s="11">
        <v>2002</v>
      </c>
      <c r="N415" s="11">
        <v>1995</v>
      </c>
      <c r="O415" s="15"/>
      <c r="P415" s="8">
        <v>45113</v>
      </c>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4" t="s">
        <v>2015</v>
      </c>
      <c r="AY415" s="5" t="s">
        <v>2050</v>
      </c>
      <c r="AZ415" s="5" t="s">
        <v>38</v>
      </c>
      <c r="BA415" s="12"/>
      <c r="BB415" s="12"/>
      <c r="BC415" s="12"/>
      <c r="BD415" s="11">
        <v>0</v>
      </c>
      <c r="BE415" s="11">
        <v>1</v>
      </c>
    </row>
    <row x14ac:dyDescent="0.25" r="416" customHeight="1" ht="17.25">
      <c r="A416" s="11">
        <v>35271203</v>
      </c>
      <c r="B416" s="4" t="s">
        <v>2051</v>
      </c>
      <c r="C416" s="5" t="s">
        <v>2052</v>
      </c>
      <c r="D416" s="5" t="s">
        <v>2053</v>
      </c>
      <c r="E416" s="12"/>
      <c r="F416" s="13">
        <f>"0062390864"</f>
      </c>
      <c r="G416" s="13">
        <f>"9780062390868"</f>
      </c>
      <c r="H416" s="11">
        <v>0</v>
      </c>
      <c r="I416" s="14">
        <v>3.91</v>
      </c>
      <c r="J416" s="7" t="s">
        <v>2054</v>
      </c>
      <c r="K416" s="5" t="s">
        <v>60</v>
      </c>
      <c r="L416" s="11">
        <v>338</v>
      </c>
      <c r="M416" s="11">
        <v>2018</v>
      </c>
      <c r="N416" s="11">
        <v>2017</v>
      </c>
      <c r="O416" s="15"/>
      <c r="P416" s="8">
        <v>45113</v>
      </c>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4" t="s">
        <v>2015</v>
      </c>
      <c r="AY416" s="5" t="s">
        <v>2055</v>
      </c>
      <c r="AZ416" s="5" t="s">
        <v>38</v>
      </c>
      <c r="BA416" s="12"/>
      <c r="BB416" s="12"/>
      <c r="BC416" s="12"/>
      <c r="BD416" s="11">
        <v>0</v>
      </c>
      <c r="BE416" s="11">
        <v>1</v>
      </c>
    </row>
    <row x14ac:dyDescent="0.25" r="417" customHeight="1" ht="17.25">
      <c r="A417" s="11">
        <v>1657001</v>
      </c>
      <c r="B417" s="4" t="s">
        <v>2056</v>
      </c>
      <c r="C417" s="5" t="s">
        <v>2057</v>
      </c>
      <c r="D417" s="5" t="s">
        <v>2058</v>
      </c>
      <c r="E417" s="5" t="s">
        <v>2059</v>
      </c>
      <c r="F417" s="13">
        <f>"1590172582"</f>
      </c>
      <c r="G417" s="13">
        <f>"9781590172582"</f>
      </c>
      <c r="H417" s="11">
        <v>0</v>
      </c>
      <c r="I417" s="14">
        <v>4.13</v>
      </c>
      <c r="J417" s="7" t="s">
        <v>108</v>
      </c>
      <c r="K417" s="5" t="s">
        <v>60</v>
      </c>
      <c r="L417" s="11">
        <v>312</v>
      </c>
      <c r="M417" s="11">
        <v>2008</v>
      </c>
      <c r="N417" s="11">
        <v>1936</v>
      </c>
      <c r="O417" s="15"/>
      <c r="P417" s="8">
        <v>45102</v>
      </c>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4" t="s">
        <v>1995</v>
      </c>
      <c r="AY417" s="5" t="s">
        <v>2060</v>
      </c>
      <c r="AZ417" s="5" t="s">
        <v>38</v>
      </c>
      <c r="BA417" s="12"/>
      <c r="BB417" s="12"/>
      <c r="BC417" s="12"/>
      <c r="BD417" s="11">
        <v>0</v>
      </c>
      <c r="BE417" s="11">
        <v>0</v>
      </c>
    </row>
    <row x14ac:dyDescent="0.25" r="418" customHeight="1" ht="17.25">
      <c r="A418" s="11">
        <v>75293505</v>
      </c>
      <c r="B418" s="4" t="s">
        <v>2061</v>
      </c>
      <c r="C418" s="5" t="s">
        <v>2062</v>
      </c>
      <c r="D418" s="5" t="s">
        <v>2063</v>
      </c>
      <c r="E418" s="12"/>
      <c r="F418" s="13">
        <f>"0593448561"</f>
      </c>
      <c r="G418" s="13">
        <f>"9780593448564"</f>
      </c>
      <c r="H418" s="11">
        <v>0</v>
      </c>
      <c r="I418" s="14">
        <v>4.21</v>
      </c>
      <c r="J418" s="7" t="s">
        <v>1018</v>
      </c>
      <c r="K418" s="5" t="s">
        <v>72</v>
      </c>
      <c r="L418" s="11">
        <v>352</v>
      </c>
      <c r="M418" s="11">
        <v>2023</v>
      </c>
      <c r="N418" s="16"/>
      <c r="O418" s="15"/>
      <c r="P418" s="8">
        <v>45095</v>
      </c>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4" t="s">
        <v>1995</v>
      </c>
      <c r="AY418" s="5" t="s">
        <v>2064</v>
      </c>
      <c r="AZ418" s="5" t="s">
        <v>38</v>
      </c>
      <c r="BA418" s="12"/>
      <c r="BB418" s="12"/>
      <c r="BC418" s="12"/>
      <c r="BD418" s="11">
        <v>0</v>
      </c>
      <c r="BE418" s="11">
        <v>0</v>
      </c>
    </row>
    <row x14ac:dyDescent="0.25" r="419" customHeight="1" ht="17.25">
      <c r="A419" s="11">
        <v>60323152</v>
      </c>
      <c r="B419" s="4" t="s">
        <v>2065</v>
      </c>
      <c r="C419" s="5" t="s">
        <v>2066</v>
      </c>
      <c r="D419" s="5" t="s">
        <v>2067</v>
      </c>
      <c r="E419" s="12"/>
      <c r="F419" s="13">
        <f>"0063251280"</f>
      </c>
      <c r="G419" s="13">
        <f>"9780063251281"</f>
      </c>
      <c r="H419" s="11">
        <v>0</v>
      </c>
      <c r="I419" s="14">
        <v>4.49</v>
      </c>
      <c r="J419" s="7" t="s">
        <v>2054</v>
      </c>
      <c r="K419" s="5" t="s">
        <v>72</v>
      </c>
      <c r="L419" s="11">
        <v>496</v>
      </c>
      <c r="M419" s="11">
        <v>2023</v>
      </c>
      <c r="N419" s="11">
        <v>2023</v>
      </c>
      <c r="O419" s="15"/>
      <c r="P419" s="8">
        <v>45088</v>
      </c>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4" t="s">
        <v>2068</v>
      </c>
      <c r="AY419" s="5" t="s">
        <v>2069</v>
      </c>
      <c r="AZ419" s="5" t="s">
        <v>38</v>
      </c>
      <c r="BA419" s="12"/>
      <c r="BB419" s="12"/>
      <c r="BC419" s="12"/>
      <c r="BD419" s="11">
        <v>0</v>
      </c>
      <c r="BE419" s="11">
        <v>0</v>
      </c>
    </row>
    <row x14ac:dyDescent="0.25" r="420" customHeight="1" ht="17.25">
      <c r="A420" s="11">
        <v>35969564</v>
      </c>
      <c r="B420" s="4" t="s">
        <v>2070</v>
      </c>
      <c r="C420" s="5" t="s">
        <v>2071</v>
      </c>
      <c r="D420" s="5" t="s">
        <v>2072</v>
      </c>
      <c r="E420" s="12"/>
      <c r="F420" s="13">
        <f>"1101911530"</f>
      </c>
      <c r="G420" s="13">
        <f>"9781101911532"</f>
      </c>
      <c r="H420" s="11">
        <v>0</v>
      </c>
      <c r="I420" s="14">
        <v>3.89</v>
      </c>
      <c r="J420" s="7" t="s">
        <v>114</v>
      </c>
      <c r="K420" s="5" t="s">
        <v>60</v>
      </c>
      <c r="L420" s="11">
        <v>203</v>
      </c>
      <c r="M420" s="11">
        <v>2018</v>
      </c>
      <c r="N420" s="11">
        <v>2017</v>
      </c>
      <c r="O420" s="15"/>
      <c r="P420" s="8">
        <v>45029</v>
      </c>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4" t="s">
        <v>1995</v>
      </c>
      <c r="AY420" s="5" t="s">
        <v>2073</v>
      </c>
      <c r="AZ420" s="5" t="s">
        <v>38</v>
      </c>
      <c r="BA420" s="12"/>
      <c r="BB420" s="12"/>
      <c r="BC420" s="12"/>
      <c r="BD420" s="11">
        <v>0</v>
      </c>
      <c r="BE420" s="11">
        <v>0</v>
      </c>
    </row>
    <row x14ac:dyDescent="0.25" r="421" customHeight="1" ht="17.25">
      <c r="A421" s="11">
        <v>60880789</v>
      </c>
      <c r="B421" s="4" t="s">
        <v>2074</v>
      </c>
      <c r="C421" s="5" t="s">
        <v>2075</v>
      </c>
      <c r="D421" s="5" t="s">
        <v>2076</v>
      </c>
      <c r="E421" s="12"/>
      <c r="F421" s="13">
        <f>"0593185234"</f>
      </c>
      <c r="G421" s="13">
        <f>"9780593185230"</f>
      </c>
      <c r="H421" s="11">
        <v>0</v>
      </c>
      <c r="I421" s="14">
        <v>4.05</v>
      </c>
      <c r="J421" s="7" t="s">
        <v>2077</v>
      </c>
      <c r="K421" s="5" t="s">
        <v>72</v>
      </c>
      <c r="L421" s="11">
        <v>384</v>
      </c>
      <c r="M421" s="11">
        <v>2023</v>
      </c>
      <c r="N421" s="16"/>
      <c r="O421" s="15"/>
      <c r="P421" s="9">
        <v>44922</v>
      </c>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4" t="s">
        <v>1995</v>
      </c>
      <c r="AY421" s="5" t="s">
        <v>2078</v>
      </c>
      <c r="AZ421" s="5" t="s">
        <v>38</v>
      </c>
      <c r="BA421" s="12"/>
      <c r="BB421" s="12"/>
      <c r="BC421" s="12"/>
      <c r="BD421" s="11">
        <v>0</v>
      </c>
      <c r="BE421" s="11">
        <v>0</v>
      </c>
    </row>
    <row x14ac:dyDescent="0.25" r="422" customHeight="1" ht="17.25">
      <c r="A422" s="11">
        <v>6146412</v>
      </c>
      <c r="B422" s="4" t="s">
        <v>2079</v>
      </c>
      <c r="C422" s="5" t="s">
        <v>2080</v>
      </c>
      <c r="D422" s="5" t="s">
        <v>2081</v>
      </c>
      <c r="E422" s="12"/>
      <c r="F422" s="13">
        <f>"0199204519"</f>
      </c>
      <c r="G422" s="13">
        <f>"9780199204519"</f>
      </c>
      <c r="H422" s="11">
        <v>0</v>
      </c>
      <c r="I422" s="14">
        <v>4.03</v>
      </c>
      <c r="J422" s="7" t="s">
        <v>245</v>
      </c>
      <c r="K422" s="5" t="s">
        <v>72</v>
      </c>
      <c r="L422" s="11">
        <v>380</v>
      </c>
      <c r="M422" s="11">
        <v>2009</v>
      </c>
      <c r="N422" s="11">
        <v>2009</v>
      </c>
      <c r="O422" s="15"/>
      <c r="P422" s="8">
        <v>45070</v>
      </c>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4" t="s">
        <v>2068</v>
      </c>
      <c r="AY422" s="5" t="s">
        <v>2082</v>
      </c>
      <c r="AZ422" s="5" t="s">
        <v>38</v>
      </c>
      <c r="BA422" s="12"/>
      <c r="BB422" s="12"/>
      <c r="BC422" s="12"/>
      <c r="BD422" s="11">
        <v>0</v>
      </c>
      <c r="BE422" s="11">
        <v>0</v>
      </c>
    </row>
    <row x14ac:dyDescent="0.25" r="423" customHeight="1" ht="17.25">
      <c r="A423" s="11">
        <v>41551923</v>
      </c>
      <c r="B423" s="4" t="s">
        <v>2083</v>
      </c>
      <c r="C423" s="5" t="s">
        <v>2084</v>
      </c>
      <c r="D423" s="5" t="s">
        <v>2085</v>
      </c>
      <c r="E423" s="12"/>
      <c r="F423" s="13">
        <f>"0199946124"</f>
      </c>
      <c r="G423" s="13">
        <f>"9780199946129"</f>
      </c>
      <c r="H423" s="11">
        <v>0</v>
      </c>
      <c r="I423" s="14">
        <v>3.74</v>
      </c>
      <c r="J423" s="7" t="s">
        <v>245</v>
      </c>
      <c r="K423" s="5" t="s">
        <v>72</v>
      </c>
      <c r="L423" s="11">
        <v>499</v>
      </c>
      <c r="M423" s="11">
        <v>2019</v>
      </c>
      <c r="N423" s="16"/>
      <c r="O423" s="15"/>
      <c r="P423" s="9">
        <v>44484</v>
      </c>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4" t="s">
        <v>2068</v>
      </c>
      <c r="AY423" s="5" t="s">
        <v>2086</v>
      </c>
      <c r="AZ423" s="5" t="s">
        <v>38</v>
      </c>
      <c r="BA423" s="12"/>
      <c r="BB423" s="12"/>
      <c r="BC423" s="12"/>
      <c r="BD423" s="11">
        <v>0</v>
      </c>
      <c r="BE423" s="11">
        <v>0</v>
      </c>
    </row>
    <row x14ac:dyDescent="0.25" r="424" customHeight="1" ht="17.25">
      <c r="A424" s="11">
        <v>129909</v>
      </c>
      <c r="B424" s="4" t="s">
        <v>2087</v>
      </c>
      <c r="C424" s="5" t="s">
        <v>2088</v>
      </c>
      <c r="D424" s="5" t="s">
        <v>2089</v>
      </c>
      <c r="E424" s="5" t="s">
        <v>2090</v>
      </c>
      <c r="F424" s="13">
        <f>"0465056520"</f>
      </c>
      <c r="G424" s="13">
        <f>"9780465056521"</f>
      </c>
      <c r="H424" s="11">
        <v>0</v>
      </c>
      <c r="I424" s="14">
        <v>4.58</v>
      </c>
      <c r="J424" s="7" t="s">
        <v>77</v>
      </c>
      <c r="K424" s="5" t="s">
        <v>72</v>
      </c>
      <c r="L424" s="11">
        <v>288</v>
      </c>
      <c r="M424" s="11">
        <v>2007</v>
      </c>
      <c r="N424" s="11">
        <v>2007</v>
      </c>
      <c r="O424" s="15"/>
      <c r="P424" s="8">
        <v>44468</v>
      </c>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4" t="s">
        <v>1995</v>
      </c>
      <c r="AY424" s="5" t="s">
        <v>2091</v>
      </c>
      <c r="AZ424" s="5" t="s">
        <v>38</v>
      </c>
      <c r="BA424" s="12"/>
      <c r="BB424" s="12"/>
      <c r="BC424" s="12"/>
      <c r="BD424" s="11">
        <v>0</v>
      </c>
      <c r="BE424" s="11">
        <v>0</v>
      </c>
    </row>
    <row x14ac:dyDescent="0.25" r="425" customHeight="1" ht="17.25">
      <c r="A425" s="11">
        <v>445060</v>
      </c>
      <c r="B425" s="4" t="s">
        <v>2092</v>
      </c>
      <c r="C425" s="5" t="s">
        <v>2093</v>
      </c>
      <c r="D425" s="5" t="s">
        <v>2094</v>
      </c>
      <c r="E425" s="12"/>
      <c r="F425" s="13">
        <f>"1860648940"</f>
      </c>
      <c r="G425" s="13">
        <f>"9781860648946"</f>
      </c>
      <c r="H425" s="11">
        <v>0</v>
      </c>
      <c r="I425" s="14">
        <v>3.95</v>
      </c>
      <c r="J425" s="7" t="s">
        <v>2095</v>
      </c>
      <c r="K425" s="5" t="s">
        <v>60</v>
      </c>
      <c r="L425" s="11">
        <v>288</v>
      </c>
      <c r="M425" s="11">
        <v>2003</v>
      </c>
      <c r="N425" s="11">
        <v>1978</v>
      </c>
      <c r="O425" s="15"/>
      <c r="P425" s="8">
        <v>44261</v>
      </c>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4" t="s">
        <v>1995</v>
      </c>
      <c r="AY425" s="5" t="s">
        <v>2096</v>
      </c>
      <c r="AZ425" s="5" t="s">
        <v>38</v>
      </c>
      <c r="BA425" s="12"/>
      <c r="BB425" s="12"/>
      <c r="BC425" s="12"/>
      <c r="BD425" s="11">
        <v>0</v>
      </c>
      <c r="BE425" s="11">
        <v>0</v>
      </c>
    </row>
    <row x14ac:dyDescent="0.25" r="426" customHeight="1" ht="17.25">
      <c r="A426" s="11">
        <v>31788</v>
      </c>
      <c r="B426" s="4" t="s">
        <v>2097</v>
      </c>
      <c r="C426" s="5" t="s">
        <v>1548</v>
      </c>
      <c r="D426" s="5" t="s">
        <v>1549</v>
      </c>
      <c r="E426" s="12"/>
      <c r="F426" s="13">
        <f>"025207467X"</f>
      </c>
      <c r="G426" s="13">
        <f>"9780252074677"</f>
      </c>
      <c r="H426" s="11">
        <v>0</v>
      </c>
      <c r="I426" s="14">
        <v>3.45</v>
      </c>
      <c r="J426" s="7" t="s">
        <v>2098</v>
      </c>
      <c r="K426" s="5" t="s">
        <v>60</v>
      </c>
      <c r="L426" s="11">
        <v>240</v>
      </c>
      <c r="M426" s="11">
        <v>2007</v>
      </c>
      <c r="N426" s="11">
        <v>2003</v>
      </c>
      <c r="O426" s="15"/>
      <c r="P426" s="8">
        <v>44261</v>
      </c>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4" t="s">
        <v>2099</v>
      </c>
      <c r="AY426" s="5" t="s">
        <v>2100</v>
      </c>
      <c r="AZ426" s="5" t="s">
        <v>38</v>
      </c>
      <c r="BA426" s="12"/>
      <c r="BB426" s="12"/>
      <c r="BC426" s="12"/>
      <c r="BD426" s="11">
        <v>0</v>
      </c>
      <c r="BE426" s="11">
        <v>0</v>
      </c>
    </row>
    <row x14ac:dyDescent="0.25" r="427" customHeight="1" ht="17.25">
      <c r="A427" s="11">
        <v>57295388</v>
      </c>
      <c r="B427" s="4" t="s">
        <v>2101</v>
      </c>
      <c r="C427" s="5" t="s">
        <v>2102</v>
      </c>
      <c r="D427" s="5" t="s">
        <v>2103</v>
      </c>
      <c r="E427" s="12"/>
      <c r="F427" s="13">
        <f>"1913462420"</f>
      </c>
      <c r="G427" s="13">
        <f>"9781913462420"</f>
      </c>
      <c r="H427" s="11">
        <v>0</v>
      </c>
      <c r="I427" s="14">
        <v>3.65</v>
      </c>
      <c r="J427" s="7" t="s">
        <v>2104</v>
      </c>
      <c r="K427" s="5" t="s">
        <v>60</v>
      </c>
      <c r="L427" s="11">
        <v>180</v>
      </c>
      <c r="M427" s="11">
        <v>2021</v>
      </c>
      <c r="N427" s="11">
        <v>2021</v>
      </c>
      <c r="O427" s="15"/>
      <c r="P427" s="8">
        <v>44402</v>
      </c>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4" t="s">
        <v>2068</v>
      </c>
      <c r="AY427" s="5" t="s">
        <v>2105</v>
      </c>
      <c r="AZ427" s="5" t="s">
        <v>38</v>
      </c>
      <c r="BA427" s="12"/>
      <c r="BB427" s="12"/>
      <c r="BC427" s="12"/>
      <c r="BD427" s="11">
        <v>0</v>
      </c>
      <c r="BE427" s="11">
        <v>0</v>
      </c>
    </row>
    <row x14ac:dyDescent="0.25" r="428" customHeight="1" ht="17.25">
      <c r="A428" s="11">
        <v>455388</v>
      </c>
      <c r="B428" s="4" t="s">
        <v>2106</v>
      </c>
      <c r="C428" s="5" t="s">
        <v>2107</v>
      </c>
      <c r="D428" s="5" t="s">
        <v>2108</v>
      </c>
      <c r="E428" s="5" t="s">
        <v>2109</v>
      </c>
      <c r="F428" s="13">
        <f>"0393323803"</f>
      </c>
      <c r="G428" s="13">
        <f>"9780393323801"</f>
      </c>
      <c r="H428" s="11">
        <v>0</v>
      </c>
      <c r="I428" s="14">
        <v>4.1</v>
      </c>
      <c r="J428" s="7" t="s">
        <v>144</v>
      </c>
      <c r="K428" s="5" t="s">
        <v>60</v>
      </c>
      <c r="L428" s="11">
        <v>414</v>
      </c>
      <c r="M428" s="11">
        <v>2003</v>
      </c>
      <c r="N428" s="11">
        <v>2000</v>
      </c>
      <c r="O428" s="15"/>
      <c r="P428" s="8">
        <v>44263</v>
      </c>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4" t="s">
        <v>2099</v>
      </c>
      <c r="AY428" s="5" t="s">
        <v>2110</v>
      </c>
      <c r="AZ428" s="5" t="s">
        <v>38</v>
      </c>
      <c r="BA428" s="12"/>
      <c r="BB428" s="12"/>
      <c r="BC428" s="12"/>
      <c r="BD428" s="11">
        <v>0</v>
      </c>
      <c r="BE428" s="11">
        <v>0</v>
      </c>
    </row>
    <row x14ac:dyDescent="0.25" r="429" customHeight="1" ht="17.25">
      <c r="A429" s="11">
        <v>162022</v>
      </c>
      <c r="B429" s="4" t="s">
        <v>2111</v>
      </c>
      <c r="C429" s="5" t="s">
        <v>2112</v>
      </c>
      <c r="D429" s="5" t="s">
        <v>2113</v>
      </c>
      <c r="E429" s="12"/>
      <c r="F429" s="13">
        <f>"0691019835"</f>
      </c>
      <c r="G429" s="13">
        <f>"9780691019833"</f>
      </c>
      <c r="H429" s="11">
        <v>0</v>
      </c>
      <c r="I429" s="14">
        <v>4.24</v>
      </c>
      <c r="J429" s="7" t="s">
        <v>172</v>
      </c>
      <c r="K429" s="5" t="s">
        <v>60</v>
      </c>
      <c r="L429" s="11">
        <v>552</v>
      </c>
      <c r="M429" s="11">
        <v>1974</v>
      </c>
      <c r="N429" s="11">
        <v>1950</v>
      </c>
      <c r="O429" s="15"/>
      <c r="P429" s="8">
        <v>44263</v>
      </c>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4" t="s">
        <v>2099</v>
      </c>
      <c r="AY429" s="5" t="s">
        <v>2114</v>
      </c>
      <c r="AZ429" s="5" t="s">
        <v>38</v>
      </c>
      <c r="BA429" s="12"/>
      <c r="BB429" s="12"/>
      <c r="BC429" s="12"/>
      <c r="BD429" s="11">
        <v>0</v>
      </c>
      <c r="BE429" s="11">
        <v>0</v>
      </c>
    </row>
    <row x14ac:dyDescent="0.25" r="430" customHeight="1" ht="17.25">
      <c r="A430" s="11">
        <v>9646</v>
      </c>
      <c r="B430" s="4" t="s">
        <v>2115</v>
      </c>
      <c r="C430" s="5" t="s">
        <v>2116</v>
      </c>
      <c r="D430" s="5" t="s">
        <v>2117</v>
      </c>
      <c r="E430" s="12"/>
      <c r="F430" s="13">
        <f>"0156421178"</f>
      </c>
      <c r="G430" s="13">
        <f>"9780156421171"</f>
      </c>
      <c r="H430" s="11">
        <v>0</v>
      </c>
      <c r="I430" s="14">
        <v>4.09</v>
      </c>
      <c r="J430" s="7" t="s">
        <v>2118</v>
      </c>
      <c r="K430" s="5" t="s">
        <v>60</v>
      </c>
      <c r="L430" s="11">
        <v>232</v>
      </c>
      <c r="M430" s="11">
        <v>1980</v>
      </c>
      <c r="N430" s="11">
        <v>1938</v>
      </c>
      <c r="O430" s="15"/>
      <c r="P430" s="8">
        <v>44242</v>
      </c>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4" t="s">
        <v>1995</v>
      </c>
      <c r="AY430" s="5" t="s">
        <v>2119</v>
      </c>
      <c r="AZ430" s="5" t="s">
        <v>38</v>
      </c>
      <c r="BA430" s="12"/>
      <c r="BB430" s="12"/>
      <c r="BC430" s="12"/>
      <c r="BD430" s="11">
        <v>0</v>
      </c>
      <c r="BE430" s="11">
        <v>0</v>
      </c>
    </row>
    <row x14ac:dyDescent="0.25" r="431" customHeight="1" ht="17.25">
      <c r="A431" s="11">
        <v>953566</v>
      </c>
      <c r="B431" s="4" t="s">
        <v>2120</v>
      </c>
      <c r="C431" s="5" t="s">
        <v>2121</v>
      </c>
      <c r="D431" s="5" t="s">
        <v>2122</v>
      </c>
      <c r="E431" s="12"/>
      <c r="F431" s="13">
        <f>"158567592X"</f>
      </c>
      <c r="G431" s="13">
        <f>"9781585675920"</f>
      </c>
      <c r="H431" s="11">
        <v>0</v>
      </c>
      <c r="I431" s="14">
        <v>3.97</v>
      </c>
      <c r="J431" s="7" t="s">
        <v>2123</v>
      </c>
      <c r="K431" s="5" t="s">
        <v>72</v>
      </c>
      <c r="L431" s="11">
        <v>689</v>
      </c>
      <c r="M431" s="11">
        <v>2005</v>
      </c>
      <c r="N431" s="11">
        <v>2002</v>
      </c>
      <c r="O431" s="15"/>
      <c r="P431" s="8">
        <v>44242</v>
      </c>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4" t="s">
        <v>1995</v>
      </c>
      <c r="AY431" s="5" t="s">
        <v>2124</v>
      </c>
      <c r="AZ431" s="5" t="s">
        <v>38</v>
      </c>
      <c r="BA431" s="12"/>
      <c r="BB431" s="12"/>
      <c r="BC431" s="12"/>
      <c r="BD431" s="11">
        <v>0</v>
      </c>
      <c r="BE431" s="11">
        <v>0</v>
      </c>
    </row>
    <row x14ac:dyDescent="0.25" r="432" customHeight="1" ht="17.25">
      <c r="A432" s="11">
        <v>7815</v>
      </c>
      <c r="B432" s="4" t="s">
        <v>2125</v>
      </c>
      <c r="C432" s="5" t="s">
        <v>2126</v>
      </c>
      <c r="D432" s="5" t="s">
        <v>2127</v>
      </c>
      <c r="E432" s="12"/>
      <c r="F432" s="13">
        <f>"1400078431"</f>
      </c>
      <c r="G432" s="13">
        <f>"9781400078431"</f>
      </c>
      <c r="H432" s="11">
        <v>0</v>
      </c>
      <c r="I432" s="14">
        <v>3.93</v>
      </c>
      <c r="J432" s="7" t="s">
        <v>114</v>
      </c>
      <c r="K432" s="5" t="s">
        <v>60</v>
      </c>
      <c r="L432" s="11">
        <v>227</v>
      </c>
      <c r="M432" s="11">
        <v>2007</v>
      </c>
      <c r="N432" s="11">
        <v>2005</v>
      </c>
      <c r="O432" s="15"/>
      <c r="P432" s="8">
        <v>44242</v>
      </c>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4" t="s">
        <v>1995</v>
      </c>
      <c r="AY432" s="5" t="s">
        <v>2128</v>
      </c>
      <c r="AZ432" s="5" t="s">
        <v>38</v>
      </c>
      <c r="BA432" s="12"/>
      <c r="BB432" s="12"/>
      <c r="BC432" s="12"/>
      <c r="BD432" s="11">
        <v>0</v>
      </c>
      <c r="BE432" s="11">
        <v>0</v>
      </c>
    </row>
    <row x14ac:dyDescent="0.25" r="433" customHeight="1" ht="17.25">
      <c r="A433" s="11">
        <v>12335</v>
      </c>
      <c r="B433" s="4" t="s">
        <v>2129</v>
      </c>
      <c r="C433" s="5" t="s">
        <v>2130</v>
      </c>
      <c r="D433" s="5" t="s">
        <v>2131</v>
      </c>
      <c r="E433" s="12"/>
      <c r="F433" s="13">
        <f>"0375760814"</f>
      </c>
      <c r="G433" s="13">
        <f>"9780375760815"</f>
      </c>
      <c r="H433" s="11">
        <v>0</v>
      </c>
      <c r="I433" s="14">
        <v>3.91</v>
      </c>
      <c r="J433" s="7" t="s">
        <v>2132</v>
      </c>
      <c r="K433" s="5" t="s">
        <v>60</v>
      </c>
      <c r="L433" s="11">
        <v>608</v>
      </c>
      <c r="M433" s="11">
        <v>2002</v>
      </c>
      <c r="N433" s="11">
        <v>2001</v>
      </c>
      <c r="O433" s="15"/>
      <c r="P433" s="8">
        <v>44242</v>
      </c>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4" t="s">
        <v>1995</v>
      </c>
      <c r="AY433" s="5" t="s">
        <v>2133</v>
      </c>
      <c r="AZ433" s="5" t="s">
        <v>38</v>
      </c>
      <c r="BA433" s="12"/>
      <c r="BB433" s="12"/>
      <c r="BC433" s="12"/>
      <c r="BD433" s="11">
        <v>0</v>
      </c>
      <c r="BE433" s="11">
        <v>0</v>
      </c>
    </row>
    <row x14ac:dyDescent="0.25" r="434" customHeight="1" ht="17.25">
      <c r="A434" s="11">
        <v>239186</v>
      </c>
      <c r="B434" s="4" t="s">
        <v>2134</v>
      </c>
      <c r="C434" s="5" t="s">
        <v>2135</v>
      </c>
      <c r="D434" s="5" t="s">
        <v>2136</v>
      </c>
      <c r="E434" s="12"/>
      <c r="F434" s="13">
        <f>"0375708278"</f>
      </c>
      <c r="G434" s="13">
        <f>"9780375708275"</f>
      </c>
      <c r="H434" s="11">
        <v>0</v>
      </c>
      <c r="I434" s="14">
        <v>4.04</v>
      </c>
      <c r="J434" s="7" t="s">
        <v>2137</v>
      </c>
      <c r="K434" s="5" t="s">
        <v>60</v>
      </c>
      <c r="L434" s="11">
        <v>323</v>
      </c>
      <c r="M434" s="11">
        <v>2000</v>
      </c>
      <c r="N434" s="11">
        <v>1999</v>
      </c>
      <c r="O434" s="15"/>
      <c r="P434" s="8">
        <v>44254</v>
      </c>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4" t="s">
        <v>2068</v>
      </c>
      <c r="AY434" s="5" t="s">
        <v>2138</v>
      </c>
      <c r="AZ434" s="5" t="s">
        <v>38</v>
      </c>
      <c r="BA434" s="12"/>
      <c r="BB434" s="12"/>
      <c r="BC434" s="12"/>
      <c r="BD434" s="11">
        <v>0</v>
      </c>
      <c r="BE434" s="11">
        <v>0</v>
      </c>
    </row>
    <row x14ac:dyDescent="0.25" r="435" customHeight="1" ht="17.25">
      <c r="A435" s="11">
        <v>51542645</v>
      </c>
      <c r="B435" s="4" t="s">
        <v>2139</v>
      </c>
      <c r="C435" s="5" t="s">
        <v>2140</v>
      </c>
      <c r="D435" s="5" t="s">
        <v>2141</v>
      </c>
      <c r="E435" s="12"/>
      <c r="F435" s="13">
        <f>"0374231184"</f>
      </c>
      <c r="G435" s="13">
        <f>"9780374231187"</f>
      </c>
      <c r="H435" s="11">
        <v>0</v>
      </c>
      <c r="I435" s="14">
        <v>4.06</v>
      </c>
      <c r="J435" s="7" t="s">
        <v>120</v>
      </c>
      <c r="K435" s="5" t="s">
        <v>72</v>
      </c>
      <c r="L435" s="11">
        <v>368</v>
      </c>
      <c r="M435" s="11">
        <v>2020</v>
      </c>
      <c r="N435" s="11">
        <v>2019</v>
      </c>
      <c r="O435" s="15"/>
      <c r="P435" s="8">
        <v>44238</v>
      </c>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4" t="s">
        <v>2099</v>
      </c>
      <c r="AY435" s="5" t="s">
        <v>2142</v>
      </c>
      <c r="AZ435" s="5" t="s">
        <v>38</v>
      </c>
      <c r="BA435" s="12"/>
      <c r="BB435" s="12"/>
      <c r="BC435" s="12"/>
      <c r="BD435" s="11">
        <v>0</v>
      </c>
      <c r="BE435" s="11">
        <v>0</v>
      </c>
    </row>
    <row x14ac:dyDescent="0.25" r="436" customHeight="1" ht="17.25">
      <c r="A436" s="11">
        <v>247709</v>
      </c>
      <c r="B436" s="4" t="s">
        <v>2143</v>
      </c>
      <c r="C436" s="5" t="s">
        <v>2144</v>
      </c>
      <c r="D436" s="5" t="s">
        <v>2145</v>
      </c>
      <c r="E436" s="5" t="s">
        <v>2146</v>
      </c>
      <c r="F436" s="13">
        <f>"1558613951"</f>
      </c>
      <c r="G436" s="13">
        <f>"9781558613959"</f>
      </c>
      <c r="H436" s="11">
        <v>0</v>
      </c>
      <c r="I436" s="14">
        <v>3.91</v>
      </c>
      <c r="J436" s="7" t="s">
        <v>2147</v>
      </c>
      <c r="K436" s="5" t="s">
        <v>60</v>
      </c>
      <c r="L436" s="11">
        <v>304</v>
      </c>
      <c r="M436" s="11">
        <v>2002</v>
      </c>
      <c r="N436" s="11">
        <v>1996</v>
      </c>
      <c r="O436" s="15"/>
      <c r="P436" s="8">
        <v>44238</v>
      </c>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4" t="s">
        <v>1995</v>
      </c>
      <c r="AY436" s="5" t="s">
        <v>2148</v>
      </c>
      <c r="AZ436" s="5" t="s">
        <v>38</v>
      </c>
      <c r="BA436" s="12"/>
      <c r="BB436" s="12"/>
      <c r="BC436" s="12"/>
      <c r="BD436" s="11">
        <v>0</v>
      </c>
      <c r="BE436" s="11">
        <v>0</v>
      </c>
    </row>
    <row x14ac:dyDescent="0.25" r="437" customHeight="1" ht="17.25">
      <c r="A437" s="11">
        <v>44244939</v>
      </c>
      <c r="B437" s="4" t="s">
        <v>2149</v>
      </c>
      <c r="C437" s="5" t="s">
        <v>2150</v>
      </c>
      <c r="D437" s="5" t="s">
        <v>2151</v>
      </c>
      <c r="E437" s="12"/>
      <c r="F437" s="13">
        <f>"0190673060"</f>
      </c>
      <c r="G437" s="13">
        <f>"9780190673062"</f>
      </c>
      <c r="H437" s="11">
        <v>0</v>
      </c>
      <c r="I437" s="14">
        <v>4.1</v>
      </c>
      <c r="J437" s="7" t="s">
        <v>245</v>
      </c>
      <c r="K437" s="5" t="s">
        <v>72</v>
      </c>
      <c r="L437" s="11">
        <v>320</v>
      </c>
      <c r="M437" s="11">
        <v>2019</v>
      </c>
      <c r="N437" s="11">
        <v>2019</v>
      </c>
      <c r="O437" s="15"/>
      <c r="P437" s="8">
        <v>44235</v>
      </c>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4" t="s">
        <v>2068</v>
      </c>
      <c r="AY437" s="5" t="s">
        <v>2152</v>
      </c>
      <c r="AZ437" s="5" t="s">
        <v>38</v>
      </c>
      <c r="BA437" s="12"/>
      <c r="BB437" s="12"/>
      <c r="BC437" s="12"/>
      <c r="BD437" s="11">
        <v>0</v>
      </c>
      <c r="BE437" s="11">
        <v>0</v>
      </c>
    </row>
    <row x14ac:dyDescent="0.25" r="438" customHeight="1" ht="17.25">
      <c r="A438" s="11">
        <v>1686</v>
      </c>
      <c r="B438" s="4" t="s">
        <v>2153</v>
      </c>
      <c r="C438" s="5" t="s">
        <v>2154</v>
      </c>
      <c r="D438" s="5" t="s">
        <v>2155</v>
      </c>
      <c r="E438" s="12"/>
      <c r="F438" s="13">
        <f>"0520227573"</f>
      </c>
      <c r="G438" s="13">
        <f>"9780520227576"</f>
      </c>
      <c r="H438" s="11">
        <v>0</v>
      </c>
      <c r="I438" s="14">
        <v>4.28</v>
      </c>
      <c r="J438" s="7" t="s">
        <v>1335</v>
      </c>
      <c r="K438" s="5" t="s">
        <v>60</v>
      </c>
      <c r="L438" s="11">
        <v>576</v>
      </c>
      <c r="M438" s="11">
        <v>2000</v>
      </c>
      <c r="N438" s="11">
        <v>1967</v>
      </c>
      <c r="O438" s="15"/>
      <c r="P438" s="8">
        <v>44242</v>
      </c>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4" t="s">
        <v>2099</v>
      </c>
      <c r="AY438" s="5" t="s">
        <v>2156</v>
      </c>
      <c r="AZ438" s="5" t="s">
        <v>38</v>
      </c>
      <c r="BA438" s="12"/>
      <c r="BB438" s="12"/>
      <c r="BC438" s="12"/>
      <c r="BD438" s="11">
        <v>0</v>
      </c>
      <c r="BE438" s="11">
        <v>0</v>
      </c>
    </row>
    <row x14ac:dyDescent="0.25" r="439" customHeight="1" ht="17.25">
      <c r="A439" s="11">
        <v>157507</v>
      </c>
      <c r="B439" s="4" t="s">
        <v>2157</v>
      </c>
      <c r="C439" s="5" t="s">
        <v>2158</v>
      </c>
      <c r="D439" s="5" t="s">
        <v>2159</v>
      </c>
      <c r="E439" s="12"/>
      <c r="F439" s="13">
        <f>"0099450070"</f>
      </c>
      <c r="G439" s="13">
        <f>"9780099450078"</f>
      </c>
      <c r="H439" s="11">
        <v>0</v>
      </c>
      <c r="I439" s="14">
        <v>4.19</v>
      </c>
      <c r="J439" s="7" t="s">
        <v>2160</v>
      </c>
      <c r="K439" s="5" t="s">
        <v>60</v>
      </c>
      <c r="L439" s="11">
        <v>864</v>
      </c>
      <c r="M439" s="11">
        <v>2004</v>
      </c>
      <c r="N439" s="11">
        <v>1993</v>
      </c>
      <c r="O439" s="15"/>
      <c r="P439" s="8">
        <v>44237</v>
      </c>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4" t="s">
        <v>1995</v>
      </c>
      <c r="AY439" s="5" t="s">
        <v>2161</v>
      </c>
      <c r="AZ439" s="5" t="s">
        <v>38</v>
      </c>
      <c r="BA439" s="12"/>
      <c r="BB439" s="12"/>
      <c r="BC439" s="12"/>
      <c r="BD439" s="11">
        <v>0</v>
      </c>
      <c r="BE439" s="11">
        <v>0</v>
      </c>
    </row>
    <row x14ac:dyDescent="0.25" r="440" customHeight="1" ht="17.25">
      <c r="A440" s="11">
        <v>98994</v>
      </c>
      <c r="B440" s="4" t="s">
        <v>2162</v>
      </c>
      <c r="C440" s="5" t="s">
        <v>2163</v>
      </c>
      <c r="D440" s="5" t="s">
        <v>2164</v>
      </c>
      <c r="E440" s="5" t="s">
        <v>2165</v>
      </c>
      <c r="F440" s="13">
        <f>"0312227302"</f>
      </c>
      <c r="G440" s="13">
        <f>"9780312227302"</f>
      </c>
      <c r="H440" s="11">
        <v>0</v>
      </c>
      <c r="I440" s="14">
        <v>4.02</v>
      </c>
      <c r="J440" s="7" t="s">
        <v>2166</v>
      </c>
      <c r="K440" s="5" t="s">
        <v>60</v>
      </c>
      <c r="L440" s="11">
        <v>336</v>
      </c>
      <c r="M440" s="11">
        <v>1999</v>
      </c>
      <c r="N440" s="11">
        <v>1981</v>
      </c>
      <c r="O440" s="15"/>
      <c r="P440" s="8">
        <v>44222</v>
      </c>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4" t="s">
        <v>2068</v>
      </c>
      <c r="AY440" s="5" t="s">
        <v>2167</v>
      </c>
      <c r="AZ440" s="5" t="s">
        <v>38</v>
      </c>
      <c r="BA440" s="12"/>
      <c r="BB440" s="12"/>
      <c r="BC440" s="12"/>
      <c r="BD440" s="11">
        <v>0</v>
      </c>
      <c r="BE440" s="11">
        <v>0</v>
      </c>
    </row>
    <row x14ac:dyDescent="0.25" r="441" customHeight="1" ht="17.25">
      <c r="A441" s="11">
        <v>30687200</v>
      </c>
      <c r="B441" s="4" t="s">
        <v>2070</v>
      </c>
      <c r="C441" s="5" t="s">
        <v>2071</v>
      </c>
      <c r="D441" s="5" t="s">
        <v>2072</v>
      </c>
      <c r="E441" s="5" t="s">
        <v>2168</v>
      </c>
      <c r="F441" s="13">
        <f>"1101924926"</f>
      </c>
      <c r="G441" s="13">
        <f>"9781101924921"</f>
      </c>
      <c r="H441" s="11">
        <v>0</v>
      </c>
      <c r="I441" s="14">
        <v>3.89</v>
      </c>
      <c r="J441" s="7" t="s">
        <v>2169</v>
      </c>
      <c r="K441" s="5" t="s">
        <v>2170</v>
      </c>
      <c r="L441" s="11">
        <v>5</v>
      </c>
      <c r="M441" s="11">
        <v>2017</v>
      </c>
      <c r="N441" s="11">
        <v>2017</v>
      </c>
      <c r="O441" s="15"/>
      <c r="P441" s="8">
        <v>44205</v>
      </c>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4" t="s">
        <v>2099</v>
      </c>
      <c r="AY441" s="5" t="s">
        <v>2171</v>
      </c>
      <c r="AZ441" s="5" t="s">
        <v>38</v>
      </c>
      <c r="BA441" s="12"/>
      <c r="BB441" s="12"/>
      <c r="BC441" s="12"/>
      <c r="BD441" s="11">
        <v>0</v>
      </c>
      <c r="BE441" s="11">
        <v>0</v>
      </c>
    </row>
    <row x14ac:dyDescent="0.25" r="442" customHeight="1" ht="17.25">
      <c r="A442" s="11">
        <v>24113</v>
      </c>
      <c r="B442" s="4" t="s">
        <v>2172</v>
      </c>
      <c r="C442" s="5" t="s">
        <v>2173</v>
      </c>
      <c r="D442" s="5" t="s">
        <v>2174</v>
      </c>
      <c r="E442" s="12"/>
      <c r="F442" s="13">
        <f>"0465026567"</f>
      </c>
      <c r="G442" s="13">
        <f>"9780465026562"</f>
      </c>
      <c r="H442" s="11">
        <v>0</v>
      </c>
      <c r="I442" s="14">
        <v>4.29</v>
      </c>
      <c r="J442" s="7" t="s">
        <v>77</v>
      </c>
      <c r="K442" s="5" t="s">
        <v>60</v>
      </c>
      <c r="L442" s="11">
        <v>756</v>
      </c>
      <c r="M442" s="11">
        <v>1999</v>
      </c>
      <c r="N442" s="11">
        <v>1979</v>
      </c>
      <c r="O442" s="15"/>
      <c r="P442" s="8">
        <v>44205</v>
      </c>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4" t="s">
        <v>1995</v>
      </c>
      <c r="AY442" s="5" t="s">
        <v>2175</v>
      </c>
      <c r="AZ442" s="5" t="s">
        <v>38</v>
      </c>
      <c r="BA442" s="12"/>
      <c r="BB442" s="12"/>
      <c r="BC442" s="12"/>
      <c r="BD442" s="11">
        <v>0</v>
      </c>
      <c r="BE442" s="11">
        <v>0</v>
      </c>
    </row>
    <row x14ac:dyDescent="0.25" r="443" customHeight="1" ht="17.25">
      <c r="A443" s="11">
        <v>672798</v>
      </c>
      <c r="B443" s="4" t="s">
        <v>2176</v>
      </c>
      <c r="C443" s="5" t="s">
        <v>556</v>
      </c>
      <c r="D443" s="5" t="s">
        <v>557</v>
      </c>
      <c r="E443" s="12"/>
      <c r="F443" s="13">
        <f>"014139000X"</f>
      </c>
      <c r="G443" s="13">
        <f>"9780141390000"</f>
      </c>
      <c r="H443" s="11">
        <v>0</v>
      </c>
      <c r="I443" s="11">
        <v>4</v>
      </c>
      <c r="J443" s="7" t="s">
        <v>150</v>
      </c>
      <c r="K443" s="5" t="s">
        <v>60</v>
      </c>
      <c r="L443" s="16"/>
      <c r="M443" s="11">
        <v>2000</v>
      </c>
      <c r="N443" s="11">
        <v>1973</v>
      </c>
      <c r="O443" s="15"/>
      <c r="P443" s="8">
        <v>44222</v>
      </c>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4" t="s">
        <v>2068</v>
      </c>
      <c r="AY443" s="5" t="s">
        <v>2177</v>
      </c>
      <c r="AZ443" s="5" t="s">
        <v>38</v>
      </c>
      <c r="BA443" s="12"/>
      <c r="BB443" s="12"/>
      <c r="BC443" s="12"/>
      <c r="BD443" s="11">
        <v>0</v>
      </c>
      <c r="BE443" s="11">
        <v>0</v>
      </c>
    </row>
    <row x14ac:dyDescent="0.25" r="444" customHeight="1" ht="17.25">
      <c r="A444" s="11">
        <v>314227</v>
      </c>
      <c r="B444" s="4" t="s">
        <v>2178</v>
      </c>
      <c r="C444" s="5" t="s">
        <v>2179</v>
      </c>
      <c r="D444" s="5" t="s">
        <v>2180</v>
      </c>
      <c r="E444" s="12"/>
      <c r="F444" s="13">
        <f>"0719068479"</f>
      </c>
      <c r="G444" s="13">
        <f>"9780719068478"</f>
      </c>
      <c r="H444" s="11">
        <v>0</v>
      </c>
      <c r="I444" s="14">
        <v>3.83</v>
      </c>
      <c r="J444" s="7" t="s">
        <v>2181</v>
      </c>
      <c r="K444" s="5" t="s">
        <v>60</v>
      </c>
      <c r="L444" s="11">
        <v>392</v>
      </c>
      <c r="M444" s="11">
        <v>2006</v>
      </c>
      <c r="N444" s="11">
        <v>2007</v>
      </c>
      <c r="O444" s="15"/>
      <c r="P444" s="8">
        <v>44222</v>
      </c>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4" t="s">
        <v>2068</v>
      </c>
      <c r="AY444" s="5" t="s">
        <v>2182</v>
      </c>
      <c r="AZ444" s="5" t="s">
        <v>38</v>
      </c>
      <c r="BA444" s="12"/>
      <c r="BB444" s="12"/>
      <c r="BC444" s="12"/>
      <c r="BD444" s="11">
        <v>0</v>
      </c>
      <c r="BE444" s="11">
        <v>0</v>
      </c>
    </row>
    <row x14ac:dyDescent="0.25" r="445" customHeight="1" ht="17.25">
      <c r="A445" s="11">
        <v>236900</v>
      </c>
      <c r="B445" s="4" t="s">
        <v>2183</v>
      </c>
      <c r="C445" s="5" t="s">
        <v>2184</v>
      </c>
      <c r="D445" s="5" t="s">
        <v>2185</v>
      </c>
      <c r="E445" s="12"/>
      <c r="F445" s="13">
        <f>"0674024052"</f>
      </c>
      <c r="G445" s="13">
        <f>"9780674024052"</f>
      </c>
      <c r="H445" s="11">
        <v>0</v>
      </c>
      <c r="I445" s="14">
        <v>3.84</v>
      </c>
      <c r="J445" s="7" t="s">
        <v>138</v>
      </c>
      <c r="K445" s="5" t="s">
        <v>60</v>
      </c>
      <c r="L445" s="11">
        <v>272</v>
      </c>
      <c r="M445" s="11">
        <v>2007</v>
      </c>
      <c r="N445" s="11">
        <v>2005</v>
      </c>
      <c r="O445" s="15"/>
      <c r="P445" s="8">
        <v>44222</v>
      </c>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4" t="s">
        <v>2068</v>
      </c>
      <c r="AY445" s="5" t="s">
        <v>2186</v>
      </c>
      <c r="AZ445" s="5" t="s">
        <v>38</v>
      </c>
      <c r="BA445" s="12"/>
      <c r="BB445" s="12"/>
      <c r="BC445" s="12"/>
      <c r="BD445" s="11">
        <v>0</v>
      </c>
      <c r="BE445" s="11">
        <v>0</v>
      </c>
    </row>
    <row x14ac:dyDescent="0.25" r="446" customHeight="1" ht="17.25">
      <c r="A446" s="11">
        <v>478</v>
      </c>
      <c r="B446" s="4" t="s">
        <v>2187</v>
      </c>
      <c r="C446" s="5" t="s">
        <v>2188</v>
      </c>
      <c r="D446" s="5" t="s">
        <v>2189</v>
      </c>
      <c r="E446" s="12"/>
      <c r="F446" s="13">
        <f>"0743203046"</f>
      </c>
      <c r="G446" s="13">
        <f>"9780743203043"</f>
      </c>
      <c r="H446" s="11">
        <v>0</v>
      </c>
      <c r="I446" s="14">
        <v>3.83</v>
      </c>
      <c r="J446" s="7" t="s">
        <v>2190</v>
      </c>
      <c r="K446" s="5" t="s">
        <v>60</v>
      </c>
      <c r="L446" s="11">
        <v>544</v>
      </c>
      <c r="M446" s="11">
        <v>2001</v>
      </c>
      <c r="N446" s="11">
        <v>2000</v>
      </c>
      <c r="O446" s="15"/>
      <c r="P446" s="8">
        <v>44171</v>
      </c>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4" t="s">
        <v>1995</v>
      </c>
      <c r="AY446" s="5" t="s">
        <v>2191</v>
      </c>
      <c r="AZ446" s="5" t="s">
        <v>38</v>
      </c>
      <c r="BA446" s="12"/>
      <c r="BB446" s="12"/>
      <c r="BC446" s="12"/>
      <c r="BD446" s="11">
        <v>0</v>
      </c>
      <c r="BE446" s="11">
        <v>0</v>
      </c>
    </row>
    <row x14ac:dyDescent="0.25" r="447" customHeight="1" ht="17.25">
      <c r="A447" s="11">
        <v>276214</v>
      </c>
      <c r="B447" s="4" t="s">
        <v>2192</v>
      </c>
      <c r="C447" s="5" t="s">
        <v>2193</v>
      </c>
      <c r="D447" s="5" t="s">
        <v>2194</v>
      </c>
      <c r="E447" s="5" t="s">
        <v>2195</v>
      </c>
      <c r="F447" s="13">
        <f>"0674399749"</f>
      </c>
      <c r="G447" s="13">
        <f>"9780674399747"</f>
      </c>
      <c r="H447" s="11">
        <v>0</v>
      </c>
      <c r="I447" s="11">
        <v>4</v>
      </c>
      <c r="J447" s="7" t="s">
        <v>2196</v>
      </c>
      <c r="K447" s="5" t="s">
        <v>60</v>
      </c>
      <c r="L447" s="11">
        <v>670</v>
      </c>
      <c r="M447" s="11">
        <v>1992</v>
      </c>
      <c r="N447" s="11">
        <v>1985</v>
      </c>
      <c r="O447" s="15"/>
      <c r="P447" s="8">
        <v>44166</v>
      </c>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4" t="s">
        <v>2068</v>
      </c>
      <c r="AY447" s="5" t="s">
        <v>2197</v>
      </c>
      <c r="AZ447" s="5" t="s">
        <v>38</v>
      </c>
      <c r="BA447" s="12"/>
      <c r="BB447" s="12"/>
      <c r="BC447" s="12"/>
      <c r="BD447" s="11">
        <v>0</v>
      </c>
      <c r="BE447" s="11">
        <v>0</v>
      </c>
    </row>
    <row x14ac:dyDescent="0.25" r="448" customHeight="1" ht="17.25">
      <c r="A448" s="11">
        <v>50403455</v>
      </c>
      <c r="B448" s="4" t="s">
        <v>2198</v>
      </c>
      <c r="C448" s="5" t="s">
        <v>2199</v>
      </c>
      <c r="D448" s="5" t="s">
        <v>2200</v>
      </c>
      <c r="E448" s="12"/>
      <c r="F448" s="13">
        <f>"0374207941"</f>
      </c>
      <c r="G448" s="13">
        <f>"9780374207946"</f>
      </c>
      <c r="H448" s="11">
        <v>0</v>
      </c>
      <c r="I448" s="14">
        <v>3.89</v>
      </c>
      <c r="J448" s="7" t="s">
        <v>120</v>
      </c>
      <c r="K448" s="5" t="s">
        <v>72</v>
      </c>
      <c r="L448" s="11">
        <v>352</v>
      </c>
      <c r="M448" s="11">
        <v>2020</v>
      </c>
      <c r="N448" s="11">
        <v>2020</v>
      </c>
      <c r="O448" s="15"/>
      <c r="P448" s="8">
        <v>44198</v>
      </c>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4" t="s">
        <v>1995</v>
      </c>
      <c r="AY448" s="5" t="s">
        <v>2201</v>
      </c>
      <c r="AZ448" s="5" t="s">
        <v>38</v>
      </c>
      <c r="BA448" s="12"/>
      <c r="BB448" s="12"/>
      <c r="BC448" s="12"/>
      <c r="BD448" s="11">
        <v>0</v>
      </c>
      <c r="BE448" s="11">
        <v>0</v>
      </c>
    </row>
    <row x14ac:dyDescent="0.25" r="449" customHeight="1" ht="17.25">
      <c r="A449" s="11">
        <v>13403051</v>
      </c>
      <c r="B449" s="4" t="s">
        <v>2202</v>
      </c>
      <c r="C449" s="5" t="s">
        <v>2203</v>
      </c>
      <c r="D449" s="5" t="s">
        <v>2204</v>
      </c>
      <c r="E449" s="5" t="s">
        <v>2205</v>
      </c>
      <c r="F449" s="13">
        <f>"0670023736"</f>
      </c>
      <c r="G449" s="13">
        <f>"9780670023738"</f>
      </c>
      <c r="H449" s="11">
        <v>0</v>
      </c>
      <c r="I449" s="14">
        <v>3.71</v>
      </c>
      <c r="J449" s="7" t="s">
        <v>2206</v>
      </c>
      <c r="K449" s="5" t="s">
        <v>72</v>
      </c>
      <c r="L449" s="11">
        <v>275</v>
      </c>
      <c r="M449" s="11">
        <v>2012</v>
      </c>
      <c r="N449" s="11">
        <v>2012</v>
      </c>
      <c r="O449" s="15"/>
      <c r="P449" s="8">
        <v>44205</v>
      </c>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4" t="s">
        <v>2068</v>
      </c>
      <c r="AY449" s="5" t="s">
        <v>2207</v>
      </c>
      <c r="AZ449" s="5" t="s">
        <v>38</v>
      </c>
      <c r="BA449" s="12"/>
      <c r="BB449" s="12"/>
      <c r="BC449" s="12"/>
      <c r="BD449" s="11">
        <v>0</v>
      </c>
      <c r="BE449" s="11">
        <v>0</v>
      </c>
    </row>
    <row x14ac:dyDescent="0.25" r="450" customHeight="1" ht="17.25">
      <c r="A450" s="11">
        <v>40121985</v>
      </c>
      <c r="B450" s="4" t="s">
        <v>2208</v>
      </c>
      <c r="C450" s="5" t="s">
        <v>2209</v>
      </c>
      <c r="D450" s="5" t="s">
        <v>2210</v>
      </c>
      <c r="E450" s="12"/>
      <c r="F450" s="13">
        <f>"0374172145"</f>
      </c>
      <c r="G450" s="13">
        <f>"9780374172145"</f>
      </c>
      <c r="H450" s="11">
        <v>0</v>
      </c>
      <c r="I450" s="14">
        <v>4.46</v>
      </c>
      <c r="J450" s="7" t="s">
        <v>120</v>
      </c>
      <c r="K450" s="5" t="s">
        <v>72</v>
      </c>
      <c r="L450" s="11">
        <v>513</v>
      </c>
      <c r="M450" s="11">
        <v>2019</v>
      </c>
      <c r="N450" s="11">
        <v>2019</v>
      </c>
      <c r="O450" s="15"/>
      <c r="P450" s="9">
        <v>44165</v>
      </c>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4" t="s">
        <v>2068</v>
      </c>
      <c r="AY450" s="5" t="s">
        <v>2211</v>
      </c>
      <c r="AZ450" s="5" t="s">
        <v>38</v>
      </c>
      <c r="BA450" s="12"/>
      <c r="BB450" s="12"/>
      <c r="BC450" s="12"/>
      <c r="BD450" s="11">
        <v>0</v>
      </c>
      <c r="BE450" s="11">
        <v>0</v>
      </c>
    </row>
    <row x14ac:dyDescent="0.25" r="451" customHeight="1" ht="17.25">
      <c r="A451" s="11">
        <v>34227425</v>
      </c>
      <c r="B451" s="4" t="s">
        <v>2212</v>
      </c>
      <c r="C451" s="5" t="s">
        <v>2213</v>
      </c>
      <c r="D451" s="5" t="s">
        <v>2214</v>
      </c>
      <c r="E451" s="12"/>
      <c r="F451" s="13">
        <f>"022647075X"</f>
      </c>
      <c r="G451" s="13">
        <f>"9780226470757"</f>
      </c>
      <c r="H451" s="11">
        <v>0</v>
      </c>
      <c r="I451" s="14">
        <v>3.99</v>
      </c>
      <c r="J451" s="7" t="s">
        <v>255</v>
      </c>
      <c r="K451" s="5" t="s">
        <v>72</v>
      </c>
      <c r="L451" s="11">
        <v>352</v>
      </c>
      <c r="M451" s="11">
        <v>2017</v>
      </c>
      <c r="N451" s="16"/>
      <c r="O451" s="15"/>
      <c r="P451" s="8">
        <v>44018</v>
      </c>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4" t="s">
        <v>2215</v>
      </c>
      <c r="AY451" s="5" t="s">
        <v>2216</v>
      </c>
      <c r="AZ451" s="5" t="s">
        <v>38</v>
      </c>
      <c r="BA451" s="12"/>
      <c r="BB451" s="12"/>
      <c r="BC451" s="12"/>
      <c r="BD451" s="11">
        <v>0</v>
      </c>
      <c r="BE451" s="11">
        <v>0</v>
      </c>
    </row>
    <row x14ac:dyDescent="0.25" r="452" customHeight="1" ht="17.25">
      <c r="A452" s="11">
        <v>47632</v>
      </c>
      <c r="B452" s="4" t="s">
        <v>2217</v>
      </c>
      <c r="C452" s="5" t="s">
        <v>2218</v>
      </c>
      <c r="D452" s="5" t="s">
        <v>2219</v>
      </c>
      <c r="E452" s="12"/>
      <c r="F452" s="13">
        <f>"0393927695"</f>
      </c>
      <c r="G452" s="13">
        <f>"9780393927696"</f>
      </c>
      <c r="H452" s="11">
        <v>0</v>
      </c>
      <c r="I452" s="14">
        <v>3.93</v>
      </c>
      <c r="J452" s="7" t="s">
        <v>144</v>
      </c>
      <c r="K452" s="5" t="s">
        <v>60</v>
      </c>
      <c r="L452" s="11">
        <v>352</v>
      </c>
      <c r="M452" s="11">
        <v>2005</v>
      </c>
      <c r="N452" s="11">
        <v>2000</v>
      </c>
      <c r="O452" s="15"/>
      <c r="P452" s="9">
        <v>44165</v>
      </c>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4" t="s">
        <v>2068</v>
      </c>
      <c r="AY452" s="5" t="s">
        <v>2220</v>
      </c>
      <c r="AZ452" s="5" t="s">
        <v>38</v>
      </c>
      <c r="BA452" s="12"/>
      <c r="BB452" s="12"/>
      <c r="BC452" s="12"/>
      <c r="BD452" s="11">
        <v>0</v>
      </c>
      <c r="BE452" s="11">
        <v>0</v>
      </c>
    </row>
    <row x14ac:dyDescent="0.25" r="453" customHeight="1" ht="17.25">
      <c r="A453" s="11">
        <v>7243316</v>
      </c>
      <c r="B453" s="4" t="s">
        <v>2221</v>
      </c>
      <c r="C453" s="5" t="s">
        <v>2222</v>
      </c>
      <c r="D453" s="5" t="s">
        <v>2223</v>
      </c>
      <c r="E453" s="12"/>
      <c r="F453" s="13">
        <f>"0374251479"</f>
      </c>
      <c r="G453" s="13">
        <f>"9780374251475"</f>
      </c>
      <c r="H453" s="11">
        <v>0</v>
      </c>
      <c r="I453" s="14">
        <v>4.06</v>
      </c>
      <c r="J453" s="7" t="s">
        <v>120</v>
      </c>
      <c r="K453" s="5" t="s">
        <v>72</v>
      </c>
      <c r="L453" s="11">
        <v>304</v>
      </c>
      <c r="M453" s="11">
        <v>2010</v>
      </c>
      <c r="N453" s="11">
        <v>2010</v>
      </c>
      <c r="O453" s="15"/>
      <c r="P453" s="8">
        <v>43952</v>
      </c>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4" t="s">
        <v>1995</v>
      </c>
      <c r="AY453" s="5" t="s">
        <v>2224</v>
      </c>
      <c r="AZ453" s="5" t="s">
        <v>38</v>
      </c>
      <c r="BA453" s="12"/>
      <c r="BB453" s="12"/>
      <c r="BC453" s="12"/>
      <c r="BD453" s="11">
        <v>0</v>
      </c>
      <c r="BE453" s="11">
        <v>0</v>
      </c>
    </row>
    <row x14ac:dyDescent="0.25" r="454" customHeight="1" ht="17.25">
      <c r="A454" s="11">
        <v>1231982</v>
      </c>
      <c r="B454" s="4" t="s">
        <v>2225</v>
      </c>
      <c r="C454" s="5" t="s">
        <v>1582</v>
      </c>
      <c r="D454" s="5" t="s">
        <v>1583</v>
      </c>
      <c r="E454" s="12"/>
      <c r="F454" s="13">
        <f>"0140044507"</f>
      </c>
      <c r="G454" s="13">
        <f>"9780140044508"</f>
      </c>
      <c r="H454" s="11">
        <v>0</v>
      </c>
      <c r="I454" s="14">
        <v>4.2</v>
      </c>
      <c r="J454" s="7" t="s">
        <v>491</v>
      </c>
      <c r="K454" s="5" t="s">
        <v>60</v>
      </c>
      <c r="L454" s="11">
        <v>312</v>
      </c>
      <c r="M454" s="11">
        <v>1977</v>
      </c>
      <c r="N454" s="11">
        <v>1963</v>
      </c>
      <c r="O454" s="15"/>
      <c r="P454" s="8">
        <v>43160</v>
      </c>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4" t="s">
        <v>2015</v>
      </c>
      <c r="AY454" s="5" t="s">
        <v>2226</v>
      </c>
      <c r="AZ454" s="5" t="s">
        <v>38</v>
      </c>
      <c r="BA454" s="12"/>
      <c r="BB454" s="12"/>
      <c r="BC454" s="12"/>
      <c r="BD454" s="11">
        <v>0</v>
      </c>
      <c r="BE454" s="11">
        <v>1</v>
      </c>
    </row>
    <row x14ac:dyDescent="0.25" r="455" customHeight="1" ht="17.25">
      <c r="A455" s="11">
        <v>2155366</v>
      </c>
      <c r="B455" s="4" t="s">
        <v>2227</v>
      </c>
      <c r="C455" s="5" t="s">
        <v>2228</v>
      </c>
      <c r="D455" s="5" t="s">
        <v>2229</v>
      </c>
      <c r="E455" s="12"/>
      <c r="F455" s="13">
        <f>"1555218067"</f>
      </c>
      <c r="G455" s="13">
        <f>"9781555218065"</f>
      </c>
      <c r="H455" s="11">
        <v>0</v>
      </c>
      <c r="I455" s="14">
        <v>3.72</v>
      </c>
      <c r="J455" s="7" t="s">
        <v>2230</v>
      </c>
      <c r="K455" s="5" t="s">
        <v>72</v>
      </c>
      <c r="L455" s="11">
        <v>353</v>
      </c>
      <c r="M455" s="11">
        <v>1992</v>
      </c>
      <c r="N455" s="11">
        <v>1926</v>
      </c>
      <c r="O455" s="15"/>
      <c r="P455" s="8">
        <v>43968</v>
      </c>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4" t="s">
        <v>2068</v>
      </c>
      <c r="AY455" s="5" t="s">
        <v>2231</v>
      </c>
      <c r="AZ455" s="5" t="s">
        <v>38</v>
      </c>
      <c r="BA455" s="12"/>
      <c r="BB455" s="12"/>
      <c r="BC455" s="12"/>
      <c r="BD455" s="11">
        <v>0</v>
      </c>
      <c r="BE455" s="11">
        <v>0</v>
      </c>
    </row>
    <row x14ac:dyDescent="0.25" r="456" customHeight="1" ht="17.25">
      <c r="A456" s="11">
        <v>270008</v>
      </c>
      <c r="B456" s="4" t="s">
        <v>2232</v>
      </c>
      <c r="C456" s="5" t="s">
        <v>2233</v>
      </c>
      <c r="D456" s="5" t="s">
        <v>2234</v>
      </c>
      <c r="E456" s="12"/>
      <c r="F456" s="13">
        <f>"067003407X"</f>
      </c>
      <c r="G456" s="13">
        <f>"9780670034079"</f>
      </c>
      <c r="H456" s="11">
        <v>0</v>
      </c>
      <c r="I456" s="14">
        <v>3.97</v>
      </c>
      <c r="J456" s="7" t="s">
        <v>2235</v>
      </c>
      <c r="K456" s="5" t="s">
        <v>72</v>
      </c>
      <c r="L456" s="11">
        <v>448</v>
      </c>
      <c r="M456" s="11">
        <v>2005</v>
      </c>
      <c r="N456" s="11">
        <v>2005</v>
      </c>
      <c r="O456" s="15"/>
      <c r="P456" s="8">
        <v>43255</v>
      </c>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4" t="s">
        <v>2068</v>
      </c>
      <c r="AY456" s="5" t="s">
        <v>2236</v>
      </c>
      <c r="AZ456" s="5" t="s">
        <v>38</v>
      </c>
      <c r="BA456" s="12"/>
      <c r="BB456" s="12"/>
      <c r="BC456" s="12"/>
      <c r="BD456" s="11">
        <v>0</v>
      </c>
      <c r="BE456" s="11">
        <v>0</v>
      </c>
    </row>
    <row x14ac:dyDescent="0.25" r="457" customHeight="1" ht="17.25">
      <c r="A457" s="11">
        <v>22955625</v>
      </c>
      <c r="B457" s="4" t="s">
        <v>2237</v>
      </c>
      <c r="C457" s="5" t="s">
        <v>2238</v>
      </c>
      <c r="D457" s="5" t="s">
        <v>2239</v>
      </c>
      <c r="E457" s="12"/>
      <c r="F457" s="13">
        <f>"1782793429"</f>
      </c>
      <c r="G457" s="13">
        <f>"9781782793427"</f>
      </c>
      <c r="H457" s="11">
        <v>0</v>
      </c>
      <c r="I457" s="14">
        <v>3.26</v>
      </c>
      <c r="J457" s="7" t="s">
        <v>2240</v>
      </c>
      <c r="K457" s="5" t="s">
        <v>60</v>
      </c>
      <c r="L457" s="11">
        <v>213</v>
      </c>
      <c r="M457" s="11">
        <v>2014</v>
      </c>
      <c r="N457" s="11">
        <v>2014</v>
      </c>
      <c r="O457" s="15"/>
      <c r="P457" s="8">
        <v>43101</v>
      </c>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4" t="s">
        <v>2068</v>
      </c>
      <c r="AY457" s="5" t="s">
        <v>2241</v>
      </c>
      <c r="AZ457" s="5" t="s">
        <v>38</v>
      </c>
      <c r="BA457" s="12"/>
      <c r="BB457" s="12"/>
      <c r="BC457" s="12"/>
      <c r="BD457" s="11">
        <v>0</v>
      </c>
      <c r="BE457" s="11">
        <v>0</v>
      </c>
    </row>
    <row x14ac:dyDescent="0.25" r="458" customHeight="1" ht="17.25">
      <c r="A458" s="11">
        <v>5089290</v>
      </c>
      <c r="B458" s="4" t="s">
        <v>2242</v>
      </c>
      <c r="C458" s="5" t="s">
        <v>2243</v>
      </c>
      <c r="D458" s="5" t="s">
        <v>2244</v>
      </c>
      <c r="E458" s="12"/>
      <c r="F458" s="13">
        <f>"1931859558"</f>
      </c>
      <c r="G458" s="13">
        <f>"9781931859554"</f>
      </c>
      <c r="H458" s="11">
        <v>0</v>
      </c>
      <c r="I458" s="11">
        <v>4</v>
      </c>
      <c r="J458" s="7" t="s">
        <v>2245</v>
      </c>
      <c r="K458" s="5" t="s">
        <v>60</v>
      </c>
      <c r="L458" s="11">
        <v>260</v>
      </c>
      <c r="M458" s="11">
        <v>2008</v>
      </c>
      <c r="N458" s="11">
        <v>2008</v>
      </c>
      <c r="O458" s="15"/>
      <c r="P458" s="9">
        <v>43069</v>
      </c>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4" t="s">
        <v>2068</v>
      </c>
      <c r="AY458" s="5" t="s">
        <v>2246</v>
      </c>
      <c r="AZ458" s="5" t="s">
        <v>38</v>
      </c>
      <c r="BA458" s="12"/>
      <c r="BB458" s="12"/>
      <c r="BC458" s="12"/>
      <c r="BD458" s="11">
        <v>0</v>
      </c>
      <c r="BE458" s="11">
        <v>0</v>
      </c>
    </row>
    <row x14ac:dyDescent="0.25" r="459" customHeight="1" ht="17.25">
      <c r="A459" s="11">
        <v>23847935</v>
      </c>
      <c r="B459" s="4" t="s">
        <v>2247</v>
      </c>
      <c r="C459" s="5" t="s">
        <v>2248</v>
      </c>
      <c r="D459" s="5" t="s">
        <v>2249</v>
      </c>
      <c r="E459" s="12"/>
      <c r="F459" s="13">
        <f>"0374161801"</f>
      </c>
      <c r="G459" s="13">
        <f>"9780374161804"</f>
      </c>
      <c r="H459" s="11">
        <v>0</v>
      </c>
      <c r="I459" s="14">
        <v>3.75</v>
      </c>
      <c r="J459" s="7" t="s">
        <v>120</v>
      </c>
      <c r="K459" s="5" t="s">
        <v>72</v>
      </c>
      <c r="L459" s="11">
        <v>304</v>
      </c>
      <c r="M459" s="11">
        <v>2016</v>
      </c>
      <c r="N459" s="11">
        <v>2015</v>
      </c>
      <c r="O459" s="15"/>
      <c r="P459" s="8">
        <v>42492</v>
      </c>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4" t="s">
        <v>2068</v>
      </c>
      <c r="AY459" s="5" t="s">
        <v>2250</v>
      </c>
      <c r="AZ459" s="5" t="s">
        <v>38</v>
      </c>
      <c r="BA459" s="12"/>
      <c r="BB459" s="12"/>
      <c r="BC459" s="12"/>
      <c r="BD459" s="11">
        <v>0</v>
      </c>
      <c r="BE459" s="11">
        <v>0</v>
      </c>
    </row>
    <row x14ac:dyDescent="0.25" r="460" customHeight="1" ht="17.25">
      <c r="A460" s="11">
        <v>10641702</v>
      </c>
      <c r="B460" s="4" t="s">
        <v>2251</v>
      </c>
      <c r="C460" s="5" t="s">
        <v>2252</v>
      </c>
      <c r="D460" s="5" t="s">
        <v>2253</v>
      </c>
      <c r="E460" s="12"/>
      <c r="F460" s="13">
        <f>"1844676927"</f>
      </c>
      <c r="G460" s="13">
        <f>"9781844676927"</f>
      </c>
      <c r="H460" s="11">
        <v>0</v>
      </c>
      <c r="I460" s="14">
        <v>3.7</v>
      </c>
      <c r="J460" s="7" t="s">
        <v>2001</v>
      </c>
      <c r="K460" s="5" t="s">
        <v>72</v>
      </c>
      <c r="L460" s="11">
        <v>192</v>
      </c>
      <c r="M460" s="11">
        <v>2011</v>
      </c>
      <c r="N460" s="11">
        <v>2009</v>
      </c>
      <c r="O460" s="15"/>
      <c r="P460" s="8">
        <v>43048</v>
      </c>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4" t="s">
        <v>1995</v>
      </c>
      <c r="AY460" s="5" t="s">
        <v>2254</v>
      </c>
      <c r="AZ460" s="5" t="s">
        <v>38</v>
      </c>
      <c r="BA460" s="12"/>
      <c r="BB460" s="12"/>
      <c r="BC460" s="12"/>
      <c r="BD460" s="11">
        <v>0</v>
      </c>
      <c r="BE460" s="11">
        <v>0</v>
      </c>
    </row>
    <row x14ac:dyDescent="0.25" r="461" customHeight="1" ht="17.25">
      <c r="A461" s="11">
        <v>224994</v>
      </c>
      <c r="B461" s="4" t="s">
        <v>2255</v>
      </c>
      <c r="C461" s="5" t="s">
        <v>2256</v>
      </c>
      <c r="D461" s="5" t="s">
        <v>2257</v>
      </c>
      <c r="E461" s="12"/>
      <c r="F461" s="13">
        <f>"0553147374"</f>
      </c>
      <c r="G461" s="13">
        <f>"9780553147377"</f>
      </c>
      <c r="H461" s="11">
        <v>0</v>
      </c>
      <c r="I461" s="14">
        <v>3.86</v>
      </c>
      <c r="J461" s="7" t="s">
        <v>1950</v>
      </c>
      <c r="K461" s="5" t="s">
        <v>60</v>
      </c>
      <c r="L461" s="11">
        <v>206</v>
      </c>
      <c r="M461" s="11">
        <v>1981</v>
      </c>
      <c r="N461" s="11">
        <v>1978</v>
      </c>
      <c r="O461" s="15"/>
      <c r="P461" s="8">
        <v>41056</v>
      </c>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4" t="s">
        <v>1995</v>
      </c>
      <c r="AY461" s="5" t="s">
        <v>2258</v>
      </c>
      <c r="AZ461" s="5" t="s">
        <v>38</v>
      </c>
      <c r="BA461" s="12"/>
      <c r="BB461" s="12"/>
      <c r="BC461" s="12"/>
      <c r="BD461" s="11">
        <v>0</v>
      </c>
      <c r="BE461" s="11">
        <v>0</v>
      </c>
    </row>
    <row x14ac:dyDescent="0.25" r="462" customHeight="1" ht="17.25">
      <c r="A462" s="11">
        <v>22584</v>
      </c>
      <c r="B462" s="4" t="s">
        <v>2259</v>
      </c>
      <c r="C462" s="5" t="s">
        <v>2260</v>
      </c>
      <c r="D462" s="5" t="s">
        <v>2261</v>
      </c>
      <c r="E462" s="5" t="s">
        <v>2262</v>
      </c>
      <c r="F462" s="13">
        <f>"1857983416"</f>
      </c>
      <c r="G462" s="13">
        <f>"9781857983418"</f>
      </c>
      <c r="H462" s="11">
        <v>0</v>
      </c>
      <c r="I462" s="14">
        <v>3.92</v>
      </c>
      <c r="J462" s="7" t="s">
        <v>2263</v>
      </c>
      <c r="K462" s="5" t="s">
        <v>60</v>
      </c>
      <c r="L462" s="11">
        <v>204</v>
      </c>
      <c r="M462" s="11">
        <v>2001</v>
      </c>
      <c r="N462" s="11">
        <v>1974</v>
      </c>
      <c r="O462" s="15"/>
      <c r="P462" s="8">
        <v>45129</v>
      </c>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4" t="s">
        <v>1995</v>
      </c>
      <c r="AY462" s="5" t="s">
        <v>2264</v>
      </c>
      <c r="AZ462" s="5" t="s">
        <v>38</v>
      </c>
      <c r="BA462" s="12"/>
      <c r="BB462" s="12"/>
      <c r="BC462" s="12"/>
      <c r="BD462" s="11">
        <v>0</v>
      </c>
      <c r="BE462" s="11">
        <v>0</v>
      </c>
    </row>
    <row x14ac:dyDescent="0.25" r="463" customHeight="1" ht="17.25">
      <c r="A463" s="11">
        <v>17661117</v>
      </c>
      <c r="B463" s="4" t="s">
        <v>2265</v>
      </c>
      <c r="C463" s="5" t="s">
        <v>2266</v>
      </c>
      <c r="D463" s="5" t="s">
        <v>2267</v>
      </c>
      <c r="E463" s="12"/>
      <c r="F463" s="13">
        <f>""</f>
      </c>
      <c r="G463" s="13">
        <f>""</f>
      </c>
      <c r="H463" s="11">
        <v>0</v>
      </c>
      <c r="I463" s="14">
        <v>4.08</v>
      </c>
      <c r="J463" s="7" t="s">
        <v>2268</v>
      </c>
      <c r="K463" s="5" t="s">
        <v>72</v>
      </c>
      <c r="L463" s="11">
        <v>361</v>
      </c>
      <c r="M463" s="11">
        <v>1972</v>
      </c>
      <c r="N463" s="11">
        <v>1948</v>
      </c>
      <c r="O463" s="15"/>
      <c r="P463" s="8">
        <v>45161</v>
      </c>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4" t="s">
        <v>2269</v>
      </c>
      <c r="AY463" s="5" t="s">
        <v>2270</v>
      </c>
      <c r="AZ463" s="5" t="s">
        <v>38</v>
      </c>
      <c r="BA463" s="12"/>
      <c r="BB463" s="12"/>
      <c r="BC463" s="12"/>
      <c r="BD463" s="11">
        <v>0</v>
      </c>
      <c r="BE463" s="11">
        <v>1</v>
      </c>
    </row>
    <row x14ac:dyDescent="0.25" r="464" customHeight="1" ht="17.25">
      <c r="A464" s="11">
        <v>16059837</v>
      </c>
      <c r="B464" s="4" t="s">
        <v>2271</v>
      </c>
      <c r="C464" s="5" t="s">
        <v>2272</v>
      </c>
      <c r="D464" s="5" t="s">
        <v>2273</v>
      </c>
      <c r="E464" s="5" t="s">
        <v>2274</v>
      </c>
      <c r="F464" s="13">
        <f>"1455573825"</f>
      </c>
      <c r="G464" s="13">
        <f>"9781455573820"</f>
      </c>
      <c r="H464" s="11">
        <v>0</v>
      </c>
      <c r="I464" s="14">
        <v>3.76</v>
      </c>
      <c r="J464" s="7" t="s">
        <v>2275</v>
      </c>
      <c r="K464" s="5" t="s">
        <v>60</v>
      </c>
      <c r="L464" s="11">
        <v>368</v>
      </c>
      <c r="M464" s="11">
        <v>2013</v>
      </c>
      <c r="N464" s="11">
        <v>2008</v>
      </c>
      <c r="O464" s="15"/>
      <c r="P464" s="8">
        <v>45113</v>
      </c>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4" t="s">
        <v>2015</v>
      </c>
      <c r="AY464" s="5" t="s">
        <v>2276</v>
      </c>
      <c r="AZ464" s="5" t="s">
        <v>38</v>
      </c>
      <c r="BA464" s="12"/>
      <c r="BB464" s="12"/>
      <c r="BC464" s="12"/>
      <c r="BD464" s="11">
        <v>0</v>
      </c>
      <c r="BE464" s="11">
        <v>1</v>
      </c>
    </row>
    <row x14ac:dyDescent="0.25" r="465" customHeight="1" ht="17.25">
      <c r="A465" s="11">
        <v>105992</v>
      </c>
      <c r="B465" s="4" t="s">
        <v>2277</v>
      </c>
      <c r="C465" s="5" t="s">
        <v>2278</v>
      </c>
      <c r="D465" s="5" t="s">
        <v>2279</v>
      </c>
      <c r="E465" s="5" t="s">
        <v>2280</v>
      </c>
      <c r="F465" s="13">
        <f>"0393322238"</f>
      </c>
      <c r="G465" s="13">
        <f>"9780393322231"</f>
      </c>
      <c r="H465" s="11">
        <v>0</v>
      </c>
      <c r="I465" s="14">
        <v>4.06</v>
      </c>
      <c r="J465" s="7" t="s">
        <v>2281</v>
      </c>
      <c r="K465" s="5" t="s">
        <v>60</v>
      </c>
      <c r="L465" s="11">
        <v>689</v>
      </c>
      <c r="M465" s="11">
        <v>2001</v>
      </c>
      <c r="N465" s="11">
        <v>1974</v>
      </c>
      <c r="O465" s="15"/>
      <c r="P465" s="8">
        <v>41035</v>
      </c>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4" t="s">
        <v>2015</v>
      </c>
      <c r="AY465" s="5" t="s">
        <v>2282</v>
      </c>
      <c r="AZ465" s="5" t="s">
        <v>38</v>
      </c>
      <c r="BA465" s="12"/>
      <c r="BB465" s="12"/>
      <c r="BC465" s="12"/>
      <c r="BD465" s="11">
        <v>0</v>
      </c>
      <c r="BE465" s="11">
        <v>1</v>
      </c>
    </row>
    <row x14ac:dyDescent="0.25" r="466" customHeight="1" ht="17.25">
      <c r="A466" s="11">
        <v>5632446</v>
      </c>
      <c r="B466" s="4" t="s">
        <v>2283</v>
      </c>
      <c r="C466" s="5" t="s">
        <v>2284</v>
      </c>
      <c r="D466" s="5" t="s">
        <v>2285</v>
      </c>
      <c r="E466" s="12"/>
      <c r="F466" s="13">
        <f>"0446546933"</f>
      </c>
      <c r="G466" s="13">
        <f>"9780446546935"</f>
      </c>
      <c r="H466" s="11">
        <v>4</v>
      </c>
      <c r="I466" s="14">
        <v>4.28</v>
      </c>
      <c r="J466" s="7" t="s">
        <v>2286</v>
      </c>
      <c r="K466" s="5" t="s">
        <v>72</v>
      </c>
      <c r="L466" s="11">
        <v>417</v>
      </c>
      <c r="M466" s="11">
        <v>2009</v>
      </c>
      <c r="N466" s="11">
        <v>2009</v>
      </c>
      <c r="O466" s="8">
        <v>41120</v>
      </c>
      <c r="P466" s="8">
        <v>40915</v>
      </c>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4" t="s">
        <v>2287</v>
      </c>
      <c r="AY466" s="5" t="s">
        <v>2288</v>
      </c>
      <c r="AZ466" s="5" t="s">
        <v>158</v>
      </c>
      <c r="BA466" s="5" t="s">
        <v>2289</v>
      </c>
      <c r="BB466" s="12"/>
      <c r="BC466" s="12"/>
      <c r="BD466" s="11">
        <v>1</v>
      </c>
      <c r="BE466" s="11">
        <v>1</v>
      </c>
    </row>
    <row x14ac:dyDescent="0.25" r="467" customHeight="1" ht="17.25">
      <c r="A467" s="11">
        <v>18777894</v>
      </c>
      <c r="B467" s="4" t="s">
        <v>2290</v>
      </c>
      <c r="C467" s="5" t="s">
        <v>2291</v>
      </c>
      <c r="D467" s="5" t="s">
        <v>2292</v>
      </c>
      <c r="E467" s="12"/>
      <c r="F467" s="13">
        <f>"3836549360"</f>
      </c>
      <c r="G467" s="13">
        <f>"9783836549363"</f>
      </c>
      <c r="H467" s="11">
        <v>0</v>
      </c>
      <c r="I467" s="14">
        <v>4.26</v>
      </c>
      <c r="J467" s="7" t="s">
        <v>2293</v>
      </c>
      <c r="K467" s="5" t="s">
        <v>72</v>
      </c>
      <c r="L467" s="11">
        <v>575</v>
      </c>
      <c r="M467" s="11">
        <v>2014</v>
      </c>
      <c r="N467" s="11">
        <v>1996</v>
      </c>
      <c r="O467" s="15"/>
      <c r="P467" s="8">
        <v>44814</v>
      </c>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4" t="s">
        <v>2294</v>
      </c>
      <c r="AY467" s="5" t="s">
        <v>2295</v>
      </c>
      <c r="AZ467" s="5" t="s">
        <v>38</v>
      </c>
      <c r="BA467" s="12"/>
      <c r="BB467" s="12"/>
      <c r="BC467" s="12"/>
      <c r="BD467" s="11">
        <v>0</v>
      </c>
      <c r="BE467" s="11">
        <v>1</v>
      </c>
    </row>
    <row x14ac:dyDescent="0.25" r="468" customHeight="1" ht="17.25">
      <c r="A468" s="11">
        <v>2703756</v>
      </c>
      <c r="B468" s="4" t="s">
        <v>2296</v>
      </c>
      <c r="C468" s="5" t="s">
        <v>2297</v>
      </c>
      <c r="D468" s="5" t="s">
        <v>2298</v>
      </c>
      <c r="E468" s="12"/>
      <c r="F468" s="13">
        <f>"096584319X"</f>
      </c>
      <c r="G468" s="13">
        <f>"9780965843195"</f>
      </c>
      <c r="H468" s="11">
        <v>0</v>
      </c>
      <c r="I468" s="14">
        <v>3.8</v>
      </c>
      <c r="J468" s="7" t="s">
        <v>231</v>
      </c>
      <c r="K468" s="5" t="s">
        <v>60</v>
      </c>
      <c r="L468" s="11">
        <v>628</v>
      </c>
      <c r="M468" s="11">
        <v>1997</v>
      </c>
      <c r="N468" s="11">
        <v>1996</v>
      </c>
      <c r="O468" s="15"/>
      <c r="P468" s="8">
        <v>45129</v>
      </c>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4" t="s">
        <v>2015</v>
      </c>
      <c r="AY468" s="5" t="s">
        <v>2299</v>
      </c>
      <c r="AZ468" s="5" t="s">
        <v>38</v>
      </c>
      <c r="BA468" s="12"/>
      <c r="BB468" s="12"/>
      <c r="BC468" s="12"/>
      <c r="BD468" s="11">
        <v>0</v>
      </c>
      <c r="BE468" s="11">
        <v>1</v>
      </c>
    </row>
    <row x14ac:dyDescent="0.25" r="469" customHeight="1" ht="17.25">
      <c r="A469" s="11">
        <v>30265353</v>
      </c>
      <c r="B469" s="4" t="s">
        <v>2300</v>
      </c>
      <c r="C469" s="5" t="s">
        <v>2301</v>
      </c>
      <c r="D469" s="5" t="s">
        <v>2302</v>
      </c>
      <c r="E469" s="12"/>
      <c r="F469" s="13">
        <f>"1786630680"</f>
      </c>
      <c r="G469" s="13">
        <f>"9781786630681"</f>
      </c>
      <c r="H469" s="11">
        <v>0</v>
      </c>
      <c r="I469" s="14">
        <v>4.17</v>
      </c>
      <c r="J469" s="7" t="s">
        <v>2001</v>
      </c>
      <c r="K469" s="5" t="s">
        <v>60</v>
      </c>
      <c r="L469" s="11">
        <v>224</v>
      </c>
      <c r="M469" s="11">
        <v>2017</v>
      </c>
      <c r="N469" s="11">
        <v>1999</v>
      </c>
      <c r="O469" s="15"/>
      <c r="P469" s="8">
        <v>45129</v>
      </c>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4" t="s">
        <v>2015</v>
      </c>
      <c r="AY469" s="5" t="s">
        <v>2303</v>
      </c>
      <c r="AZ469" s="5" t="s">
        <v>38</v>
      </c>
      <c r="BA469" s="12"/>
      <c r="BB469" s="12"/>
      <c r="BC469" s="12"/>
      <c r="BD469" s="11">
        <v>0</v>
      </c>
      <c r="BE469" s="11">
        <v>1</v>
      </c>
    </row>
    <row x14ac:dyDescent="0.25" r="470" customHeight="1" ht="17.25">
      <c r="A470" s="11">
        <v>8912426</v>
      </c>
      <c r="B470" s="4" t="s">
        <v>2304</v>
      </c>
      <c r="C470" s="5" t="s">
        <v>2305</v>
      </c>
      <c r="D470" s="5" t="s">
        <v>2306</v>
      </c>
      <c r="E470" s="12"/>
      <c r="F470" s="13">
        <f>"0312671938"</f>
      </c>
      <c r="G470" s="13">
        <f>"9780312671938"</f>
      </c>
      <c r="H470" s="11">
        <v>0</v>
      </c>
      <c r="I470" s="14">
        <v>4.06</v>
      </c>
      <c r="J470" s="7" t="s">
        <v>2166</v>
      </c>
      <c r="K470" s="5" t="s">
        <v>60</v>
      </c>
      <c r="L470" s="11">
        <v>360</v>
      </c>
      <c r="M470" s="11">
        <v>2010</v>
      </c>
      <c r="N470" s="11">
        <v>1994</v>
      </c>
      <c r="O470" s="15"/>
      <c r="P470" s="8">
        <v>42545</v>
      </c>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4" t="s">
        <v>2307</v>
      </c>
      <c r="AY470" s="5" t="s">
        <v>2308</v>
      </c>
      <c r="AZ470" s="5" t="s">
        <v>38</v>
      </c>
      <c r="BA470" s="12"/>
      <c r="BB470" s="12"/>
      <c r="BC470" s="12"/>
      <c r="BD470" s="11">
        <v>0</v>
      </c>
      <c r="BE470" s="11">
        <v>1</v>
      </c>
    </row>
    <row x14ac:dyDescent="0.25" r="471" customHeight="1" ht="17.25">
      <c r="A471" s="11">
        <v>12053371</v>
      </c>
      <c r="B471" s="4" t="s">
        <v>2309</v>
      </c>
      <c r="C471" s="5" t="s">
        <v>2310</v>
      </c>
      <c r="D471" s="5" t="s">
        <v>2311</v>
      </c>
      <c r="E471" s="12"/>
      <c r="F471" s="13">
        <f>"0807044431"</f>
      </c>
      <c r="G471" s="13">
        <f>"9780807044438"</f>
      </c>
      <c r="H471" s="11">
        <v>5</v>
      </c>
      <c r="I471" s="14">
        <v>3.77</v>
      </c>
      <c r="J471" s="7" t="s">
        <v>861</v>
      </c>
      <c r="K471" s="5" t="s">
        <v>72</v>
      </c>
      <c r="L471" s="11">
        <v>228</v>
      </c>
      <c r="M471" s="11">
        <v>2012</v>
      </c>
      <c r="N471" s="11">
        <v>2012</v>
      </c>
      <c r="O471" s="8">
        <v>43155</v>
      </c>
      <c r="P471" s="8">
        <v>43046</v>
      </c>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4" t="s">
        <v>2312</v>
      </c>
      <c r="AY471" s="5" t="s">
        <v>2313</v>
      </c>
      <c r="AZ471" s="5" t="s">
        <v>158</v>
      </c>
      <c r="BA471" s="12"/>
      <c r="BB471" s="12"/>
      <c r="BC471" s="12"/>
      <c r="BD471" s="11">
        <v>1</v>
      </c>
      <c r="BE471" s="11">
        <v>1</v>
      </c>
    </row>
    <row x14ac:dyDescent="0.25" r="472" customHeight="1" ht="17.25">
      <c r="A472" s="11">
        <v>11515362</v>
      </c>
      <c r="B472" s="4" t="s">
        <v>2314</v>
      </c>
      <c r="C472" s="5" t="s">
        <v>2315</v>
      </c>
      <c r="D472" s="5" t="s">
        <v>2316</v>
      </c>
      <c r="E472" s="12"/>
      <c r="F472" s="13">
        <f>"0446563137"</f>
      </c>
      <c r="G472" s="13">
        <f>"9780446563130"</f>
      </c>
      <c r="H472" s="11">
        <v>4</v>
      </c>
      <c r="I472" s="14">
        <v>4.12</v>
      </c>
      <c r="J472" s="7" t="s">
        <v>2286</v>
      </c>
      <c r="K472" s="5" t="s">
        <v>72</v>
      </c>
      <c r="L472" s="11">
        <v>371</v>
      </c>
      <c r="M472" s="11">
        <v>2012</v>
      </c>
      <c r="N472" s="11">
        <v>2012</v>
      </c>
      <c r="O472" s="8">
        <v>42039</v>
      </c>
      <c r="P472" s="9">
        <v>41632</v>
      </c>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4" t="s">
        <v>2307</v>
      </c>
      <c r="AY472" s="5" t="s">
        <v>2317</v>
      </c>
      <c r="AZ472" s="5" t="s">
        <v>38</v>
      </c>
      <c r="BA472" s="12"/>
      <c r="BB472" s="12"/>
      <c r="BC472" s="12"/>
      <c r="BD472" s="11">
        <v>1</v>
      </c>
      <c r="BE472" s="11">
        <v>1</v>
      </c>
    </row>
    <row x14ac:dyDescent="0.25" r="473" customHeight="1" ht="17.25">
      <c r="A473" s="11">
        <v>30112185</v>
      </c>
      <c r="B473" s="4" t="s">
        <v>2318</v>
      </c>
      <c r="C473" s="5" t="s">
        <v>2319</v>
      </c>
      <c r="D473" s="5" t="s">
        <v>2320</v>
      </c>
      <c r="E473" s="12"/>
      <c r="F473" s="13">
        <f>"0141393149"</f>
      </c>
      <c r="G473" s="13">
        <f>"9780141393148"</f>
      </c>
      <c r="H473" s="11">
        <v>0</v>
      </c>
      <c r="I473" s="14">
        <v>3.75</v>
      </c>
      <c r="J473" s="7" t="s">
        <v>263</v>
      </c>
      <c r="K473" s="5" t="s">
        <v>60</v>
      </c>
      <c r="L473" s="11">
        <v>704</v>
      </c>
      <c r="M473" s="11">
        <v>2017</v>
      </c>
      <c r="N473" s="11">
        <v>2016</v>
      </c>
      <c r="O473" s="15"/>
      <c r="P473" s="8">
        <v>43247</v>
      </c>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4" t="s">
        <v>2015</v>
      </c>
      <c r="AY473" s="5" t="s">
        <v>2321</v>
      </c>
      <c r="AZ473" s="5" t="s">
        <v>38</v>
      </c>
      <c r="BA473" s="12"/>
      <c r="BB473" s="12"/>
      <c r="BC473" s="12"/>
      <c r="BD473" s="11">
        <v>0</v>
      </c>
      <c r="BE473" s="11">
        <v>1</v>
      </c>
    </row>
    <row x14ac:dyDescent="0.25" r="474" customHeight="1" ht="17.25">
      <c r="A474" s="11">
        <v>690051</v>
      </c>
      <c r="B474" s="4" t="s">
        <v>2322</v>
      </c>
      <c r="C474" s="5" t="s">
        <v>2323</v>
      </c>
      <c r="D474" s="5" t="s">
        <v>2324</v>
      </c>
      <c r="E474" s="12"/>
      <c r="F474" s="13">
        <f>"0316013323"</f>
      </c>
      <c r="G474" s="13">
        <f>"9780316013321"</f>
      </c>
      <c r="H474" s="11">
        <v>0</v>
      </c>
      <c r="I474" s="14">
        <v>4.18</v>
      </c>
      <c r="J474" s="7" t="s">
        <v>1746</v>
      </c>
      <c r="K474" s="5" t="s">
        <v>60</v>
      </c>
      <c r="L474" s="11">
        <v>344</v>
      </c>
      <c r="M474" s="11">
        <v>2007</v>
      </c>
      <c r="N474" s="11">
        <v>2005</v>
      </c>
      <c r="O474" s="15"/>
      <c r="P474" s="8">
        <v>45159</v>
      </c>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4" t="s">
        <v>2015</v>
      </c>
      <c r="AY474" s="5" t="s">
        <v>2325</v>
      </c>
      <c r="AZ474" s="5" t="s">
        <v>38</v>
      </c>
      <c r="BA474" s="12"/>
      <c r="BB474" s="12"/>
      <c r="BC474" s="12"/>
      <c r="BD474" s="11">
        <v>0</v>
      </c>
      <c r="BE474" s="11">
        <v>1</v>
      </c>
    </row>
    <row x14ac:dyDescent="0.25" r="475" customHeight="1" ht="17.25">
      <c r="A475" s="11">
        <v>9151556</v>
      </c>
      <c r="B475" s="4" t="s">
        <v>2326</v>
      </c>
      <c r="C475" s="5" t="s">
        <v>2327</v>
      </c>
      <c r="D475" s="5" t="s">
        <v>2328</v>
      </c>
      <c r="E475" s="5" t="s">
        <v>2329</v>
      </c>
      <c r="F475" s="13">
        <f>"0571231624"</f>
      </c>
      <c r="G475" s="13">
        <f>"9780571231621"</f>
      </c>
      <c r="H475" s="11">
        <v>0</v>
      </c>
      <c r="I475" s="14">
        <v>4.22</v>
      </c>
      <c r="J475" s="7" t="s">
        <v>316</v>
      </c>
      <c r="K475" s="5" t="s">
        <v>60</v>
      </c>
      <c r="L475" s="11">
        <v>240</v>
      </c>
      <c r="M475" s="11">
        <v>2010</v>
      </c>
      <c r="N475" s="11">
        <v>2010</v>
      </c>
      <c r="O475" s="15"/>
      <c r="P475" s="8">
        <v>45113</v>
      </c>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4" t="s">
        <v>2015</v>
      </c>
      <c r="AY475" s="5" t="s">
        <v>2330</v>
      </c>
      <c r="AZ475" s="5" t="s">
        <v>38</v>
      </c>
      <c r="BA475" s="12"/>
      <c r="BB475" s="12"/>
      <c r="BC475" s="12"/>
      <c r="BD475" s="11">
        <v>0</v>
      </c>
      <c r="BE475" s="11">
        <v>1</v>
      </c>
    </row>
    <row x14ac:dyDescent="0.25" r="476" customHeight="1" ht="17.25">
      <c r="A476" s="11">
        <v>56212581</v>
      </c>
      <c r="B476" s="4" t="s">
        <v>2331</v>
      </c>
      <c r="C476" s="5" t="s">
        <v>2332</v>
      </c>
      <c r="D476" s="5" t="s">
        <v>2333</v>
      </c>
      <c r="E476" s="12"/>
      <c r="F476" s="13">
        <f>"0525567321"</f>
      </c>
      <c r="G476" s="13">
        <f>"9780525567325"</f>
      </c>
      <c r="H476" s="11">
        <v>0</v>
      </c>
      <c r="I476" s="14">
        <v>4.49</v>
      </c>
      <c r="J476" s="7" t="s">
        <v>2044</v>
      </c>
      <c r="K476" s="5" t="s">
        <v>60</v>
      </c>
      <c r="L476" s="11">
        <v>640</v>
      </c>
      <c r="M476" s="11">
        <v>2021</v>
      </c>
      <c r="N476" s="11">
        <v>2021</v>
      </c>
      <c r="O476" s="15"/>
      <c r="P476" s="8">
        <v>45113</v>
      </c>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4" t="s">
        <v>2015</v>
      </c>
      <c r="AY476" s="5" t="s">
        <v>2334</v>
      </c>
      <c r="AZ476" s="5" t="s">
        <v>38</v>
      </c>
      <c r="BA476" s="12"/>
      <c r="BB476" s="12"/>
      <c r="BC476" s="12"/>
      <c r="BD476" s="11">
        <v>1</v>
      </c>
      <c r="BE476" s="11">
        <v>1</v>
      </c>
    </row>
    <row x14ac:dyDescent="0.25" r="477" customHeight="1" ht="17.25">
      <c r="A477" s="11">
        <v>7173952</v>
      </c>
      <c r="B477" s="4" t="s">
        <v>2335</v>
      </c>
      <c r="C477" s="5" t="s">
        <v>2336</v>
      </c>
      <c r="D477" s="5" t="s">
        <v>2337</v>
      </c>
      <c r="E477" s="12"/>
      <c r="F477" s="13">
        <f>"0307387941"</f>
      </c>
      <c r="G477" s="13">
        <f>"9780307387943"</f>
      </c>
      <c r="H477" s="11">
        <v>0</v>
      </c>
      <c r="I477" s="14">
        <v>4.05</v>
      </c>
      <c r="J477" s="7" t="s">
        <v>114</v>
      </c>
      <c r="K477" s="5" t="s">
        <v>60</v>
      </c>
      <c r="L477" s="11">
        <v>325</v>
      </c>
      <c r="M477" s="11">
        <v>2010</v>
      </c>
      <c r="N477" s="11">
        <v>2009</v>
      </c>
      <c r="O477" s="15"/>
      <c r="P477" s="8">
        <v>45114</v>
      </c>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4" t="s">
        <v>2015</v>
      </c>
      <c r="AY477" s="5" t="s">
        <v>2338</v>
      </c>
      <c r="AZ477" s="5" t="s">
        <v>38</v>
      </c>
      <c r="BA477" s="12"/>
      <c r="BB477" s="12"/>
      <c r="BC477" s="12"/>
      <c r="BD477" s="11">
        <v>0</v>
      </c>
      <c r="BE477" s="11">
        <v>1</v>
      </c>
    </row>
    <row x14ac:dyDescent="0.25" r="478" customHeight="1" ht="17.25">
      <c r="A478" s="11">
        <v>10677213</v>
      </c>
      <c r="B478" s="4" t="s">
        <v>2339</v>
      </c>
      <c r="C478" s="5" t="s">
        <v>2340</v>
      </c>
      <c r="D478" s="5" t="s">
        <v>2341</v>
      </c>
      <c r="E478" s="5" t="s">
        <v>2342</v>
      </c>
      <c r="F478" s="13">
        <f>"0375507485"</f>
      </c>
      <c r="G478" s="13">
        <f>"9780375507489"</f>
      </c>
      <c r="H478" s="11">
        <v>0</v>
      </c>
      <c r="I478" s="14">
        <v>4.16</v>
      </c>
      <c r="J478" s="7" t="s">
        <v>1018</v>
      </c>
      <c r="K478" s="5" t="s">
        <v>72</v>
      </c>
      <c r="L478" s="11">
        <v>970</v>
      </c>
      <c r="M478" s="11">
        <v>2011</v>
      </c>
      <c r="N478" s="11">
        <v>2011</v>
      </c>
      <c r="O478" s="8">
        <v>41864</v>
      </c>
      <c r="P478" s="8">
        <v>41766</v>
      </c>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4" t="s">
        <v>2287</v>
      </c>
      <c r="AY478" s="5" t="s">
        <v>2343</v>
      </c>
      <c r="AZ478" s="5" t="s">
        <v>158</v>
      </c>
      <c r="BA478" s="12"/>
      <c r="BB478" s="12"/>
      <c r="BC478" s="12"/>
      <c r="BD478" s="11">
        <v>1</v>
      </c>
      <c r="BE478" s="11">
        <v>1</v>
      </c>
    </row>
    <row x14ac:dyDescent="0.25" r="479" customHeight="1" ht="17.25">
      <c r="A479" s="11">
        <v>802950</v>
      </c>
      <c r="B479" s="4" t="s">
        <v>2344</v>
      </c>
      <c r="C479" s="5" t="s">
        <v>2345</v>
      </c>
      <c r="D479" s="5" t="s">
        <v>2346</v>
      </c>
      <c r="E479" s="12"/>
      <c r="F479" s="13">
        <f>"0312302371"</f>
      </c>
      <c r="G479" s="13">
        <f>"9780312302375"</f>
      </c>
      <c r="H479" s="11">
        <v>0</v>
      </c>
      <c r="I479" s="14">
        <v>3.9</v>
      </c>
      <c r="J479" s="7" t="s">
        <v>2347</v>
      </c>
      <c r="K479" s="5" t="s">
        <v>72</v>
      </c>
      <c r="L479" s="11">
        <v>480</v>
      </c>
      <c r="M479" s="11">
        <v>2003</v>
      </c>
      <c r="N479" s="11">
        <v>2002</v>
      </c>
      <c r="O479" s="15"/>
      <c r="P479" s="8">
        <v>45113</v>
      </c>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4" t="s">
        <v>2015</v>
      </c>
      <c r="AY479" s="5" t="s">
        <v>2348</v>
      </c>
      <c r="AZ479" s="5" t="s">
        <v>38</v>
      </c>
      <c r="BA479" s="12"/>
      <c r="BB479" s="12"/>
      <c r="BC479" s="12"/>
      <c r="BD479" s="11">
        <v>0</v>
      </c>
      <c r="BE479" s="11">
        <v>1</v>
      </c>
    </row>
    <row x14ac:dyDescent="0.25" r="480" customHeight="1" ht="17.25">
      <c r="A480" s="11">
        <v>450996</v>
      </c>
      <c r="B480" s="4" t="s">
        <v>2349</v>
      </c>
      <c r="C480" s="5" t="s">
        <v>2350</v>
      </c>
      <c r="D480" s="5" t="s">
        <v>2351</v>
      </c>
      <c r="E480" s="5" t="s">
        <v>2352</v>
      </c>
      <c r="F480" s="13">
        <f>"0300110081"</f>
      </c>
      <c r="G480" s="13">
        <f>"9780300110081"</f>
      </c>
      <c r="H480" s="11">
        <v>0</v>
      </c>
      <c r="I480" s="14">
        <v>3.78</v>
      </c>
      <c r="J480" s="7" t="s">
        <v>576</v>
      </c>
      <c r="K480" s="5" t="s">
        <v>60</v>
      </c>
      <c r="L480" s="11">
        <v>427</v>
      </c>
      <c r="M480" s="11">
        <v>2006</v>
      </c>
      <c r="N480" s="11">
        <v>1854</v>
      </c>
      <c r="O480" s="15"/>
      <c r="P480" s="8">
        <v>45152</v>
      </c>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4" t="s">
        <v>2015</v>
      </c>
      <c r="AY480" s="5" t="s">
        <v>2353</v>
      </c>
      <c r="AZ480" s="5" t="s">
        <v>38</v>
      </c>
      <c r="BA480" s="12"/>
      <c r="BB480" s="12"/>
      <c r="BC480" s="12"/>
      <c r="BD480" s="11">
        <v>1</v>
      </c>
      <c r="BE480" s="11">
        <v>1</v>
      </c>
    </row>
    <row x14ac:dyDescent="0.25" r="481" customHeight="1" ht="17.25">
      <c r="A481" s="11">
        <v>44067290</v>
      </c>
      <c r="B481" s="4" t="s">
        <v>2354</v>
      </c>
      <c r="C481" s="5" t="s">
        <v>2355</v>
      </c>
      <c r="D481" s="5" t="s">
        <v>2356</v>
      </c>
      <c r="E481" s="12"/>
      <c r="F481" s="13">
        <f>"0062684930"</f>
      </c>
      <c r="G481" s="13">
        <f>"9780062684936"</f>
      </c>
      <c r="H481" s="11">
        <v>0</v>
      </c>
      <c r="I481" s="14">
        <v>3.96</v>
      </c>
      <c r="J481" s="7" t="s">
        <v>2054</v>
      </c>
      <c r="K481" s="5" t="s">
        <v>346</v>
      </c>
      <c r="L481" s="11">
        <v>293</v>
      </c>
      <c r="M481" s="11">
        <v>2018</v>
      </c>
      <c r="N481" s="11">
        <v>2017</v>
      </c>
      <c r="O481" s="15"/>
      <c r="P481" s="8">
        <v>45129</v>
      </c>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4" t="s">
        <v>2015</v>
      </c>
      <c r="AY481" s="5" t="s">
        <v>2357</v>
      </c>
      <c r="AZ481" s="5" t="s">
        <v>38</v>
      </c>
      <c r="BA481" s="12"/>
      <c r="BB481" s="12"/>
      <c r="BC481" s="12"/>
      <c r="BD481" s="11">
        <v>0</v>
      </c>
      <c r="BE481" s="11">
        <v>1</v>
      </c>
    </row>
    <row x14ac:dyDescent="0.25" r="482" customHeight="1" ht="17.25">
      <c r="A482" s="11">
        <v>62669176</v>
      </c>
      <c r="B482" s="4" t="s">
        <v>2358</v>
      </c>
      <c r="C482" s="5" t="s">
        <v>2359</v>
      </c>
      <c r="D482" s="5" t="s">
        <v>2360</v>
      </c>
      <c r="E482" s="12"/>
      <c r="F482" s="13">
        <f>""</f>
      </c>
      <c r="G482" s="13">
        <f>""</f>
      </c>
      <c r="H482" s="11">
        <v>0</v>
      </c>
      <c r="I482" s="14">
        <v>3.84</v>
      </c>
      <c r="J482" s="18"/>
      <c r="K482" s="5" t="s">
        <v>90</v>
      </c>
      <c r="L482" s="16"/>
      <c r="M482" s="11">
        <v>2022</v>
      </c>
      <c r="N482" s="11">
        <v>2016</v>
      </c>
      <c r="O482" s="15"/>
      <c r="P482" s="8">
        <v>45113</v>
      </c>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4" t="s">
        <v>2015</v>
      </c>
      <c r="AY482" s="5" t="s">
        <v>2361</v>
      </c>
      <c r="AZ482" s="5" t="s">
        <v>38</v>
      </c>
      <c r="BA482" s="12"/>
      <c r="BB482" s="12"/>
      <c r="BC482" s="12"/>
      <c r="BD482" s="11">
        <v>0</v>
      </c>
      <c r="BE482" s="11">
        <v>1</v>
      </c>
    </row>
    <row x14ac:dyDescent="0.25" r="483" customHeight="1" ht="17.25">
      <c r="A483" s="11">
        <v>33156595</v>
      </c>
      <c r="B483" s="4" t="s">
        <v>2362</v>
      </c>
      <c r="C483" s="5" t="s">
        <v>2363</v>
      </c>
      <c r="D483" s="5" t="s">
        <v>2364</v>
      </c>
      <c r="E483" s="12"/>
      <c r="F483" s="13">
        <f>"178478771X"</f>
      </c>
      <c r="G483" s="13">
        <f>"9781784787714"</f>
      </c>
      <c r="H483" s="11">
        <v>0</v>
      </c>
      <c r="I483" s="14">
        <v>4.46</v>
      </c>
      <c r="J483" s="7" t="s">
        <v>2001</v>
      </c>
      <c r="K483" s="5" t="s">
        <v>90</v>
      </c>
      <c r="L483" s="11">
        <v>288</v>
      </c>
      <c r="M483" s="11">
        <v>2016</v>
      </c>
      <c r="N483" s="11">
        <v>1971</v>
      </c>
      <c r="O483" s="15"/>
      <c r="P483" s="8">
        <v>45113</v>
      </c>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4" t="s">
        <v>2015</v>
      </c>
      <c r="AY483" s="5" t="s">
        <v>2365</v>
      </c>
      <c r="AZ483" s="5" t="s">
        <v>38</v>
      </c>
      <c r="BA483" s="12"/>
      <c r="BB483" s="12"/>
      <c r="BC483" s="12"/>
      <c r="BD483" s="11">
        <v>0</v>
      </c>
      <c r="BE483" s="11">
        <v>1</v>
      </c>
    </row>
    <row x14ac:dyDescent="0.25" r="484" customHeight="1" ht="17.25">
      <c r="A484" s="11">
        <v>86143</v>
      </c>
      <c r="B484" s="4" t="s">
        <v>2366</v>
      </c>
      <c r="C484" s="5" t="s">
        <v>2367</v>
      </c>
      <c r="D484" s="5" t="s">
        <v>2368</v>
      </c>
      <c r="E484" s="5" t="s">
        <v>2369</v>
      </c>
      <c r="F484" s="13">
        <f>"0805209700"</f>
      </c>
      <c r="G484" s="13">
        <f>"9780805209709"</f>
      </c>
      <c r="H484" s="11">
        <v>0</v>
      </c>
      <c r="I484" s="14">
        <v>4.12</v>
      </c>
      <c r="J484" s="7" t="s">
        <v>197</v>
      </c>
      <c r="K484" s="5" t="s">
        <v>60</v>
      </c>
      <c r="L484" s="11">
        <v>411</v>
      </c>
      <c r="M484" s="11">
        <v>1990</v>
      </c>
      <c r="N484" s="11">
        <v>1970</v>
      </c>
      <c r="O484" s="15"/>
      <c r="P484" s="8">
        <v>43906</v>
      </c>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4" t="s">
        <v>2015</v>
      </c>
      <c r="AY484" s="5" t="s">
        <v>2370</v>
      </c>
      <c r="AZ484" s="5" t="s">
        <v>38</v>
      </c>
      <c r="BA484" s="12"/>
      <c r="BB484" s="12"/>
      <c r="BC484" s="12"/>
      <c r="BD484" s="11">
        <v>0</v>
      </c>
      <c r="BE484" s="11">
        <v>1</v>
      </c>
    </row>
    <row x14ac:dyDescent="0.25" r="485" customHeight="1" ht="17.25">
      <c r="A485" s="11">
        <v>53317528</v>
      </c>
      <c r="B485" s="4" t="s">
        <v>2371</v>
      </c>
      <c r="C485" s="5" t="s">
        <v>2372</v>
      </c>
      <c r="D485" s="5" t="s">
        <v>2373</v>
      </c>
      <c r="E485" s="5" t="s">
        <v>2374</v>
      </c>
      <c r="F485" s="13">
        <f>"0374602395"</f>
      </c>
      <c r="G485" s="13">
        <f>"9780374602390"</f>
      </c>
      <c r="H485" s="11">
        <v>5</v>
      </c>
      <c r="I485" s="14">
        <v>4.36</v>
      </c>
      <c r="J485" s="7" t="s">
        <v>120</v>
      </c>
      <c r="K485" s="5" t="s">
        <v>72</v>
      </c>
      <c r="L485" s="11">
        <v>371</v>
      </c>
      <c r="M485" s="11">
        <v>2021</v>
      </c>
      <c r="N485" s="11">
        <v>1967</v>
      </c>
      <c r="O485" s="8">
        <v>44239</v>
      </c>
      <c r="P485" s="8">
        <v>44226</v>
      </c>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4" t="s">
        <v>2015</v>
      </c>
      <c r="AY485" s="5" t="s">
        <v>2375</v>
      </c>
      <c r="AZ485" s="5" t="s">
        <v>38</v>
      </c>
      <c r="BA485" s="12"/>
      <c r="BB485" s="12"/>
      <c r="BC485" s="12"/>
      <c r="BD485" s="11">
        <v>1</v>
      </c>
      <c r="BE485" s="11">
        <v>1</v>
      </c>
    </row>
    <row x14ac:dyDescent="0.25" r="486" customHeight="1" ht="17.25">
      <c r="A486" s="11">
        <v>6798263</v>
      </c>
      <c r="B486" s="4" t="s">
        <v>2376</v>
      </c>
      <c r="C486" s="5" t="s">
        <v>2377</v>
      </c>
      <c r="D486" s="5" t="s">
        <v>2378</v>
      </c>
      <c r="E486" s="12"/>
      <c r="F486" s="13">
        <f>"1933517409"</f>
      </c>
      <c r="G486" s="13">
        <f>"9781933517407"</f>
      </c>
      <c r="H486" s="11">
        <v>4</v>
      </c>
      <c r="I486" s="14">
        <v>4.11</v>
      </c>
      <c r="J486" s="7" t="s">
        <v>2379</v>
      </c>
      <c r="K486" s="5" t="s">
        <v>60</v>
      </c>
      <c r="L486" s="11">
        <v>112</v>
      </c>
      <c r="M486" s="11">
        <v>2009</v>
      </c>
      <c r="N486" s="11">
        <v>2009</v>
      </c>
      <c r="O486" s="9">
        <v>44193</v>
      </c>
      <c r="P486" s="9">
        <v>44192</v>
      </c>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4" t="s">
        <v>2287</v>
      </c>
      <c r="AY486" s="5" t="s">
        <v>2380</v>
      </c>
      <c r="AZ486" s="5" t="s">
        <v>158</v>
      </c>
      <c r="BA486" s="5" t="s">
        <v>2381</v>
      </c>
      <c r="BB486" s="12"/>
      <c r="BC486" s="12"/>
      <c r="BD486" s="11">
        <v>1</v>
      </c>
      <c r="BE486" s="11">
        <v>1</v>
      </c>
    </row>
    <row x14ac:dyDescent="0.25" r="487" customHeight="1" ht="17.25">
      <c r="A487" s="11">
        <v>25810235</v>
      </c>
      <c r="B487" s="4" t="s">
        <v>2382</v>
      </c>
      <c r="C487" s="5" t="s">
        <v>2383</v>
      </c>
      <c r="D487" s="5" t="s">
        <v>2384</v>
      </c>
      <c r="E487" s="12"/>
      <c r="F487" s="13">
        <f>"1616956445"</f>
      </c>
      <c r="G487" s="13">
        <f>"9781616956448"</f>
      </c>
      <c r="H487" s="11">
        <v>3</v>
      </c>
      <c r="I487" s="14">
        <v>3.38</v>
      </c>
      <c r="J487" s="7" t="s">
        <v>1114</v>
      </c>
      <c r="K487" s="5" t="s">
        <v>60</v>
      </c>
      <c r="L487" s="11">
        <v>224</v>
      </c>
      <c r="M487" s="11">
        <v>2016</v>
      </c>
      <c r="N487" s="11">
        <v>2015</v>
      </c>
      <c r="O487" s="8">
        <v>42543</v>
      </c>
      <c r="P487" s="8">
        <v>42530</v>
      </c>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4" t="s">
        <v>2307</v>
      </c>
      <c r="AY487" s="5" t="s">
        <v>2385</v>
      </c>
      <c r="AZ487" s="5" t="s">
        <v>38</v>
      </c>
      <c r="BA487" s="12"/>
      <c r="BB487" s="12"/>
      <c r="BC487" s="12"/>
      <c r="BD487" s="11">
        <v>1</v>
      </c>
      <c r="BE487" s="11">
        <v>1</v>
      </c>
    </row>
    <row x14ac:dyDescent="0.25" r="488" customHeight="1" ht="17.25">
      <c r="A488" s="11">
        <v>12160851</v>
      </c>
      <c r="B488" s="4" t="s">
        <v>2386</v>
      </c>
      <c r="C488" s="5" t="s">
        <v>1035</v>
      </c>
      <c r="D488" s="5" t="s">
        <v>1036</v>
      </c>
      <c r="E488" s="5" t="s">
        <v>2387</v>
      </c>
      <c r="F488" s="13">
        <f>"0374100764"</f>
      </c>
      <c r="G488" s="13">
        <f>"9780374100766"</f>
      </c>
      <c r="H488" s="11">
        <v>0</v>
      </c>
      <c r="I488" s="14">
        <v>4.06</v>
      </c>
      <c r="J488" s="7" t="s">
        <v>120</v>
      </c>
      <c r="K488" s="5" t="s">
        <v>72</v>
      </c>
      <c r="L488" s="11">
        <v>523</v>
      </c>
      <c r="M488" s="11">
        <v>2012</v>
      </c>
      <c r="N488" s="11">
        <v>2012</v>
      </c>
      <c r="O488" s="15"/>
      <c r="P488" s="9">
        <v>43419</v>
      </c>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4" t="s">
        <v>2015</v>
      </c>
      <c r="AY488" s="5" t="s">
        <v>2388</v>
      </c>
      <c r="AZ488" s="5" t="s">
        <v>38</v>
      </c>
      <c r="BA488" s="12"/>
      <c r="BB488" s="12"/>
      <c r="BC488" s="12"/>
      <c r="BD488" s="11">
        <v>0</v>
      </c>
      <c r="BE488" s="11">
        <v>1</v>
      </c>
    </row>
    <row x14ac:dyDescent="0.25" r="489" customHeight="1" ht="17.25">
      <c r="A489" s="11">
        <v>11632</v>
      </c>
      <c r="B489" s="4" t="s">
        <v>2041</v>
      </c>
      <c r="C489" s="5" t="s">
        <v>2042</v>
      </c>
      <c r="D489" s="5" t="s">
        <v>2043</v>
      </c>
      <c r="E489" s="5" t="s">
        <v>540</v>
      </c>
      <c r="F489" s="13">
        <f>"0385493916"</f>
      </c>
      <c r="G489" s="13">
        <f>"9780385493918"</f>
      </c>
      <c r="H489" s="11">
        <v>0</v>
      </c>
      <c r="I489" s="14">
        <v>4.24</v>
      </c>
      <c r="J489" s="7" t="s">
        <v>2044</v>
      </c>
      <c r="K489" s="5" t="s">
        <v>60</v>
      </c>
      <c r="L489" s="11">
        <v>400</v>
      </c>
      <c r="M489" s="11">
        <v>1998</v>
      </c>
      <c r="N489" s="11">
        <v>1982</v>
      </c>
      <c r="O489" s="15"/>
      <c r="P489" s="8">
        <v>40930</v>
      </c>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4" t="s">
        <v>2287</v>
      </c>
      <c r="AY489" s="5" t="s">
        <v>2389</v>
      </c>
      <c r="AZ489" s="5" t="s">
        <v>158</v>
      </c>
      <c r="BA489" s="12"/>
      <c r="BB489" s="12"/>
      <c r="BC489" s="12"/>
      <c r="BD489" s="11">
        <v>1</v>
      </c>
      <c r="BE489" s="11">
        <v>1</v>
      </c>
    </row>
    <row x14ac:dyDescent="0.25" r="490" customHeight="1" ht="17.25">
      <c r="A490" s="11">
        <v>44512541</v>
      </c>
      <c r="B490" s="4" t="s">
        <v>2390</v>
      </c>
      <c r="C490" s="5" t="s">
        <v>2391</v>
      </c>
      <c r="D490" s="5" t="s">
        <v>2392</v>
      </c>
      <c r="E490" s="12"/>
      <c r="F490" s="13">
        <f>"0262042878"</f>
      </c>
      <c r="G490" s="13">
        <f>"9780262042871"</f>
      </c>
      <c r="H490" s="11">
        <v>0</v>
      </c>
      <c r="I490" s="14">
        <v>3.55</v>
      </c>
      <c r="J490" s="7" t="s">
        <v>2393</v>
      </c>
      <c r="K490" s="5" t="s">
        <v>72</v>
      </c>
      <c r="L490" s="11">
        <v>336</v>
      </c>
      <c r="M490" s="11">
        <v>2019</v>
      </c>
      <c r="N490" s="11">
        <v>2019</v>
      </c>
      <c r="O490" s="15"/>
      <c r="P490" s="8">
        <v>45113</v>
      </c>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4" t="s">
        <v>2015</v>
      </c>
      <c r="AY490" s="5" t="s">
        <v>2394</v>
      </c>
      <c r="AZ490" s="5" t="s">
        <v>38</v>
      </c>
      <c r="BA490" s="12"/>
      <c r="BB490" s="12"/>
      <c r="BC490" s="12"/>
      <c r="BD490" s="11">
        <v>0</v>
      </c>
      <c r="BE490" s="11">
        <v>1</v>
      </c>
    </row>
    <row x14ac:dyDescent="0.25" r="491" customHeight="1" ht="17.25">
      <c r="A491" s="11">
        <v>63697</v>
      </c>
      <c r="B491" s="4" t="s">
        <v>2395</v>
      </c>
      <c r="C491" s="5" t="s">
        <v>2396</v>
      </c>
      <c r="D491" s="5" t="s">
        <v>2397</v>
      </c>
      <c r="E491" s="12"/>
      <c r="F491" s="13">
        <f>""</f>
      </c>
      <c r="G491" s="13">
        <f>""</f>
      </c>
      <c r="H491" s="11">
        <v>0</v>
      </c>
      <c r="I491" s="14">
        <v>4.06</v>
      </c>
      <c r="J491" s="7" t="s">
        <v>966</v>
      </c>
      <c r="K491" s="5" t="s">
        <v>60</v>
      </c>
      <c r="L491" s="11">
        <v>243</v>
      </c>
      <c r="M491" s="11">
        <v>1998</v>
      </c>
      <c r="N491" s="11">
        <v>1985</v>
      </c>
      <c r="O491" s="15"/>
      <c r="P491" s="8">
        <v>45116</v>
      </c>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4" t="s">
        <v>2269</v>
      </c>
      <c r="AY491" s="5" t="s">
        <v>2398</v>
      </c>
      <c r="AZ491" s="5" t="s">
        <v>38</v>
      </c>
      <c r="BA491" s="12"/>
      <c r="BB491" s="12"/>
      <c r="BC491" s="12"/>
      <c r="BD491" s="11">
        <v>0</v>
      </c>
      <c r="BE491" s="11">
        <v>1</v>
      </c>
    </row>
    <row x14ac:dyDescent="0.25" r="492" customHeight="1" ht="17.25">
      <c r="A492" s="11">
        <v>19915399</v>
      </c>
      <c r="B492" s="4" t="s">
        <v>2399</v>
      </c>
      <c r="C492" s="5" t="s">
        <v>2400</v>
      </c>
      <c r="D492" s="5" t="s">
        <v>2401</v>
      </c>
      <c r="E492" s="12"/>
      <c r="F492" s="13">
        <f>""</f>
      </c>
      <c r="G492" s="13">
        <f>""</f>
      </c>
      <c r="H492" s="11">
        <v>0</v>
      </c>
      <c r="I492" s="14">
        <v>3.41</v>
      </c>
      <c r="J492" s="7" t="s">
        <v>1499</v>
      </c>
      <c r="K492" s="5" t="s">
        <v>60</v>
      </c>
      <c r="L492" s="11">
        <v>160</v>
      </c>
      <c r="M492" s="11">
        <v>2012</v>
      </c>
      <c r="N492" s="11">
        <v>2011</v>
      </c>
      <c r="O492" s="15"/>
      <c r="P492" s="8">
        <v>45113</v>
      </c>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4" t="s">
        <v>2015</v>
      </c>
      <c r="AY492" s="5" t="s">
        <v>2402</v>
      </c>
      <c r="AZ492" s="5" t="s">
        <v>38</v>
      </c>
      <c r="BA492" s="12"/>
      <c r="BB492" s="12"/>
      <c r="BC492" s="12"/>
      <c r="BD492" s="11">
        <v>0</v>
      </c>
      <c r="BE492" s="11">
        <v>1</v>
      </c>
    </row>
    <row x14ac:dyDescent="0.25" r="493" customHeight="1" ht="17.25">
      <c r="A493" s="11">
        <v>60625536</v>
      </c>
      <c r="B493" s="4" t="s">
        <v>2403</v>
      </c>
      <c r="C493" s="5" t="s">
        <v>2404</v>
      </c>
      <c r="D493" s="5" t="s">
        <v>2405</v>
      </c>
      <c r="E493" s="12"/>
      <c r="F493" s="13">
        <f>""</f>
      </c>
      <c r="G493" s="13">
        <f>""</f>
      </c>
      <c r="H493" s="11">
        <v>0</v>
      </c>
      <c r="I493" s="14">
        <v>3.6</v>
      </c>
      <c r="J493" s="18"/>
      <c r="K493" s="5" t="s">
        <v>90</v>
      </c>
      <c r="L493" s="16"/>
      <c r="M493" s="11">
        <v>2022</v>
      </c>
      <c r="N493" s="16"/>
      <c r="O493" s="15"/>
      <c r="P493" s="8">
        <v>44814</v>
      </c>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4" t="s">
        <v>1995</v>
      </c>
      <c r="AY493" s="5" t="s">
        <v>2406</v>
      </c>
      <c r="AZ493" s="5" t="s">
        <v>38</v>
      </c>
      <c r="BA493" s="12"/>
      <c r="BB493" s="12"/>
      <c r="BC493" s="12"/>
      <c r="BD493" s="11">
        <v>0</v>
      </c>
      <c r="BE493" s="11">
        <v>0</v>
      </c>
    </row>
    <row x14ac:dyDescent="0.25" r="494" customHeight="1" ht="17.25">
      <c r="A494" s="11">
        <v>349831</v>
      </c>
      <c r="B494" s="4" t="s">
        <v>2407</v>
      </c>
      <c r="C494" s="5" t="s">
        <v>2408</v>
      </c>
      <c r="D494" s="5" t="s">
        <v>2409</v>
      </c>
      <c r="E494" s="12"/>
      <c r="F494" s="13">
        <f>"0826208886"</f>
      </c>
      <c r="G494" s="13">
        <f>"9780826208880"</f>
      </c>
      <c r="H494" s="11">
        <v>0</v>
      </c>
      <c r="I494" s="11">
        <v>0</v>
      </c>
      <c r="J494" s="7" t="s">
        <v>2410</v>
      </c>
      <c r="K494" s="5" t="s">
        <v>72</v>
      </c>
      <c r="L494" s="11">
        <v>248</v>
      </c>
      <c r="M494" s="11">
        <v>1993</v>
      </c>
      <c r="N494" s="11">
        <v>1993</v>
      </c>
      <c r="O494" s="15"/>
      <c r="P494" s="8">
        <v>45113</v>
      </c>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4" t="s">
        <v>2015</v>
      </c>
      <c r="AY494" s="5" t="s">
        <v>2411</v>
      </c>
      <c r="AZ494" s="5" t="s">
        <v>38</v>
      </c>
      <c r="BA494" s="12"/>
      <c r="BB494" s="12"/>
      <c r="BC494" s="12"/>
      <c r="BD494" s="11">
        <v>0</v>
      </c>
      <c r="BE494" s="11">
        <v>1</v>
      </c>
    </row>
    <row x14ac:dyDescent="0.25" r="495" customHeight="1" ht="17.25">
      <c r="A495" s="11">
        <v>101910</v>
      </c>
      <c r="B495" s="4" t="s">
        <v>2412</v>
      </c>
      <c r="C495" s="5" t="s">
        <v>2413</v>
      </c>
      <c r="D495" s="5" t="s">
        <v>2414</v>
      </c>
      <c r="E495" s="5" t="s">
        <v>2415</v>
      </c>
      <c r="F495" s="13">
        <f>"0811807843"</f>
      </c>
      <c r="G495" s="13">
        <f>"9780811807845"</f>
      </c>
      <c r="H495" s="11">
        <v>0</v>
      </c>
      <c r="I495" s="14">
        <v>3.73</v>
      </c>
      <c r="J495" s="7" t="s">
        <v>2416</v>
      </c>
      <c r="K495" s="5" t="s">
        <v>60</v>
      </c>
      <c r="L495" s="11">
        <v>224</v>
      </c>
      <c r="M495" s="11">
        <v>1994</v>
      </c>
      <c r="N495" s="11">
        <v>1994</v>
      </c>
      <c r="O495" s="15"/>
      <c r="P495" s="8">
        <v>45143</v>
      </c>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4" t="s">
        <v>2015</v>
      </c>
      <c r="AY495" s="5" t="s">
        <v>2417</v>
      </c>
      <c r="AZ495" s="5" t="s">
        <v>38</v>
      </c>
      <c r="BA495" s="12"/>
      <c r="BB495" s="12"/>
      <c r="BC495" s="12"/>
      <c r="BD495" s="11">
        <v>0</v>
      </c>
      <c r="BE495" s="11">
        <v>1</v>
      </c>
    </row>
    <row x14ac:dyDescent="0.25" r="496" customHeight="1" ht="17.25">
      <c r="A496" s="11">
        <v>755509</v>
      </c>
      <c r="B496" s="4" t="s">
        <v>2418</v>
      </c>
      <c r="C496" s="5" t="s">
        <v>2419</v>
      </c>
      <c r="D496" s="5" t="s">
        <v>2420</v>
      </c>
      <c r="E496" s="12"/>
      <c r="F496" s="13">
        <f>"1877727024"</f>
      </c>
      <c r="G496" s="13">
        <f>"9781877727023"</f>
      </c>
      <c r="H496" s="11">
        <v>0</v>
      </c>
      <c r="I496" s="11">
        <v>4</v>
      </c>
      <c r="J496" s="7" t="s">
        <v>2421</v>
      </c>
      <c r="K496" s="5" t="s">
        <v>60</v>
      </c>
      <c r="L496" s="11">
        <v>254</v>
      </c>
      <c r="M496" s="11">
        <v>2008</v>
      </c>
      <c r="N496" s="11">
        <v>1990</v>
      </c>
      <c r="O496" s="15"/>
      <c r="P496" s="8">
        <v>45113</v>
      </c>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4" t="s">
        <v>2015</v>
      </c>
      <c r="AY496" s="5" t="s">
        <v>2422</v>
      </c>
      <c r="AZ496" s="5" t="s">
        <v>38</v>
      </c>
      <c r="BA496" s="12"/>
      <c r="BB496" s="12"/>
      <c r="BC496" s="12"/>
      <c r="BD496" s="11">
        <v>0</v>
      </c>
      <c r="BE496" s="11">
        <v>1</v>
      </c>
    </row>
    <row x14ac:dyDescent="0.25" r="497" customHeight="1" ht="17.25">
      <c r="A497" s="11">
        <v>578518</v>
      </c>
      <c r="B497" s="4" t="s">
        <v>2423</v>
      </c>
      <c r="C497" s="5" t="s">
        <v>2424</v>
      </c>
      <c r="D497" s="5" t="s">
        <v>2425</v>
      </c>
      <c r="E497" s="12"/>
      <c r="F497" s="13">
        <f>"0877733759"</f>
      </c>
      <c r="G497" s="13">
        <f>"9780877733751"</f>
      </c>
      <c r="H497" s="11">
        <v>0</v>
      </c>
      <c r="I497" s="14">
        <v>4.2</v>
      </c>
      <c r="J497" s="7" t="s">
        <v>2426</v>
      </c>
      <c r="K497" s="5" t="s">
        <v>60</v>
      </c>
      <c r="L497" s="11">
        <v>171</v>
      </c>
      <c r="M497" s="11">
        <v>1986</v>
      </c>
      <c r="N497" s="11">
        <v>1986</v>
      </c>
      <c r="O497" s="15"/>
      <c r="P497" s="8">
        <v>44227</v>
      </c>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4" t="s">
        <v>2015</v>
      </c>
      <c r="AY497" s="5" t="s">
        <v>2427</v>
      </c>
      <c r="AZ497" s="5" t="s">
        <v>38</v>
      </c>
      <c r="BA497" s="12"/>
      <c r="BB497" s="12"/>
      <c r="BC497" s="12"/>
      <c r="BD497" s="11">
        <v>0</v>
      </c>
      <c r="BE497" s="11">
        <v>1</v>
      </c>
    </row>
    <row x14ac:dyDescent="0.25" r="498" customHeight="1" ht="17.25">
      <c r="A498" s="11">
        <v>770655</v>
      </c>
      <c r="B498" s="4" t="s">
        <v>2428</v>
      </c>
      <c r="C498" s="5" t="s">
        <v>2429</v>
      </c>
      <c r="D498" s="5" t="s">
        <v>2430</v>
      </c>
      <c r="E498" s="12"/>
      <c r="F498" s="13">
        <f>"1555831907"</f>
      </c>
      <c r="G498" s="13">
        <f>"9781555831905"</f>
      </c>
      <c r="H498" s="11">
        <v>0</v>
      </c>
      <c r="I498" s="14">
        <v>4.17</v>
      </c>
      <c r="J498" s="7" t="s">
        <v>2431</v>
      </c>
      <c r="K498" s="5" t="s">
        <v>60</v>
      </c>
      <c r="L498" s="11">
        <v>502</v>
      </c>
      <c r="M498" s="11">
        <v>1992</v>
      </c>
      <c r="N498" s="11">
        <v>1992</v>
      </c>
      <c r="O498" s="15"/>
      <c r="P498" s="8">
        <v>45180</v>
      </c>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4" t="s">
        <v>38</v>
      </c>
      <c r="AY498" s="5" t="s">
        <v>2432</v>
      </c>
      <c r="AZ498" s="5" t="s">
        <v>38</v>
      </c>
      <c r="BA498" s="12"/>
      <c r="BB498" s="12"/>
      <c r="BC498" s="12"/>
      <c r="BD498" s="11">
        <v>0</v>
      </c>
      <c r="BE498" s="11">
        <v>0</v>
      </c>
    </row>
    <row x14ac:dyDescent="0.25" r="499" customHeight="1" ht="17.25">
      <c r="A499" s="11">
        <v>9966383</v>
      </c>
      <c r="B499" s="4" t="s">
        <v>2433</v>
      </c>
      <c r="C499" s="5" t="s">
        <v>2434</v>
      </c>
      <c r="D499" s="5" t="s">
        <v>2435</v>
      </c>
      <c r="E499" s="12"/>
      <c r="F499" s="13">
        <f>"0195394879"</f>
      </c>
      <c r="G499" s="13">
        <f>"9780195394870"</f>
      </c>
      <c r="H499" s="11">
        <v>0</v>
      </c>
      <c r="I499" s="14">
        <v>4.3</v>
      </c>
      <c r="J499" s="7" t="s">
        <v>245</v>
      </c>
      <c r="K499" s="5" t="s">
        <v>60</v>
      </c>
      <c r="L499" s="11">
        <v>338</v>
      </c>
      <c r="M499" s="11">
        <v>2011</v>
      </c>
      <c r="N499" s="11">
        <v>2011</v>
      </c>
      <c r="O499" s="15"/>
      <c r="P499" s="8">
        <v>45180</v>
      </c>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4" t="s">
        <v>38</v>
      </c>
      <c r="AY499" s="5" t="s">
        <v>2436</v>
      </c>
      <c r="AZ499" s="5" t="s">
        <v>38</v>
      </c>
      <c r="BA499" s="12"/>
      <c r="BB499" s="12"/>
      <c r="BC499" s="12"/>
      <c r="BD499" s="11">
        <v>0</v>
      </c>
      <c r="BE499" s="11">
        <v>0</v>
      </c>
    </row>
    <row x14ac:dyDescent="0.25" r="500" customHeight="1" ht="17.25">
      <c r="A500" s="11">
        <v>18008379</v>
      </c>
      <c r="B500" s="4" t="s">
        <v>2437</v>
      </c>
      <c r="C500" s="5" t="s">
        <v>2438</v>
      </c>
      <c r="D500" s="5" t="s">
        <v>2439</v>
      </c>
      <c r="E500" s="12"/>
      <c r="F500" s="13">
        <f>"0989015505"</f>
      </c>
      <c r="G500" s="13">
        <f>"9780989015509"</f>
      </c>
      <c r="H500" s="11">
        <v>0</v>
      </c>
      <c r="I500" s="14">
        <v>4.28</v>
      </c>
      <c r="J500" s="7" t="s">
        <v>2440</v>
      </c>
      <c r="K500" s="5" t="s">
        <v>60</v>
      </c>
      <c r="L500" s="11">
        <v>140</v>
      </c>
      <c r="M500" s="11">
        <v>2013</v>
      </c>
      <c r="N500" s="11">
        <v>2013</v>
      </c>
      <c r="O500" s="15"/>
      <c r="P500" s="8">
        <v>45180</v>
      </c>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4" t="s">
        <v>38</v>
      </c>
      <c r="AY500" s="5" t="s">
        <v>2441</v>
      </c>
      <c r="AZ500" s="5" t="s">
        <v>38</v>
      </c>
      <c r="BA500" s="12"/>
      <c r="BB500" s="12"/>
      <c r="BC500" s="12"/>
      <c r="BD500" s="11">
        <v>0</v>
      </c>
      <c r="BE500" s="11">
        <v>0</v>
      </c>
    </row>
    <row x14ac:dyDescent="0.25" r="501" customHeight="1" ht="17.25">
      <c r="A501" s="11">
        <v>146224</v>
      </c>
      <c r="B501" s="4" t="s">
        <v>2442</v>
      </c>
      <c r="C501" s="5" t="s">
        <v>2443</v>
      </c>
      <c r="D501" s="5" t="s">
        <v>2444</v>
      </c>
      <c r="E501" s="12"/>
      <c r="F501" s="13">
        <f>"006251184X"</f>
      </c>
      <c r="G501" s="13">
        <f>"9780062511843"</f>
      </c>
      <c r="H501" s="11">
        <v>0</v>
      </c>
      <c r="I501" s="14">
        <v>3.95</v>
      </c>
      <c r="J501" s="7" t="s">
        <v>2445</v>
      </c>
      <c r="K501" s="5" t="s">
        <v>60</v>
      </c>
      <c r="L501" s="11">
        <v>201</v>
      </c>
      <c r="M501" s="11">
        <v>1995</v>
      </c>
      <c r="N501" s="11">
        <v>1995</v>
      </c>
      <c r="O501" s="15"/>
      <c r="P501" s="8">
        <v>45180</v>
      </c>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4" t="s">
        <v>127</v>
      </c>
      <c r="AY501" s="5" t="s">
        <v>2446</v>
      </c>
      <c r="AZ501" s="5" t="s">
        <v>38</v>
      </c>
      <c r="BA501" s="12"/>
      <c r="BB501" s="12"/>
      <c r="BC501" s="12"/>
      <c r="BD501" s="11">
        <v>0</v>
      </c>
      <c r="BE501" s="11">
        <v>0</v>
      </c>
    </row>
    <row x14ac:dyDescent="0.25" r="502" customHeight="1" ht="17.25">
      <c r="A502" s="11">
        <v>122800766</v>
      </c>
      <c r="B502" s="4" t="s">
        <v>2447</v>
      </c>
      <c r="C502" s="5" t="s">
        <v>590</v>
      </c>
      <c r="D502" s="5" t="s">
        <v>591</v>
      </c>
      <c r="E502" s="12"/>
      <c r="F502" s="13">
        <f>"1608688895"</f>
      </c>
      <c r="G502" s="13">
        <f>"9781608688890"</f>
      </c>
      <c r="H502" s="11">
        <v>0</v>
      </c>
      <c r="I502" s="11">
        <v>0</v>
      </c>
      <c r="J502" s="7" t="s">
        <v>2448</v>
      </c>
      <c r="K502" s="5" t="s">
        <v>60</v>
      </c>
      <c r="L502" s="11">
        <v>264</v>
      </c>
      <c r="M502" s="11">
        <v>2023</v>
      </c>
      <c r="N502" s="16"/>
      <c r="O502" s="15"/>
      <c r="P502" s="8">
        <v>45180</v>
      </c>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4" t="s">
        <v>38</v>
      </c>
      <c r="AY502" s="5" t="s">
        <v>2449</v>
      </c>
      <c r="AZ502" s="5" t="s">
        <v>38</v>
      </c>
      <c r="BA502" s="12"/>
      <c r="BB502" s="12"/>
      <c r="BC502" s="12"/>
      <c r="BD502" s="11">
        <v>0</v>
      </c>
      <c r="BE502" s="11">
        <v>0</v>
      </c>
    </row>
    <row x14ac:dyDescent="0.25" r="503" customHeight="1" ht="17.25">
      <c r="A503" s="11">
        <v>51929799</v>
      </c>
      <c r="B503" s="4" t="s">
        <v>2450</v>
      </c>
      <c r="C503" s="5" t="s">
        <v>2451</v>
      </c>
      <c r="D503" s="5" t="s">
        <v>2452</v>
      </c>
      <c r="E503" s="5" t="s">
        <v>2453</v>
      </c>
      <c r="F503" s="13">
        <f>"0525575456"</f>
      </c>
      <c r="G503" s="13">
        <f>"9780525575450"</f>
      </c>
      <c r="H503" s="11">
        <v>0</v>
      </c>
      <c r="I503" s="14">
        <v>4.2</v>
      </c>
      <c r="J503" s="7" t="s">
        <v>2454</v>
      </c>
      <c r="K503" s="5" t="s">
        <v>90</v>
      </c>
      <c r="L503" s="11">
        <v>256</v>
      </c>
      <c r="M503" s="11">
        <v>2019</v>
      </c>
      <c r="N503" s="11">
        <v>2019</v>
      </c>
      <c r="O503" s="15"/>
      <c r="P503" s="8">
        <v>45180</v>
      </c>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4" t="s">
        <v>38</v>
      </c>
      <c r="AY503" s="5" t="s">
        <v>2455</v>
      </c>
      <c r="AZ503" s="5" t="s">
        <v>38</v>
      </c>
      <c r="BA503" s="12"/>
      <c r="BB503" s="12"/>
      <c r="BC503" s="12"/>
      <c r="BD503" s="11">
        <v>0</v>
      </c>
      <c r="BE503" s="11">
        <v>0</v>
      </c>
    </row>
    <row x14ac:dyDescent="0.25" r="504" customHeight="1" ht="15.75">
      <c r="A504" s="11">
        <v>122435777</v>
      </c>
      <c r="B504" s="4" t="s">
        <v>2456</v>
      </c>
      <c r="C504" s="5" t="s">
        <v>2457</v>
      </c>
      <c r="D504" s="5" t="s">
        <v>2458</v>
      </c>
      <c r="E504" s="12"/>
      <c r="F504" s="13">
        <f>""</f>
      </c>
      <c r="G504" s="13">
        <f>"9798840306406"</f>
      </c>
      <c r="H504" s="11">
        <v>0</v>
      </c>
      <c r="I504" s="11">
        <v>4</v>
      </c>
      <c r="J504" s="7" t="s">
        <v>2459</v>
      </c>
      <c r="K504" s="5" t="s">
        <v>60</v>
      </c>
      <c r="L504" s="11">
        <v>566</v>
      </c>
      <c r="M504" s="11">
        <v>2022</v>
      </c>
      <c r="N504" s="16"/>
      <c r="O504" s="15"/>
      <c r="P504" s="8">
        <v>45163</v>
      </c>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4" t="s">
        <v>2460</v>
      </c>
      <c r="AY504" s="5" t="s">
        <v>2461</v>
      </c>
      <c r="AZ504" s="5" t="s">
        <v>38</v>
      </c>
      <c r="BA504" s="12"/>
      <c r="BB504" s="12"/>
      <c r="BC504" s="5" t="s">
        <v>2462</v>
      </c>
      <c r="BD504" s="11">
        <v>0</v>
      </c>
      <c r="BE504" s="11">
        <v>1</v>
      </c>
    </row>
    <row x14ac:dyDescent="0.25" r="505" customHeight="1" ht="17.25">
      <c r="A505" s="11">
        <v>8854815</v>
      </c>
      <c r="B505" s="4" t="s">
        <v>2463</v>
      </c>
      <c r="C505" s="5" t="s">
        <v>2464</v>
      </c>
      <c r="D505" s="5" t="s">
        <v>2465</v>
      </c>
      <c r="E505" s="12"/>
      <c r="F505" s="13">
        <f>"0871404095"</f>
      </c>
      <c r="G505" s="13">
        <f>"9780871404091"</f>
      </c>
      <c r="H505" s="11">
        <v>0</v>
      </c>
      <c r="I505" s="14">
        <v>3.81</v>
      </c>
      <c r="J505" s="7" t="s">
        <v>2466</v>
      </c>
      <c r="K505" s="5" t="s">
        <v>72</v>
      </c>
      <c r="L505" s="11">
        <v>279</v>
      </c>
      <c r="M505" s="11">
        <v>2012</v>
      </c>
      <c r="N505" s="11">
        <v>2011</v>
      </c>
      <c r="O505" s="15"/>
      <c r="P505" s="8">
        <v>45177</v>
      </c>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4" t="s">
        <v>38</v>
      </c>
      <c r="AY505" s="5" t="s">
        <v>2467</v>
      </c>
      <c r="AZ505" s="5" t="s">
        <v>38</v>
      </c>
      <c r="BA505" s="12"/>
      <c r="BB505" s="12"/>
      <c r="BC505" s="12"/>
      <c r="BD505" s="11">
        <v>0</v>
      </c>
      <c r="BE505" s="11">
        <v>0</v>
      </c>
    </row>
    <row x14ac:dyDescent="0.25" r="506" customHeight="1" ht="17.25">
      <c r="A506" s="11">
        <v>91801</v>
      </c>
      <c r="B506" s="4" t="s">
        <v>2468</v>
      </c>
      <c r="C506" s="5" t="s">
        <v>2469</v>
      </c>
      <c r="D506" s="5" t="s">
        <v>2470</v>
      </c>
      <c r="E506" s="12"/>
      <c r="F506" s="13">
        <f>"0226520153"</f>
      </c>
      <c r="G506" s="13">
        <f>"9780226520155"</f>
      </c>
      <c r="H506" s="11">
        <v>0</v>
      </c>
      <c r="I506" s="14">
        <v>4.18</v>
      </c>
      <c r="J506" s="7" t="s">
        <v>2471</v>
      </c>
      <c r="K506" s="5" t="s">
        <v>72</v>
      </c>
      <c r="L506" s="11">
        <v>352</v>
      </c>
      <c r="M506" s="11">
        <v>1999</v>
      </c>
      <c r="N506" s="11">
        <v>1999</v>
      </c>
      <c r="O506" s="15"/>
      <c r="P506" s="8">
        <v>45177</v>
      </c>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4" t="s">
        <v>38</v>
      </c>
      <c r="AY506" s="5" t="s">
        <v>2472</v>
      </c>
      <c r="AZ506" s="5" t="s">
        <v>38</v>
      </c>
      <c r="BA506" s="12"/>
      <c r="BB506" s="12"/>
      <c r="BC506" s="12"/>
      <c r="BD506" s="11">
        <v>0</v>
      </c>
      <c r="BE506" s="11">
        <v>0</v>
      </c>
    </row>
    <row x14ac:dyDescent="0.25" r="507" customHeight="1" ht="17.25">
      <c r="A507" s="11">
        <v>63921</v>
      </c>
      <c r="B507" s="4" t="s">
        <v>2473</v>
      </c>
      <c r="C507" s="5" t="s">
        <v>2474</v>
      </c>
      <c r="D507" s="5" t="s">
        <v>2475</v>
      </c>
      <c r="E507" s="12"/>
      <c r="F507" s="13">
        <f>"0691126046"</f>
      </c>
      <c r="G507" s="13">
        <f>"9780691126043"</f>
      </c>
      <c r="H507" s="11">
        <v>0</v>
      </c>
      <c r="I507" s="14">
        <v>3.51</v>
      </c>
      <c r="J507" s="7" t="s">
        <v>172</v>
      </c>
      <c r="K507" s="5" t="s">
        <v>60</v>
      </c>
      <c r="L507" s="11">
        <v>192</v>
      </c>
      <c r="M507" s="11">
        <v>2006</v>
      </c>
      <c r="N507" s="11">
        <v>2004</v>
      </c>
      <c r="O507" s="15"/>
      <c r="P507" s="8">
        <v>45177</v>
      </c>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4" t="s">
        <v>38</v>
      </c>
      <c r="AY507" s="5" t="s">
        <v>2476</v>
      </c>
      <c r="AZ507" s="5" t="s">
        <v>38</v>
      </c>
      <c r="BA507" s="12"/>
      <c r="BB507" s="12"/>
      <c r="BC507" s="12"/>
      <c r="BD507" s="11">
        <v>0</v>
      </c>
      <c r="BE507" s="11">
        <v>0</v>
      </c>
    </row>
    <row x14ac:dyDescent="0.25" r="508" customHeight="1" ht="17.25">
      <c r="A508" s="11">
        <v>8747740</v>
      </c>
      <c r="B508" s="4" t="s">
        <v>2477</v>
      </c>
      <c r="C508" s="5" t="s">
        <v>2474</v>
      </c>
      <c r="D508" s="5" t="s">
        <v>2475</v>
      </c>
      <c r="E508" s="12"/>
      <c r="F508" s="13">
        <f>"0500283338"</f>
      </c>
      <c r="G508" s="13">
        <f>"9780500283332"</f>
      </c>
      <c r="H508" s="11">
        <v>0</v>
      </c>
      <c r="I508" s="14">
        <v>4.2</v>
      </c>
      <c r="J508" s="7" t="s">
        <v>466</v>
      </c>
      <c r="K508" s="5" t="s">
        <v>60</v>
      </c>
      <c r="L508" s="11">
        <v>336</v>
      </c>
      <c r="M508" s="11">
        <v>2014</v>
      </c>
      <c r="N508" s="11">
        <v>2001</v>
      </c>
      <c r="O508" s="15"/>
      <c r="P508" s="8">
        <v>45175</v>
      </c>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4" t="s">
        <v>2478</v>
      </c>
      <c r="AY508" s="5" t="s">
        <v>2479</v>
      </c>
      <c r="AZ508" s="5" t="s">
        <v>38</v>
      </c>
      <c r="BA508" s="12"/>
      <c r="BB508" s="12"/>
      <c r="BC508" s="12"/>
      <c r="BD508" s="11">
        <v>0</v>
      </c>
      <c r="BE508" s="11">
        <v>0</v>
      </c>
    </row>
    <row x14ac:dyDescent="0.25" r="509" customHeight="1" ht="17.25">
      <c r="A509" s="11">
        <v>357727</v>
      </c>
      <c r="B509" s="4" t="s">
        <v>2480</v>
      </c>
      <c r="C509" s="5" t="s">
        <v>2481</v>
      </c>
      <c r="D509" s="5" t="s">
        <v>2482</v>
      </c>
      <c r="E509" s="12"/>
      <c r="F509" s="13">
        <f>"0899684165"</f>
      </c>
      <c r="G509" s="13">
        <f>"9780899684161"</f>
      </c>
      <c r="H509" s="11">
        <v>0</v>
      </c>
      <c r="I509" s="14">
        <v>3.97</v>
      </c>
      <c r="J509" s="7" t="s">
        <v>2483</v>
      </c>
      <c r="K509" s="5" t="s">
        <v>72</v>
      </c>
      <c r="L509" s="11">
        <v>215</v>
      </c>
      <c r="M509" s="11">
        <v>1975</v>
      </c>
      <c r="N509" s="11">
        <v>1974</v>
      </c>
      <c r="O509" s="15"/>
      <c r="P509" s="8">
        <v>45115</v>
      </c>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4" t="s">
        <v>38</v>
      </c>
      <c r="AY509" s="5" t="s">
        <v>2484</v>
      </c>
      <c r="AZ509" s="5" t="s">
        <v>38</v>
      </c>
      <c r="BA509" s="12"/>
      <c r="BB509" s="12"/>
      <c r="BC509" s="12"/>
      <c r="BD509" s="11">
        <v>0</v>
      </c>
      <c r="BE509" s="11">
        <v>0</v>
      </c>
    </row>
    <row x14ac:dyDescent="0.25" r="510" customHeight="1" ht="17.25">
      <c r="A510" s="11">
        <v>30257776</v>
      </c>
      <c r="B510" s="4" t="s">
        <v>2485</v>
      </c>
      <c r="C510" s="5" t="s">
        <v>2486</v>
      </c>
      <c r="D510" s="5" t="s">
        <v>2487</v>
      </c>
      <c r="E510" s="12"/>
      <c r="F510" s="13">
        <f>"0190618175"</f>
      </c>
      <c r="G510" s="13">
        <f>"9780190618179"</f>
      </c>
      <c r="H510" s="11">
        <v>0</v>
      </c>
      <c r="I510" s="14">
        <v>3.33</v>
      </c>
      <c r="J510" s="7" t="s">
        <v>245</v>
      </c>
      <c r="K510" s="5" t="s">
        <v>72</v>
      </c>
      <c r="L510" s="11">
        <v>248</v>
      </c>
      <c r="M510" s="11">
        <v>2016</v>
      </c>
      <c r="N510" s="16"/>
      <c r="O510" s="15"/>
      <c r="P510" s="8">
        <v>45176</v>
      </c>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4" t="s">
        <v>38</v>
      </c>
      <c r="AY510" s="5" t="s">
        <v>2488</v>
      </c>
      <c r="AZ510" s="5" t="s">
        <v>38</v>
      </c>
      <c r="BA510" s="12"/>
      <c r="BB510" s="12"/>
      <c r="BC510" s="12"/>
      <c r="BD510" s="11">
        <v>0</v>
      </c>
      <c r="BE510" s="11">
        <v>0</v>
      </c>
    </row>
    <row x14ac:dyDescent="0.25" r="511" customHeight="1" ht="17.25">
      <c r="A511" s="11">
        <v>8562179</v>
      </c>
      <c r="B511" s="4" t="s">
        <v>2489</v>
      </c>
      <c r="C511" s="5" t="s">
        <v>2490</v>
      </c>
      <c r="D511" s="5" t="s">
        <v>2491</v>
      </c>
      <c r="E511" s="5" t="s">
        <v>2492</v>
      </c>
      <c r="F511" s="13">
        <f>"0691143730"</f>
      </c>
      <c r="G511" s="13">
        <f>"9780691143736"</f>
      </c>
      <c r="H511" s="11">
        <v>0</v>
      </c>
      <c r="I511" s="14">
        <v>3.89</v>
      </c>
      <c r="J511" s="7" t="s">
        <v>172</v>
      </c>
      <c r="K511" s="5" t="s">
        <v>72</v>
      </c>
      <c r="L511" s="11">
        <v>256</v>
      </c>
      <c r="M511" s="11">
        <v>2011</v>
      </c>
      <c r="N511" s="11">
        <v>2000</v>
      </c>
      <c r="O511" s="15"/>
      <c r="P511" s="8">
        <v>45176</v>
      </c>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4" t="s">
        <v>38</v>
      </c>
      <c r="AY511" s="5" t="s">
        <v>2493</v>
      </c>
      <c r="AZ511" s="5" t="s">
        <v>38</v>
      </c>
      <c r="BA511" s="12"/>
      <c r="BB511" s="12"/>
      <c r="BC511" s="12"/>
      <c r="BD511" s="11">
        <v>0</v>
      </c>
      <c r="BE511" s="11">
        <v>0</v>
      </c>
    </row>
    <row x14ac:dyDescent="0.25" r="512" customHeight="1" ht="17.25">
      <c r="A512" s="11">
        <v>8608464</v>
      </c>
      <c r="B512" s="4" t="s">
        <v>2494</v>
      </c>
      <c r="C512" s="5" t="s">
        <v>1093</v>
      </c>
      <c r="D512" s="5" t="s">
        <v>1094</v>
      </c>
      <c r="E512" s="5" t="s">
        <v>2495</v>
      </c>
      <c r="F512" s="13">
        <f>"0874627583"</f>
      </c>
      <c r="G512" s="13">
        <f>"9780874627589"</f>
      </c>
      <c r="H512" s="11">
        <v>0</v>
      </c>
      <c r="I512" s="14">
        <v>4.26</v>
      </c>
      <c r="J512" s="7" t="s">
        <v>2496</v>
      </c>
      <c r="K512" s="5" t="s">
        <v>60</v>
      </c>
      <c r="L512" s="11">
        <v>234</v>
      </c>
      <c r="M512" s="11">
        <v>2010</v>
      </c>
      <c r="N512" s="16"/>
      <c r="O512" s="15"/>
      <c r="P512" s="8">
        <v>45176</v>
      </c>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4" t="s">
        <v>38</v>
      </c>
      <c r="AY512" s="5" t="s">
        <v>2497</v>
      </c>
      <c r="AZ512" s="5" t="s">
        <v>38</v>
      </c>
      <c r="BA512" s="12"/>
      <c r="BB512" s="12"/>
      <c r="BC512" s="12"/>
      <c r="BD512" s="11">
        <v>0</v>
      </c>
      <c r="BE512" s="11">
        <v>0</v>
      </c>
    </row>
    <row x14ac:dyDescent="0.25" r="513" customHeight="1" ht="17.25">
      <c r="A513" s="11">
        <v>161812</v>
      </c>
      <c r="B513" s="4" t="s">
        <v>2498</v>
      </c>
      <c r="C513" s="5" t="s">
        <v>2499</v>
      </c>
      <c r="D513" s="5" t="s">
        <v>2500</v>
      </c>
      <c r="E513" s="12"/>
      <c r="F513" s="13">
        <f>"0691117926"</f>
      </c>
      <c r="G513" s="13">
        <f>"9780691117928"</f>
      </c>
      <c r="H513" s="11">
        <v>0</v>
      </c>
      <c r="I513" s="14">
        <v>4.04</v>
      </c>
      <c r="J513" s="7" t="s">
        <v>172</v>
      </c>
      <c r="K513" s="5" t="s">
        <v>60</v>
      </c>
      <c r="L513" s="11">
        <v>384</v>
      </c>
      <c r="M513" s="11">
        <v>2004</v>
      </c>
      <c r="N513" s="11">
        <v>2002</v>
      </c>
      <c r="O513" s="15"/>
      <c r="P513" s="8">
        <v>45176</v>
      </c>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4" t="s">
        <v>38</v>
      </c>
      <c r="AY513" s="5" t="s">
        <v>2501</v>
      </c>
      <c r="AZ513" s="5" t="s">
        <v>38</v>
      </c>
      <c r="BA513" s="12"/>
      <c r="BB513" s="12"/>
      <c r="BC513" s="12"/>
      <c r="BD513" s="11">
        <v>0</v>
      </c>
      <c r="BE513" s="11">
        <v>0</v>
      </c>
    </row>
    <row x14ac:dyDescent="0.25" r="514" customHeight="1" ht="17.25">
      <c r="A514" s="11">
        <v>6163622</v>
      </c>
      <c r="B514" s="4" t="s">
        <v>2502</v>
      </c>
      <c r="C514" s="5" t="s">
        <v>2503</v>
      </c>
      <c r="D514" s="5" t="s">
        <v>2504</v>
      </c>
      <c r="E514" s="12"/>
      <c r="F514" s="13">
        <f>"030726534X"</f>
      </c>
      <c r="G514" s="13">
        <f>"9780307265340"</f>
      </c>
      <c r="H514" s="11">
        <v>0</v>
      </c>
      <c r="I514" s="14">
        <v>3.61</v>
      </c>
      <c r="J514" s="7" t="s">
        <v>294</v>
      </c>
      <c r="K514" s="5" t="s">
        <v>72</v>
      </c>
      <c r="L514" s="11">
        <v>303</v>
      </c>
      <c r="M514" s="11">
        <v>2009</v>
      </c>
      <c r="N514" s="11">
        <v>2009</v>
      </c>
      <c r="O514" s="15"/>
      <c r="P514" s="8">
        <v>45175</v>
      </c>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4" t="s">
        <v>38</v>
      </c>
      <c r="AY514" s="5" t="s">
        <v>2505</v>
      </c>
      <c r="AZ514" s="5" t="s">
        <v>38</v>
      </c>
      <c r="BA514" s="12"/>
      <c r="BB514" s="12"/>
      <c r="BC514" s="12"/>
      <c r="BD514" s="11">
        <v>0</v>
      </c>
      <c r="BE514" s="11">
        <v>0</v>
      </c>
    </row>
    <row x14ac:dyDescent="0.25" r="515" customHeight="1" ht="17.25">
      <c r="A515" s="11">
        <v>568236</v>
      </c>
      <c r="B515" s="4" t="s">
        <v>2506</v>
      </c>
      <c r="C515" s="5" t="s">
        <v>2004</v>
      </c>
      <c r="D515" s="5" t="s">
        <v>2005</v>
      </c>
      <c r="E515" s="12"/>
      <c r="F515" s="13">
        <f>"0345349571"</f>
      </c>
      <c r="G515" s="13">
        <f>"9780345349576"</f>
      </c>
      <c r="H515" s="11">
        <v>0</v>
      </c>
      <c r="I515" s="14">
        <v>4.04</v>
      </c>
      <c r="J515" s="7" t="s">
        <v>1911</v>
      </c>
      <c r="K515" s="5" t="s">
        <v>60</v>
      </c>
      <c r="L515" s="11">
        <v>714</v>
      </c>
      <c r="M515" s="11">
        <v>1987</v>
      </c>
      <c r="N515" s="11">
        <v>1978</v>
      </c>
      <c r="O515" s="15"/>
      <c r="P515" s="8">
        <v>45175</v>
      </c>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4" t="s">
        <v>38</v>
      </c>
      <c r="AY515" s="5" t="s">
        <v>2507</v>
      </c>
      <c r="AZ515" s="5" t="s">
        <v>38</v>
      </c>
      <c r="BA515" s="12"/>
      <c r="BB515" s="12"/>
      <c r="BC515" s="12"/>
      <c r="BD515" s="11">
        <v>0</v>
      </c>
      <c r="BE515" s="11">
        <v>0</v>
      </c>
    </row>
    <row x14ac:dyDescent="0.25" r="516" customHeight="1" ht="17.25">
      <c r="A516" s="11">
        <v>43545</v>
      </c>
      <c r="B516" s="4" t="s">
        <v>2508</v>
      </c>
      <c r="C516" s="5" t="s">
        <v>2509</v>
      </c>
      <c r="D516" s="5" t="s">
        <v>2510</v>
      </c>
      <c r="E516" s="12"/>
      <c r="F516" s="13">
        <f>"0441627404"</f>
      </c>
      <c r="G516" s="13">
        <f>"9780441627400"</f>
      </c>
      <c r="H516" s="11">
        <v>0</v>
      </c>
      <c r="I516" s="14">
        <v>4.07</v>
      </c>
      <c r="J516" s="7" t="s">
        <v>2511</v>
      </c>
      <c r="K516" s="5" t="s">
        <v>346</v>
      </c>
      <c r="L516" s="11">
        <v>639</v>
      </c>
      <c r="M516" s="11">
        <v>1987</v>
      </c>
      <c r="N516" s="11">
        <v>1958</v>
      </c>
      <c r="O516" s="15"/>
      <c r="P516" s="8">
        <v>45175</v>
      </c>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4" t="s">
        <v>38</v>
      </c>
      <c r="AY516" s="5" t="s">
        <v>2512</v>
      </c>
      <c r="AZ516" s="5" t="s">
        <v>38</v>
      </c>
      <c r="BA516" s="12"/>
      <c r="BB516" s="12"/>
      <c r="BC516" s="12"/>
      <c r="BD516" s="11">
        <v>0</v>
      </c>
      <c r="BE516" s="11">
        <v>0</v>
      </c>
    </row>
    <row x14ac:dyDescent="0.25" r="517" customHeight="1" ht="17.25">
      <c r="A517" s="11">
        <v>60717094</v>
      </c>
      <c r="B517" s="4" t="s">
        <v>2513</v>
      </c>
      <c r="C517" s="5" t="s">
        <v>2514</v>
      </c>
      <c r="D517" s="5" t="s">
        <v>2515</v>
      </c>
      <c r="E517" s="5" t="s">
        <v>2516</v>
      </c>
      <c r="F517" s="13">
        <f>""</f>
      </c>
      <c r="G517" s="13">
        <f>"9781908670717"</f>
      </c>
      <c r="H517" s="11">
        <v>0</v>
      </c>
      <c r="I517" s="14">
        <v>3.99</v>
      </c>
      <c r="J517" s="7" t="s">
        <v>2517</v>
      </c>
      <c r="K517" s="5" t="s">
        <v>60</v>
      </c>
      <c r="L517" s="11">
        <v>192</v>
      </c>
      <c r="M517" s="11">
        <v>2022</v>
      </c>
      <c r="N517" s="11">
        <v>2020</v>
      </c>
      <c r="O517" s="15"/>
      <c r="P517" s="8">
        <v>45175</v>
      </c>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4" t="s">
        <v>38</v>
      </c>
      <c r="AY517" s="5" t="s">
        <v>2518</v>
      </c>
      <c r="AZ517" s="5" t="s">
        <v>38</v>
      </c>
      <c r="BA517" s="12"/>
      <c r="BB517" s="12"/>
      <c r="BC517" s="12"/>
      <c r="BD517" s="11">
        <v>0</v>
      </c>
      <c r="BE517" s="11">
        <v>0</v>
      </c>
    </row>
    <row x14ac:dyDescent="0.25" r="518" customHeight="1" ht="17.25">
      <c r="A518" s="11">
        <v>60784737</v>
      </c>
      <c r="B518" s="4" t="s">
        <v>2519</v>
      </c>
      <c r="C518" s="5" t="s">
        <v>2520</v>
      </c>
      <c r="D518" s="5" t="s">
        <v>2521</v>
      </c>
      <c r="E518" s="5" t="s">
        <v>2522</v>
      </c>
      <c r="F518" s="13">
        <f>"1644452235"</f>
      </c>
      <c r="G518" s="13">
        <f>"9781644452233"</f>
      </c>
      <c r="H518" s="11">
        <v>0</v>
      </c>
      <c r="I518" s="14">
        <v>3.5</v>
      </c>
      <c r="J518" s="7" t="s">
        <v>1001</v>
      </c>
      <c r="K518" s="5" t="s">
        <v>60</v>
      </c>
      <c r="L518" s="11">
        <v>112</v>
      </c>
      <c r="M518" s="11">
        <v>2023</v>
      </c>
      <c r="N518" s="11">
        <v>2019</v>
      </c>
      <c r="O518" s="15"/>
      <c r="P518" s="8">
        <v>45175</v>
      </c>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4" t="s">
        <v>232</v>
      </c>
      <c r="AY518" s="5" t="s">
        <v>2523</v>
      </c>
      <c r="AZ518" s="5" t="s">
        <v>38</v>
      </c>
      <c r="BA518" s="12"/>
      <c r="BB518" s="12"/>
      <c r="BC518" s="12"/>
      <c r="BD518" s="11">
        <v>0</v>
      </c>
      <c r="BE518" s="11">
        <v>0</v>
      </c>
    </row>
    <row x14ac:dyDescent="0.25" r="519" customHeight="1" ht="17.25">
      <c r="A519" s="11">
        <v>525551</v>
      </c>
      <c r="B519" s="4" t="s">
        <v>2524</v>
      </c>
      <c r="C519" s="5" t="s">
        <v>2525</v>
      </c>
      <c r="D519" s="5" t="s">
        <v>2526</v>
      </c>
      <c r="E519" s="12"/>
      <c r="F519" s="13">
        <f>"0679744932"</f>
      </c>
      <c r="G519" s="13">
        <f>"9780679744931"</f>
      </c>
      <c r="H519" s="11">
        <v>0</v>
      </c>
      <c r="I519" s="14">
        <v>4.13</v>
      </c>
      <c r="J519" s="7" t="s">
        <v>114</v>
      </c>
      <c r="K519" s="5" t="s">
        <v>60</v>
      </c>
      <c r="L519" s="11">
        <v>352</v>
      </c>
      <c r="M519" s="11">
        <v>2001</v>
      </c>
      <c r="N519" s="11">
        <v>2000</v>
      </c>
      <c r="O519" s="15"/>
      <c r="P519" s="8">
        <v>45175</v>
      </c>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4" t="s">
        <v>127</v>
      </c>
      <c r="AY519" s="5" t="s">
        <v>2527</v>
      </c>
      <c r="AZ519" s="5" t="s">
        <v>38</v>
      </c>
      <c r="BA519" s="12"/>
      <c r="BB519" s="12"/>
      <c r="BC519" s="12"/>
      <c r="BD519" s="11">
        <v>0</v>
      </c>
      <c r="BE519" s="11">
        <v>0</v>
      </c>
    </row>
    <row x14ac:dyDescent="0.25" r="520" customHeight="1" ht="17.25">
      <c r="A520" s="11">
        <v>3173904</v>
      </c>
      <c r="B520" s="4" t="s">
        <v>2528</v>
      </c>
      <c r="C520" s="5" t="s">
        <v>2529</v>
      </c>
      <c r="D520" s="5" t="s">
        <v>2530</v>
      </c>
      <c r="E520" s="12"/>
      <c r="F520" s="13">
        <f>""</f>
      </c>
      <c r="G520" s="13">
        <f>""</f>
      </c>
      <c r="H520" s="11">
        <v>0</v>
      </c>
      <c r="I520" s="14">
        <v>3.89</v>
      </c>
      <c r="J520" s="7" t="s">
        <v>2531</v>
      </c>
      <c r="K520" s="5" t="s">
        <v>60</v>
      </c>
      <c r="L520" s="11">
        <v>317</v>
      </c>
      <c r="M520" s="11">
        <v>1969</v>
      </c>
      <c r="N520" s="11">
        <v>1941</v>
      </c>
      <c r="O520" s="15"/>
      <c r="P520" s="8">
        <v>45156</v>
      </c>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4" t="s">
        <v>232</v>
      </c>
      <c r="AY520" s="5" t="s">
        <v>2532</v>
      </c>
      <c r="AZ520" s="5" t="s">
        <v>38</v>
      </c>
      <c r="BA520" s="12"/>
      <c r="BB520" s="12"/>
      <c r="BC520" s="12"/>
      <c r="BD520" s="11">
        <v>0</v>
      </c>
      <c r="BE520" s="11">
        <v>0</v>
      </c>
    </row>
    <row x14ac:dyDescent="0.25" r="521" customHeight="1" ht="17.25">
      <c r="A521" s="11">
        <v>27194</v>
      </c>
      <c r="B521" s="4" t="s">
        <v>2533</v>
      </c>
      <c r="C521" s="5" t="s">
        <v>2534</v>
      </c>
      <c r="D521" s="5" t="s">
        <v>2535</v>
      </c>
      <c r="E521" s="5" t="s">
        <v>2536</v>
      </c>
      <c r="F521" s="13">
        <f>"0977312798"</f>
      </c>
      <c r="G521" s="13">
        <f>"9780977312795"</f>
      </c>
      <c r="H521" s="11">
        <v>0</v>
      </c>
      <c r="I521" s="14">
        <v>4.1</v>
      </c>
      <c r="J521" s="7" t="s">
        <v>1006</v>
      </c>
      <c r="K521" s="5" t="s">
        <v>60</v>
      </c>
      <c r="L521" s="11">
        <v>784</v>
      </c>
      <c r="M521" s="11">
        <v>2006</v>
      </c>
      <c r="N521" s="11">
        <v>2006</v>
      </c>
      <c r="O521" s="15"/>
      <c r="P521" s="8">
        <v>45175</v>
      </c>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4" t="s">
        <v>38</v>
      </c>
      <c r="AY521" s="5" t="s">
        <v>2537</v>
      </c>
      <c r="AZ521" s="5" t="s">
        <v>38</v>
      </c>
      <c r="BA521" s="12"/>
      <c r="BB521" s="12"/>
      <c r="BC521" s="12"/>
      <c r="BD521" s="11">
        <v>0</v>
      </c>
      <c r="BE521" s="11">
        <v>0</v>
      </c>
    </row>
    <row x14ac:dyDescent="0.25" r="522" customHeight="1" ht="17.25">
      <c r="A522" s="11">
        <v>21853732</v>
      </c>
      <c r="B522" s="4" t="s">
        <v>2538</v>
      </c>
      <c r="C522" s="5" t="s">
        <v>954</v>
      </c>
      <c r="D522" s="5" t="s">
        <v>955</v>
      </c>
      <c r="E522" s="12"/>
      <c r="F522" s="13">
        <f>"1250062187"</f>
      </c>
      <c r="G522" s="13">
        <f>"9781250062185"</f>
      </c>
      <c r="H522" s="11">
        <v>0</v>
      </c>
      <c r="I522" s="14">
        <v>4.15</v>
      </c>
      <c r="J522" s="7" t="s">
        <v>975</v>
      </c>
      <c r="K522" s="5" t="s">
        <v>60</v>
      </c>
      <c r="L522" s="11">
        <v>336</v>
      </c>
      <c r="M522" s="11">
        <v>2015</v>
      </c>
      <c r="N522" s="11">
        <v>2014</v>
      </c>
      <c r="O522" s="15"/>
      <c r="P522" s="8">
        <v>45151</v>
      </c>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4" t="s">
        <v>2539</v>
      </c>
      <c r="AY522" s="5" t="s">
        <v>2540</v>
      </c>
      <c r="AZ522" s="5" t="s">
        <v>38</v>
      </c>
      <c r="BA522" s="12"/>
      <c r="BB522" s="12"/>
      <c r="BC522" s="12"/>
      <c r="BD522" s="11">
        <v>0</v>
      </c>
      <c r="BE522" s="11">
        <v>1</v>
      </c>
    </row>
    <row x14ac:dyDescent="0.25" r="523" customHeight="1" ht="17.25">
      <c r="A523" s="11">
        <v>306391</v>
      </c>
      <c r="B523" s="4" t="s">
        <v>2541</v>
      </c>
      <c r="C523" s="5" t="s">
        <v>2542</v>
      </c>
      <c r="D523" s="5" t="s">
        <v>2543</v>
      </c>
      <c r="E523" s="12"/>
      <c r="F523" s="13">
        <f>"1400031648"</f>
      </c>
      <c r="G523" s="13">
        <f>"9781400031641"</f>
      </c>
      <c r="H523" s="11">
        <v>0</v>
      </c>
      <c r="I523" s="14">
        <v>3.43</v>
      </c>
      <c r="J523" s="7" t="s">
        <v>2044</v>
      </c>
      <c r="K523" s="5" t="s">
        <v>60</v>
      </c>
      <c r="L523" s="11">
        <v>272</v>
      </c>
      <c r="M523" s="11">
        <v>2005</v>
      </c>
      <c r="N523" s="11">
        <v>2004</v>
      </c>
      <c r="O523" s="15"/>
      <c r="P523" s="8">
        <v>45145</v>
      </c>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4" t="s">
        <v>2544</v>
      </c>
      <c r="AY523" s="5" t="s">
        <v>2545</v>
      </c>
      <c r="AZ523" s="5" t="s">
        <v>38</v>
      </c>
      <c r="BA523" s="12"/>
      <c r="BB523" s="12"/>
      <c r="BC523" s="12"/>
      <c r="BD523" s="11">
        <v>0</v>
      </c>
      <c r="BE523" s="11">
        <v>0</v>
      </c>
    </row>
    <row x14ac:dyDescent="0.25" r="524" customHeight="1" ht="17.25">
      <c r="A524" s="11">
        <v>8737</v>
      </c>
      <c r="B524" s="4" t="s">
        <v>2546</v>
      </c>
      <c r="C524" s="5" t="s">
        <v>2547</v>
      </c>
      <c r="D524" s="5" t="s">
        <v>2548</v>
      </c>
      <c r="E524" s="5" t="s">
        <v>2549</v>
      </c>
      <c r="F524" s="13">
        <f>"068485256X"</f>
      </c>
      <c r="G524" s="13">
        <f>"9780684852560"</f>
      </c>
      <c r="H524" s="11">
        <v>0</v>
      </c>
      <c r="I524" s="14">
        <v>4.17</v>
      </c>
      <c r="J524" s="7" t="s">
        <v>376</v>
      </c>
      <c r="K524" s="5" t="s">
        <v>60</v>
      </c>
      <c r="L524" s="11">
        <v>506</v>
      </c>
      <c r="M524" s="11">
        <v>1998</v>
      </c>
      <c r="N524" s="11">
        <v>1955</v>
      </c>
      <c r="O524" s="15"/>
      <c r="P524" s="8">
        <v>45151</v>
      </c>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4" t="s">
        <v>232</v>
      </c>
      <c r="AY524" s="5" t="s">
        <v>2550</v>
      </c>
      <c r="AZ524" s="5" t="s">
        <v>38</v>
      </c>
      <c r="BA524" s="12"/>
      <c r="BB524" s="12"/>
      <c r="BC524" s="12"/>
      <c r="BD524" s="11">
        <v>0</v>
      </c>
      <c r="BE524" s="11">
        <v>0</v>
      </c>
    </row>
    <row x14ac:dyDescent="0.25" r="525" customHeight="1" ht="17.25">
      <c r="A525" s="11">
        <v>424092</v>
      </c>
      <c r="B525" s="4" t="s">
        <v>2551</v>
      </c>
      <c r="C525" s="5" t="s">
        <v>2552</v>
      </c>
      <c r="D525" s="5" t="s">
        <v>2553</v>
      </c>
      <c r="E525" s="12"/>
      <c r="F525" s="13">
        <f>"140285708X"</f>
      </c>
      <c r="G525" s="13">
        <f>"9781402857089"</f>
      </c>
      <c r="H525" s="11">
        <v>0</v>
      </c>
      <c r="I525" s="14">
        <v>3.86</v>
      </c>
      <c r="J525" s="18"/>
      <c r="K525" s="5" t="s">
        <v>60</v>
      </c>
      <c r="L525" s="11">
        <v>284</v>
      </c>
      <c r="M525" s="11">
        <v>2002</v>
      </c>
      <c r="N525" s="11">
        <v>1988</v>
      </c>
      <c r="O525" s="15"/>
      <c r="P525" s="8">
        <v>45175</v>
      </c>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4" t="s">
        <v>38</v>
      </c>
      <c r="AY525" s="5" t="s">
        <v>2554</v>
      </c>
      <c r="AZ525" s="5" t="s">
        <v>38</v>
      </c>
      <c r="BA525" s="12"/>
      <c r="BB525" s="12"/>
      <c r="BC525" s="12"/>
      <c r="BD525" s="11">
        <v>0</v>
      </c>
      <c r="BE525" s="11">
        <v>0</v>
      </c>
    </row>
    <row x14ac:dyDescent="0.25" r="526" customHeight="1" ht="17.25">
      <c r="A526" s="11">
        <v>525957</v>
      </c>
      <c r="B526" s="4" t="s">
        <v>2555</v>
      </c>
      <c r="C526" s="5" t="s">
        <v>1607</v>
      </c>
      <c r="D526" s="5" t="s">
        <v>1608</v>
      </c>
      <c r="E526" s="12"/>
      <c r="F526" s="13">
        <f>"0060761512"</f>
      </c>
      <c r="G526" s="13">
        <f>"9780060761516"</f>
      </c>
      <c r="H526" s="11">
        <v>0</v>
      </c>
      <c r="I526" s="14">
        <v>4.14</v>
      </c>
      <c r="J526" s="7" t="s">
        <v>2445</v>
      </c>
      <c r="K526" s="5" t="s">
        <v>72</v>
      </c>
      <c r="L526" s="11">
        <v>112</v>
      </c>
      <c r="M526" s="11">
        <v>2005</v>
      </c>
      <c r="N526" s="11">
        <v>2005</v>
      </c>
      <c r="O526" s="15"/>
      <c r="P526" s="8">
        <v>45175</v>
      </c>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4" t="s">
        <v>38</v>
      </c>
      <c r="AY526" s="5" t="s">
        <v>2556</v>
      </c>
      <c r="AZ526" s="5" t="s">
        <v>38</v>
      </c>
      <c r="BA526" s="12"/>
      <c r="BB526" s="12"/>
      <c r="BC526" s="12"/>
      <c r="BD526" s="11">
        <v>0</v>
      </c>
      <c r="BE526" s="11">
        <v>0</v>
      </c>
    </row>
    <row x14ac:dyDescent="0.25" r="527" customHeight="1" ht="17.25">
      <c r="A527" s="11">
        <v>114235</v>
      </c>
      <c r="B527" s="4" t="s">
        <v>2557</v>
      </c>
      <c r="C527" s="5" t="s">
        <v>2558</v>
      </c>
      <c r="D527" s="5" t="s">
        <v>2559</v>
      </c>
      <c r="E527" s="12"/>
      <c r="F527" s="13">
        <f>"0801495938"</f>
      </c>
      <c r="G527" s="13">
        <f>"9780801495939"</f>
      </c>
      <c r="H527" s="11">
        <v>0</v>
      </c>
      <c r="I527" s="14">
        <v>4.06</v>
      </c>
      <c r="J527" s="7" t="s">
        <v>2560</v>
      </c>
      <c r="K527" s="5" t="s">
        <v>60</v>
      </c>
      <c r="L527" s="11">
        <v>240</v>
      </c>
      <c r="M527" s="11">
        <v>1989</v>
      </c>
      <c r="N527" s="11">
        <v>1989</v>
      </c>
      <c r="O527" s="15"/>
      <c r="P527" s="8">
        <v>45175</v>
      </c>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4" t="s">
        <v>38</v>
      </c>
      <c r="AY527" s="5" t="s">
        <v>2561</v>
      </c>
      <c r="AZ527" s="5" t="s">
        <v>38</v>
      </c>
      <c r="BA527" s="12"/>
      <c r="BB527" s="12"/>
      <c r="BC527" s="12"/>
      <c r="BD527" s="11">
        <v>0</v>
      </c>
      <c r="BE527" s="11">
        <v>0</v>
      </c>
    </row>
    <row x14ac:dyDescent="0.25" r="528" customHeight="1" ht="17.25">
      <c r="A528" s="11">
        <v>14469841</v>
      </c>
      <c r="B528" s="4" t="s">
        <v>2562</v>
      </c>
      <c r="C528" s="5" t="s">
        <v>2563</v>
      </c>
      <c r="D528" s="5" t="s">
        <v>2564</v>
      </c>
      <c r="E528" s="12"/>
      <c r="F528" s="13">
        <f>""</f>
      </c>
      <c r="G528" s="13">
        <f>""</f>
      </c>
      <c r="H528" s="11">
        <v>0</v>
      </c>
      <c r="I528" s="11">
        <v>5</v>
      </c>
      <c r="J528" s="7" t="s">
        <v>2565</v>
      </c>
      <c r="K528" s="5" t="s">
        <v>72</v>
      </c>
      <c r="L528" s="11">
        <v>550</v>
      </c>
      <c r="M528" s="11">
        <v>1953</v>
      </c>
      <c r="N528" s="11">
        <v>1953</v>
      </c>
      <c r="O528" s="15"/>
      <c r="P528" s="8">
        <v>45175</v>
      </c>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4" t="s">
        <v>2566</v>
      </c>
      <c r="AY528" s="5" t="s">
        <v>2567</v>
      </c>
      <c r="AZ528" s="5" t="s">
        <v>38</v>
      </c>
      <c r="BA528" s="12"/>
      <c r="BB528" s="12"/>
      <c r="BC528" s="12"/>
      <c r="BD528" s="11">
        <v>0</v>
      </c>
      <c r="BE528" s="11">
        <v>0</v>
      </c>
    </row>
    <row x14ac:dyDescent="0.25" r="529" customHeight="1" ht="17.25">
      <c r="A529" s="11">
        <v>23916</v>
      </c>
      <c r="B529" s="4" t="s">
        <v>2568</v>
      </c>
      <c r="C529" s="5" t="s">
        <v>2569</v>
      </c>
      <c r="D529" s="5" t="s">
        <v>2570</v>
      </c>
      <c r="E529" s="5" t="s">
        <v>2571</v>
      </c>
      <c r="F529" s="13">
        <f>"0874514363"</f>
      </c>
      <c r="G529" s="13">
        <f>"9780874514360"</f>
      </c>
      <c r="H529" s="11">
        <v>0</v>
      </c>
      <c r="I529" s="14">
        <v>4.37</v>
      </c>
      <c r="J529" s="7" t="s">
        <v>2572</v>
      </c>
      <c r="K529" s="5" t="s">
        <v>60</v>
      </c>
      <c r="L529" s="11">
        <v>573</v>
      </c>
      <c r="M529" s="11">
        <v>1988</v>
      </c>
      <c r="N529" s="11">
        <v>1971</v>
      </c>
      <c r="O529" s="15"/>
      <c r="P529" s="8">
        <v>45175</v>
      </c>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4" t="s">
        <v>2566</v>
      </c>
      <c r="AY529" s="5" t="s">
        <v>2573</v>
      </c>
      <c r="AZ529" s="5" t="s">
        <v>38</v>
      </c>
      <c r="BA529" s="12"/>
      <c r="BB529" s="12"/>
      <c r="BC529" s="12"/>
      <c r="BD529" s="11">
        <v>0</v>
      </c>
      <c r="BE529" s="11">
        <v>0</v>
      </c>
    </row>
    <row x14ac:dyDescent="0.25" r="530" customHeight="1" ht="17.25">
      <c r="A530" s="11">
        <v>63946909</v>
      </c>
      <c r="B530" s="4" t="s">
        <v>2574</v>
      </c>
      <c r="C530" s="5" t="s">
        <v>2575</v>
      </c>
      <c r="D530" s="5" t="s">
        <v>2576</v>
      </c>
      <c r="E530" s="12"/>
      <c r="F530" s="13">
        <f>"0593316304"</f>
      </c>
      <c r="G530" s="13">
        <f>"9780593316306"</f>
      </c>
      <c r="H530" s="11">
        <v>0</v>
      </c>
      <c r="I530" s="14">
        <v>4.39</v>
      </c>
      <c r="J530" s="7" t="s">
        <v>2577</v>
      </c>
      <c r="K530" s="5" t="s">
        <v>72</v>
      </c>
      <c r="L530" s="11">
        <v>368</v>
      </c>
      <c r="M530" s="11">
        <v>2023</v>
      </c>
      <c r="N530" s="16"/>
      <c r="O530" s="15"/>
      <c r="P530" s="8">
        <v>45169</v>
      </c>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4" t="s">
        <v>232</v>
      </c>
      <c r="AY530" s="5" t="s">
        <v>2578</v>
      </c>
      <c r="AZ530" s="5" t="s">
        <v>38</v>
      </c>
      <c r="BA530" s="12"/>
      <c r="BB530" s="12"/>
      <c r="BC530" s="12"/>
      <c r="BD530" s="11">
        <v>0</v>
      </c>
      <c r="BE530" s="11">
        <v>0</v>
      </c>
    </row>
    <row x14ac:dyDescent="0.25" r="531" customHeight="1" ht="17.25">
      <c r="A531" s="11">
        <v>130220</v>
      </c>
      <c r="B531" s="4" t="s">
        <v>2579</v>
      </c>
      <c r="C531" s="5" t="s">
        <v>2580</v>
      </c>
      <c r="D531" s="5" t="s">
        <v>2581</v>
      </c>
      <c r="E531" s="5" t="s">
        <v>2582</v>
      </c>
      <c r="F531" s="13">
        <f>"0940322528"</f>
      </c>
      <c r="G531" s="13">
        <f>"9780940322523"</f>
      </c>
      <c r="H531" s="11">
        <v>0</v>
      </c>
      <c r="I531" s="14">
        <v>3.82</v>
      </c>
      <c r="J531" s="7" t="s">
        <v>108</v>
      </c>
      <c r="K531" s="5" t="s">
        <v>60</v>
      </c>
      <c r="L531" s="11">
        <v>158</v>
      </c>
      <c r="M531" s="11">
        <v>2000</v>
      </c>
      <c r="N531" s="11">
        <v>1966</v>
      </c>
      <c r="O531" s="15"/>
      <c r="P531" s="8">
        <v>45175</v>
      </c>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4" t="s">
        <v>38</v>
      </c>
      <c r="AY531" s="5" t="s">
        <v>2583</v>
      </c>
      <c r="AZ531" s="5" t="s">
        <v>38</v>
      </c>
      <c r="BA531" s="12"/>
      <c r="BB531" s="12"/>
      <c r="BC531" s="12"/>
      <c r="BD531" s="11">
        <v>0</v>
      </c>
      <c r="BE531" s="11">
        <v>0</v>
      </c>
    </row>
    <row x14ac:dyDescent="0.25" r="532" customHeight="1" ht="17.25">
      <c r="A532" s="11">
        <v>65249</v>
      </c>
      <c r="B532" s="4" t="s">
        <v>2584</v>
      </c>
      <c r="C532" s="5" t="s">
        <v>2585</v>
      </c>
      <c r="D532" s="5" t="s">
        <v>2586</v>
      </c>
      <c r="E532" s="12"/>
      <c r="F532" s="13">
        <f>"0061138630"</f>
      </c>
      <c r="G532" s="13">
        <f>"9780061138638"</f>
      </c>
      <c r="H532" s="11">
        <v>0</v>
      </c>
      <c r="I532" s="14">
        <v>4.06</v>
      </c>
      <c r="J532" s="7" t="s">
        <v>2587</v>
      </c>
      <c r="K532" s="5" t="s">
        <v>60</v>
      </c>
      <c r="L532" s="11">
        <v>316</v>
      </c>
      <c r="M532" s="11">
        <v>2006</v>
      </c>
      <c r="N532" s="11">
        <v>1979</v>
      </c>
      <c r="O532" s="15"/>
      <c r="P532" s="8">
        <v>45175</v>
      </c>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4" t="s">
        <v>38</v>
      </c>
      <c r="AY532" s="5" t="s">
        <v>2588</v>
      </c>
      <c r="AZ532" s="5" t="s">
        <v>38</v>
      </c>
      <c r="BA532" s="12"/>
      <c r="BB532" s="12"/>
      <c r="BC532" s="12"/>
      <c r="BD532" s="11">
        <v>0</v>
      </c>
      <c r="BE532" s="11">
        <v>0</v>
      </c>
    </row>
    <row x14ac:dyDescent="0.25" r="533" customHeight="1" ht="17.25">
      <c r="A533" s="11">
        <v>3140</v>
      </c>
      <c r="B533" s="4" t="s">
        <v>2589</v>
      </c>
      <c r="C533" s="5" t="s">
        <v>2590</v>
      </c>
      <c r="D533" s="5" t="s">
        <v>2591</v>
      </c>
      <c r="E533" s="5" t="s">
        <v>2592</v>
      </c>
      <c r="F533" s="13">
        <f>"0226020452"</f>
      </c>
      <c r="G533" s="13">
        <f>"9780226020457"</f>
      </c>
      <c r="H533" s="11">
        <v>0</v>
      </c>
      <c r="I533" s="14">
        <v>4.33</v>
      </c>
      <c r="J533" s="7" t="s">
        <v>255</v>
      </c>
      <c r="K533" s="5" t="s">
        <v>60</v>
      </c>
      <c r="L533" s="11">
        <v>314</v>
      </c>
      <c r="M533" s="11">
        <v>1977</v>
      </c>
      <c r="N533" s="11">
        <v>1945</v>
      </c>
      <c r="O533" s="15"/>
      <c r="P533" s="8">
        <v>45175</v>
      </c>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4" t="s">
        <v>38</v>
      </c>
      <c r="AY533" s="5" t="s">
        <v>2593</v>
      </c>
      <c r="AZ533" s="5" t="s">
        <v>38</v>
      </c>
      <c r="BA533" s="12"/>
      <c r="BB533" s="12"/>
      <c r="BC533" s="12"/>
      <c r="BD533" s="11">
        <v>0</v>
      </c>
      <c r="BE533" s="11">
        <v>0</v>
      </c>
    </row>
    <row x14ac:dyDescent="0.25" r="534" customHeight="1" ht="17.25">
      <c r="A534" s="11">
        <v>954185</v>
      </c>
      <c r="B534" s="4" t="s">
        <v>2594</v>
      </c>
      <c r="C534" s="5" t="s">
        <v>2595</v>
      </c>
      <c r="D534" s="5" t="s">
        <v>2596</v>
      </c>
      <c r="E534" s="12"/>
      <c r="F534" s="13">
        <f>"0801879647"</f>
      </c>
      <c r="G534" s="13">
        <f>"9780801879647"</f>
      </c>
      <c r="H534" s="11">
        <v>0</v>
      </c>
      <c r="I534" s="14">
        <v>4.07</v>
      </c>
      <c r="J534" s="7" t="s">
        <v>1324</v>
      </c>
      <c r="K534" s="5" t="s">
        <v>72</v>
      </c>
      <c r="L534" s="11">
        <v>304</v>
      </c>
      <c r="M534" s="11">
        <v>2005</v>
      </c>
      <c r="N534" s="11">
        <v>2004</v>
      </c>
      <c r="O534" s="15"/>
      <c r="P534" s="8">
        <v>45175</v>
      </c>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4" t="s">
        <v>38</v>
      </c>
      <c r="AY534" s="5" t="s">
        <v>2597</v>
      </c>
      <c r="AZ534" s="5" t="s">
        <v>38</v>
      </c>
      <c r="BA534" s="12"/>
      <c r="BB534" s="12"/>
      <c r="BC534" s="12"/>
      <c r="BD534" s="11">
        <v>0</v>
      </c>
      <c r="BE534" s="11">
        <v>0</v>
      </c>
    </row>
    <row x14ac:dyDescent="0.25" r="535" customHeight="1" ht="17.25">
      <c r="A535" s="11">
        <v>39105311</v>
      </c>
      <c r="B535" s="4" t="s">
        <v>2598</v>
      </c>
      <c r="C535" s="5" t="s">
        <v>2599</v>
      </c>
      <c r="D535" s="5" t="s">
        <v>2600</v>
      </c>
      <c r="E535" s="5" t="s">
        <v>2601</v>
      </c>
      <c r="F535" s="13">
        <f>"022659193X"</f>
      </c>
      <c r="G535" s="13">
        <f>"9780226591933"</f>
      </c>
      <c r="H535" s="11">
        <v>0</v>
      </c>
      <c r="I535" s="14">
        <v>4.61</v>
      </c>
      <c r="J535" s="7" t="s">
        <v>255</v>
      </c>
      <c r="K535" s="5" t="s">
        <v>72</v>
      </c>
      <c r="L535" s="11">
        <v>288</v>
      </c>
      <c r="M535" s="11">
        <v>2018</v>
      </c>
      <c r="N535" s="16"/>
      <c r="O535" s="15"/>
      <c r="P535" s="8">
        <v>45175</v>
      </c>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4" t="s">
        <v>38</v>
      </c>
      <c r="AY535" s="5" t="s">
        <v>2602</v>
      </c>
      <c r="AZ535" s="5" t="s">
        <v>38</v>
      </c>
      <c r="BA535" s="12"/>
      <c r="BB535" s="12"/>
      <c r="BC535" s="12"/>
      <c r="BD535" s="11">
        <v>0</v>
      </c>
      <c r="BE535" s="11">
        <v>0</v>
      </c>
    </row>
    <row x14ac:dyDescent="0.25" r="536" customHeight="1" ht="17.25">
      <c r="A536" s="11">
        <v>56760361</v>
      </c>
      <c r="B536" s="4" t="s">
        <v>2603</v>
      </c>
      <c r="C536" s="5" t="s">
        <v>2604</v>
      </c>
      <c r="D536" s="5" t="s">
        <v>2605</v>
      </c>
      <c r="E536" s="5" t="s">
        <v>2606</v>
      </c>
      <c r="F536" s="13">
        <f>"0811228622"</f>
      </c>
      <c r="G536" s="13">
        <f>"9780811228626"</f>
      </c>
      <c r="H536" s="11">
        <v>0</v>
      </c>
      <c r="I536" s="14">
        <v>3.73</v>
      </c>
      <c r="J536" s="7" t="s">
        <v>126</v>
      </c>
      <c r="K536" s="5" t="s">
        <v>60</v>
      </c>
      <c r="L536" s="11">
        <v>87</v>
      </c>
      <c r="M536" s="11">
        <v>2021</v>
      </c>
      <c r="N536" s="11">
        <v>1988</v>
      </c>
      <c r="O536" s="15"/>
      <c r="P536" s="8">
        <v>45173</v>
      </c>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4" t="s">
        <v>38</v>
      </c>
      <c r="AY536" s="5" t="s">
        <v>2607</v>
      </c>
      <c r="AZ536" s="5" t="s">
        <v>38</v>
      </c>
      <c r="BA536" s="12"/>
      <c r="BB536" s="12"/>
      <c r="BC536" s="12"/>
      <c r="BD536" s="11">
        <v>0</v>
      </c>
      <c r="BE536" s="11">
        <v>0</v>
      </c>
    </row>
    <row x14ac:dyDescent="0.25" r="537" customHeight="1" ht="15.75">
      <c r="A537" s="11">
        <v>41733839</v>
      </c>
      <c r="B537" s="4" t="s">
        <v>2608</v>
      </c>
      <c r="C537" s="5" t="s">
        <v>123</v>
      </c>
      <c r="D537" s="5" t="s">
        <v>124</v>
      </c>
      <c r="E537" s="5" t="s">
        <v>2609</v>
      </c>
      <c r="F537" s="13">
        <f>"0743273567"</f>
      </c>
      <c r="G537" s="13">
        <f>"9780743273565"</f>
      </c>
      <c r="H537" s="11">
        <v>0</v>
      </c>
      <c r="I537" s="14">
        <v>3.93</v>
      </c>
      <c r="J537" s="7" t="s">
        <v>132</v>
      </c>
      <c r="K537" s="5" t="s">
        <v>60</v>
      </c>
      <c r="L537" s="11">
        <v>180</v>
      </c>
      <c r="M537" s="11">
        <v>2018</v>
      </c>
      <c r="N537" s="11">
        <v>1925</v>
      </c>
      <c r="O537" s="9">
        <v>41266</v>
      </c>
      <c r="P537" s="9">
        <v>41242</v>
      </c>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4" t="s">
        <v>2610</v>
      </c>
      <c r="AY537" s="5" t="s">
        <v>2611</v>
      </c>
      <c r="AZ537" s="5" t="s">
        <v>158</v>
      </c>
      <c r="BA537" s="12"/>
      <c r="BB537" s="12"/>
      <c r="BC537" s="12"/>
      <c r="BD537" s="11">
        <v>1</v>
      </c>
      <c r="BE537" s="11">
        <v>1</v>
      </c>
    </row>
    <row x14ac:dyDescent="0.25" r="538" customHeight="1" ht="17.25">
      <c r="A538" s="11">
        <v>685172</v>
      </c>
      <c r="B538" s="4" t="s">
        <v>2612</v>
      </c>
      <c r="C538" s="5" t="s">
        <v>2613</v>
      </c>
      <c r="D538" s="5" t="s">
        <v>2614</v>
      </c>
      <c r="E538" s="5" t="s">
        <v>2615</v>
      </c>
      <c r="F538" s="13">
        <f>"185242480X"</f>
      </c>
      <c r="G538" s="13">
        <f>"9781852424800"</f>
      </c>
      <c r="H538" s="11">
        <v>0</v>
      </c>
      <c r="I538" s="14">
        <v>4.21</v>
      </c>
      <c r="J538" s="7" t="s">
        <v>2616</v>
      </c>
      <c r="K538" s="5" t="s">
        <v>60</v>
      </c>
      <c r="L538" s="11">
        <v>240</v>
      </c>
      <c r="M538" s="11">
        <v>2007</v>
      </c>
      <c r="N538" s="11">
        <v>1939</v>
      </c>
      <c r="O538" s="15"/>
      <c r="P538" s="8">
        <v>45173</v>
      </c>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4" t="s">
        <v>127</v>
      </c>
      <c r="AY538" s="5" t="s">
        <v>2617</v>
      </c>
      <c r="AZ538" s="5" t="s">
        <v>38</v>
      </c>
      <c r="BA538" s="12"/>
      <c r="BB538" s="12"/>
      <c r="BC538" s="12"/>
      <c r="BD538" s="11">
        <v>0</v>
      </c>
      <c r="BE538" s="11">
        <v>0</v>
      </c>
    </row>
    <row x14ac:dyDescent="0.25" r="539" customHeight="1" ht="15.75">
      <c r="A539" s="11">
        <v>56616095</v>
      </c>
      <c r="B539" s="4" t="s">
        <v>2618</v>
      </c>
      <c r="C539" s="5" t="s">
        <v>2042</v>
      </c>
      <c r="D539" s="5" t="s">
        <v>2043</v>
      </c>
      <c r="E539" s="5" t="s">
        <v>2619</v>
      </c>
      <c r="F539" s="13">
        <f>"0060837020"</f>
      </c>
      <c r="G539" s="13">
        <f>"9780060837020"</f>
      </c>
      <c r="H539" s="11">
        <v>4</v>
      </c>
      <c r="I539" s="14">
        <v>4.04</v>
      </c>
      <c r="J539" s="7" t="s">
        <v>505</v>
      </c>
      <c r="K539" s="5" t="s">
        <v>60</v>
      </c>
      <c r="L539" s="11">
        <v>288</v>
      </c>
      <c r="M539" s="11">
        <v>2006</v>
      </c>
      <c r="N539" s="11">
        <v>1963</v>
      </c>
      <c r="O539" s="9">
        <v>40872</v>
      </c>
      <c r="P539" s="9">
        <v>40865</v>
      </c>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4" t="s">
        <v>2610</v>
      </c>
      <c r="AY539" s="5" t="s">
        <v>2620</v>
      </c>
      <c r="AZ539" s="5" t="s">
        <v>158</v>
      </c>
      <c r="BA539" s="12"/>
      <c r="BB539" s="12"/>
      <c r="BC539" s="12"/>
      <c r="BD539" s="11">
        <v>1</v>
      </c>
      <c r="BE539" s="11">
        <v>1</v>
      </c>
    </row>
    <row x14ac:dyDescent="0.25" r="540" customHeight="1" ht="17.25">
      <c r="A540" s="11">
        <v>3378170</v>
      </c>
      <c r="B540" s="4" t="s">
        <v>2621</v>
      </c>
      <c r="C540" s="5" t="s">
        <v>2622</v>
      </c>
      <c r="D540" s="5" t="s">
        <v>2623</v>
      </c>
      <c r="E540" s="12"/>
      <c r="F540" s="13">
        <f>"0405074417"</f>
      </c>
      <c r="G540" s="13">
        <f>"9780405074417"</f>
      </c>
      <c r="H540" s="11">
        <v>0</v>
      </c>
      <c r="I540" s="14">
        <v>4.44</v>
      </c>
      <c r="J540" s="7" t="s">
        <v>2624</v>
      </c>
      <c r="K540" s="5" t="s">
        <v>72</v>
      </c>
      <c r="L540" s="11">
        <v>280</v>
      </c>
      <c r="M540" s="11">
        <v>1921</v>
      </c>
      <c r="N540" s="11">
        <v>2002</v>
      </c>
      <c r="O540" s="15"/>
      <c r="P540" s="8">
        <v>45173</v>
      </c>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4" t="s">
        <v>127</v>
      </c>
      <c r="AY540" s="5" t="s">
        <v>2625</v>
      </c>
      <c r="AZ540" s="5" t="s">
        <v>38</v>
      </c>
      <c r="BA540" s="12"/>
      <c r="BB540" s="12"/>
      <c r="BC540" s="12"/>
      <c r="BD540" s="11">
        <v>0</v>
      </c>
      <c r="BE540" s="11">
        <v>0</v>
      </c>
    </row>
    <row x14ac:dyDescent="0.25" r="541" customHeight="1" ht="17.25">
      <c r="A541" s="11">
        <v>23360049</v>
      </c>
      <c r="B541" s="4" t="s">
        <v>2626</v>
      </c>
      <c r="C541" s="5" t="s">
        <v>2627</v>
      </c>
      <c r="D541" s="5" t="s">
        <v>2628</v>
      </c>
      <c r="E541" s="12"/>
      <c r="F541" s="13">
        <f>"0465064841"</f>
      </c>
      <c r="G541" s="13">
        <f>"9780465064847"</f>
      </c>
      <c r="H541" s="11">
        <v>0</v>
      </c>
      <c r="I541" s="14">
        <v>4.18</v>
      </c>
      <c r="J541" s="7" t="s">
        <v>77</v>
      </c>
      <c r="K541" s="5" t="s">
        <v>60</v>
      </c>
      <c r="L541" s="11">
        <v>408</v>
      </c>
      <c r="M541" s="11">
        <v>2015</v>
      </c>
      <c r="N541" s="11">
        <v>2015</v>
      </c>
      <c r="O541" s="15"/>
      <c r="P541" s="8">
        <v>45173</v>
      </c>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4" t="s">
        <v>127</v>
      </c>
      <c r="AY541" s="5" t="s">
        <v>2629</v>
      </c>
      <c r="AZ541" s="5" t="s">
        <v>38</v>
      </c>
      <c r="BA541" s="12"/>
      <c r="BB541" s="12"/>
      <c r="BC541" s="12"/>
      <c r="BD541" s="11">
        <v>0</v>
      </c>
      <c r="BE541" s="11">
        <v>0</v>
      </c>
    </row>
    <row x14ac:dyDescent="0.25" r="542" customHeight="1" ht="17.25">
      <c r="A542" s="11">
        <v>18834</v>
      </c>
      <c r="B542" s="4" t="s">
        <v>2630</v>
      </c>
      <c r="C542" s="5" t="s">
        <v>2631</v>
      </c>
      <c r="D542" s="5" t="s">
        <v>2632</v>
      </c>
      <c r="E542" s="12"/>
      <c r="F542" s="13">
        <f>"0156116804"</f>
      </c>
      <c r="G542" s="13">
        <f>"9780156116800"</f>
      </c>
      <c r="H542" s="11">
        <v>0</v>
      </c>
      <c r="I542" s="14">
        <v>3.77</v>
      </c>
      <c r="J542" s="7" t="s">
        <v>434</v>
      </c>
      <c r="K542" s="5" t="s">
        <v>60</v>
      </c>
      <c r="L542" s="11">
        <v>263</v>
      </c>
      <c r="M542" s="11">
        <v>1989</v>
      </c>
      <c r="N542" s="11">
        <v>1989</v>
      </c>
      <c r="O542" s="15"/>
      <c r="P542" s="8">
        <v>45173</v>
      </c>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4" t="s">
        <v>127</v>
      </c>
      <c r="AY542" s="5" t="s">
        <v>2633</v>
      </c>
      <c r="AZ542" s="5" t="s">
        <v>38</v>
      </c>
      <c r="BA542" s="12"/>
      <c r="BB542" s="12"/>
      <c r="BC542" s="12"/>
      <c r="BD542" s="11">
        <v>0</v>
      </c>
      <c r="BE542" s="11">
        <v>0</v>
      </c>
    </row>
    <row x14ac:dyDescent="0.25" r="543" customHeight="1" ht="17.25">
      <c r="A543" s="11">
        <v>153274</v>
      </c>
      <c r="B543" s="4" t="s">
        <v>2634</v>
      </c>
      <c r="C543" s="5" t="s">
        <v>2635</v>
      </c>
      <c r="D543" s="5" t="s">
        <v>2636</v>
      </c>
      <c r="E543" s="5" t="s">
        <v>2637</v>
      </c>
      <c r="F543" s="13">
        <f>"0231067070"</f>
      </c>
      <c r="G543" s="13">
        <f>"9780231067072"</f>
      </c>
      <c r="H543" s="11">
        <v>0</v>
      </c>
      <c r="I543" s="14">
        <v>4.04</v>
      </c>
      <c r="J543" s="7" t="s">
        <v>2638</v>
      </c>
      <c r="K543" s="5" t="s">
        <v>60</v>
      </c>
      <c r="L543" s="11">
        <v>300</v>
      </c>
      <c r="M543" s="11">
        <v>1992</v>
      </c>
      <c r="N543" s="11">
        <v>1987</v>
      </c>
      <c r="O543" s="15"/>
      <c r="P543" s="8">
        <v>45171</v>
      </c>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4" t="s">
        <v>127</v>
      </c>
      <c r="AY543" s="5" t="s">
        <v>2639</v>
      </c>
      <c r="AZ543" s="5" t="s">
        <v>38</v>
      </c>
      <c r="BA543" s="12"/>
      <c r="BB543" s="12"/>
      <c r="BC543" s="12"/>
      <c r="BD543" s="11">
        <v>0</v>
      </c>
      <c r="BE543" s="11">
        <v>0</v>
      </c>
    </row>
    <row x14ac:dyDescent="0.25" r="544" customHeight="1" ht="17.25">
      <c r="A544" s="11">
        <v>3402390</v>
      </c>
      <c r="B544" s="4" t="s">
        <v>2640</v>
      </c>
      <c r="C544" s="5" t="s">
        <v>2641</v>
      </c>
      <c r="D544" s="5" t="s">
        <v>2642</v>
      </c>
      <c r="E544" s="5" t="s">
        <v>2643</v>
      </c>
      <c r="F544" s="13">
        <f>"0471950548"</f>
      </c>
      <c r="G544" s="13">
        <f>"9780471950547"</f>
      </c>
      <c r="H544" s="11">
        <v>0</v>
      </c>
      <c r="I544" s="11">
        <v>0</v>
      </c>
      <c r="J544" s="7" t="s">
        <v>2644</v>
      </c>
      <c r="K544" s="5" t="s">
        <v>72</v>
      </c>
      <c r="L544" s="11">
        <v>864</v>
      </c>
      <c r="M544" s="11">
        <v>1995</v>
      </c>
      <c r="N544" s="11">
        <v>1995</v>
      </c>
      <c r="O544" s="15"/>
      <c r="P544" s="8">
        <v>45173</v>
      </c>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4" t="s">
        <v>127</v>
      </c>
      <c r="AY544" s="5" t="s">
        <v>2645</v>
      </c>
      <c r="AZ544" s="5" t="s">
        <v>38</v>
      </c>
      <c r="BA544" s="12"/>
      <c r="BB544" s="12"/>
      <c r="BC544" s="12"/>
      <c r="BD544" s="11">
        <v>0</v>
      </c>
      <c r="BE544" s="11">
        <v>0</v>
      </c>
    </row>
    <row x14ac:dyDescent="0.25" r="545" customHeight="1" ht="17.25">
      <c r="A545" s="11">
        <v>36438</v>
      </c>
      <c r="B545" s="4" t="s">
        <v>2646</v>
      </c>
      <c r="C545" s="5" t="s">
        <v>2647</v>
      </c>
      <c r="D545" s="5" t="s">
        <v>2648</v>
      </c>
      <c r="E545" s="5" t="s">
        <v>1084</v>
      </c>
      <c r="F545" s="13">
        <f>"0195135792"</f>
      </c>
      <c r="G545" s="13">
        <f>"9780195135794"</f>
      </c>
      <c r="H545" s="11">
        <v>0</v>
      </c>
      <c r="I545" s="14">
        <v>4.36</v>
      </c>
      <c r="J545" s="7" t="s">
        <v>245</v>
      </c>
      <c r="K545" s="5" t="s">
        <v>72</v>
      </c>
      <c r="L545" s="11">
        <v>1262</v>
      </c>
      <c r="M545" s="11">
        <v>2007</v>
      </c>
      <c r="N545" s="11">
        <v>1990</v>
      </c>
      <c r="O545" s="15"/>
      <c r="P545" s="8">
        <v>45173</v>
      </c>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4" t="s">
        <v>127</v>
      </c>
      <c r="AY545" s="5" t="s">
        <v>2649</v>
      </c>
      <c r="AZ545" s="5" t="s">
        <v>38</v>
      </c>
      <c r="BA545" s="12"/>
      <c r="BB545" s="12"/>
      <c r="BC545" s="12"/>
      <c r="BD545" s="11">
        <v>0</v>
      </c>
      <c r="BE545" s="11">
        <v>0</v>
      </c>
    </row>
    <row x14ac:dyDescent="0.25" r="546" customHeight="1" ht="17.25">
      <c r="A546" s="11">
        <v>1087927</v>
      </c>
      <c r="B546" s="4" t="s">
        <v>2650</v>
      </c>
      <c r="C546" s="5" t="s">
        <v>2627</v>
      </c>
      <c r="D546" s="5" t="s">
        <v>2628</v>
      </c>
      <c r="E546" s="12"/>
      <c r="F546" s="13">
        <f>"006097740X"</f>
      </c>
      <c r="G546" s="13">
        <f>"9780060977405"</f>
      </c>
      <c r="H546" s="11">
        <v>0</v>
      </c>
      <c r="I546" s="14">
        <v>3.81</v>
      </c>
      <c r="J546" s="7" t="s">
        <v>2587</v>
      </c>
      <c r="K546" s="5" t="s">
        <v>60</v>
      </c>
      <c r="L546" s="11">
        <v>384</v>
      </c>
      <c r="M546" s="11">
        <v>1998</v>
      </c>
      <c r="N546" s="11">
        <v>1997</v>
      </c>
      <c r="O546" s="15"/>
      <c r="P546" s="8">
        <v>45173</v>
      </c>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4" t="s">
        <v>127</v>
      </c>
      <c r="AY546" s="5" t="s">
        <v>2651</v>
      </c>
      <c r="AZ546" s="5" t="s">
        <v>38</v>
      </c>
      <c r="BA546" s="12"/>
      <c r="BB546" s="12"/>
      <c r="BC546" s="12"/>
      <c r="BD546" s="11">
        <v>0</v>
      </c>
      <c r="BE546" s="11">
        <v>0</v>
      </c>
    </row>
    <row x14ac:dyDescent="0.25" r="547" customHeight="1" ht="17.25">
      <c r="A547" s="11">
        <v>79277</v>
      </c>
      <c r="B547" s="4" t="s">
        <v>2652</v>
      </c>
      <c r="C547" s="5" t="s">
        <v>2653</v>
      </c>
      <c r="D547" s="5" t="s">
        <v>2654</v>
      </c>
      <c r="E547" s="5" t="s">
        <v>2655</v>
      </c>
      <c r="F547" s="13">
        <f>"026268084X"</f>
      </c>
      <c r="G547" s="13">
        <f>"9780262680844"</f>
      </c>
      <c r="H547" s="11">
        <v>0</v>
      </c>
      <c r="I547" s="14">
        <v>4.38</v>
      </c>
      <c r="J547" s="7" t="s">
        <v>2656</v>
      </c>
      <c r="K547" s="5" t="s">
        <v>60</v>
      </c>
      <c r="L547" s="11">
        <v>272</v>
      </c>
      <c r="M547" s="11">
        <v>1995</v>
      </c>
      <c r="N547" s="11">
        <v>1995</v>
      </c>
      <c r="O547" s="15"/>
      <c r="P547" s="8">
        <v>45173</v>
      </c>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4" t="s">
        <v>127</v>
      </c>
      <c r="AY547" s="5" t="s">
        <v>2657</v>
      </c>
      <c r="AZ547" s="5" t="s">
        <v>38</v>
      </c>
      <c r="BA547" s="12"/>
      <c r="BB547" s="12"/>
      <c r="BC547" s="12"/>
      <c r="BD547" s="11">
        <v>0</v>
      </c>
      <c r="BE547" s="11">
        <v>0</v>
      </c>
    </row>
    <row x14ac:dyDescent="0.25" r="548" customHeight="1" ht="17.25">
      <c r="A548" s="11">
        <v>33832</v>
      </c>
      <c r="B548" s="4" t="s">
        <v>2658</v>
      </c>
      <c r="C548" s="5" t="s">
        <v>1084</v>
      </c>
      <c r="D548" s="5" t="s">
        <v>1085</v>
      </c>
      <c r="E548" s="12"/>
      <c r="F548" s="13">
        <f>"0375701478"</f>
      </c>
      <c r="G548" s="13">
        <f>"9780375701474"</f>
      </c>
      <c r="H548" s="11">
        <v>0</v>
      </c>
      <c r="I548" s="14">
        <v>4.11</v>
      </c>
      <c r="J548" s="7" t="s">
        <v>114</v>
      </c>
      <c r="K548" s="5" t="s">
        <v>60</v>
      </c>
      <c r="L548" s="11">
        <v>432</v>
      </c>
      <c r="M548" s="11">
        <v>2000</v>
      </c>
      <c r="N548" s="11">
        <v>1999</v>
      </c>
      <c r="O548" s="15"/>
      <c r="P548" s="8">
        <v>45164</v>
      </c>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4" t="s">
        <v>127</v>
      </c>
      <c r="AY548" s="5" t="s">
        <v>2659</v>
      </c>
      <c r="AZ548" s="5" t="s">
        <v>38</v>
      </c>
      <c r="BA548" s="12"/>
      <c r="BB548" s="12"/>
      <c r="BC548" s="12"/>
      <c r="BD548" s="11">
        <v>0</v>
      </c>
      <c r="BE548" s="11">
        <v>0</v>
      </c>
    </row>
    <row x14ac:dyDescent="0.25" r="549" customHeight="1" ht="17.25">
      <c r="A549" s="11">
        <v>39926</v>
      </c>
      <c r="B549" s="4" t="s">
        <v>2660</v>
      </c>
      <c r="C549" s="5" t="s">
        <v>2661</v>
      </c>
      <c r="D549" s="5" t="s">
        <v>2662</v>
      </c>
      <c r="E549" s="12"/>
      <c r="F549" s="13">
        <f>"0060512180"</f>
      </c>
      <c r="G549" s="13">
        <f>"9780060512187"</f>
      </c>
      <c r="H549" s="11">
        <v>0</v>
      </c>
      <c r="I549" s="14">
        <v>3.91</v>
      </c>
      <c r="J549" s="7" t="s">
        <v>505</v>
      </c>
      <c r="K549" s="5" t="s">
        <v>60</v>
      </c>
      <c r="L549" s="11">
        <v>368</v>
      </c>
      <c r="M549" s="11">
        <v>2002</v>
      </c>
      <c r="N549" s="11">
        <v>1990</v>
      </c>
      <c r="O549" s="15"/>
      <c r="P549" s="8">
        <v>45173</v>
      </c>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4" t="s">
        <v>127</v>
      </c>
      <c r="AY549" s="5" t="s">
        <v>2663</v>
      </c>
      <c r="AZ549" s="5" t="s">
        <v>38</v>
      </c>
      <c r="BA549" s="12"/>
      <c r="BB549" s="12"/>
      <c r="BC549" s="12"/>
      <c r="BD549" s="11">
        <v>0</v>
      </c>
      <c r="BE549" s="11">
        <v>0</v>
      </c>
    </row>
    <row x14ac:dyDescent="0.25" r="550" customHeight="1" ht="17.25">
      <c r="A550" s="11">
        <v>19510</v>
      </c>
      <c r="B550" s="4" t="s">
        <v>2664</v>
      </c>
      <c r="C550" s="5" t="s">
        <v>2665</v>
      </c>
      <c r="D550" s="5" t="s">
        <v>2666</v>
      </c>
      <c r="E550" s="5" t="s">
        <v>2667</v>
      </c>
      <c r="F550" s="13">
        <f>"0140442278"</f>
      </c>
      <c r="G550" s="13">
        <f>"9780140442274"</f>
      </c>
      <c r="H550" s="11">
        <v>0</v>
      </c>
      <c r="I550" s="14">
        <v>4.17</v>
      </c>
      <c r="J550" s="7" t="s">
        <v>263</v>
      </c>
      <c r="K550" s="5" t="s">
        <v>60</v>
      </c>
      <c r="L550" s="11">
        <v>240</v>
      </c>
      <c r="M550" s="11">
        <v>1973</v>
      </c>
      <c r="N550" s="11">
        <v>1851</v>
      </c>
      <c r="O550" s="15"/>
      <c r="P550" s="8">
        <v>45166</v>
      </c>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4" t="s">
        <v>127</v>
      </c>
      <c r="AY550" s="5" t="s">
        <v>2668</v>
      </c>
      <c r="AZ550" s="5" t="s">
        <v>38</v>
      </c>
      <c r="BA550" s="12"/>
      <c r="BB550" s="12"/>
      <c r="BC550" s="12"/>
      <c r="BD550" s="11">
        <v>0</v>
      </c>
      <c r="BE550" s="11">
        <v>0</v>
      </c>
    </row>
    <row x14ac:dyDescent="0.25" r="551" customHeight="1" ht="17.25">
      <c r="A551" s="11">
        <v>2544307</v>
      </c>
      <c r="B551" s="4" t="s">
        <v>2669</v>
      </c>
      <c r="C551" s="5" t="s">
        <v>2670</v>
      </c>
      <c r="D551" s="5" t="s">
        <v>2671</v>
      </c>
      <c r="E551" s="12"/>
      <c r="F551" s="13">
        <f>"0801884519"</f>
      </c>
      <c r="G551" s="13">
        <f>"9780801884511"</f>
      </c>
      <c r="H551" s="11">
        <v>0</v>
      </c>
      <c r="I551" s="14">
        <v>3.61</v>
      </c>
      <c r="J551" s="7" t="s">
        <v>1324</v>
      </c>
      <c r="K551" s="5" t="s">
        <v>60</v>
      </c>
      <c r="L551" s="11">
        <v>205</v>
      </c>
      <c r="M551" s="11">
        <v>2006</v>
      </c>
      <c r="N551" s="11">
        <v>1989</v>
      </c>
      <c r="O551" s="15"/>
      <c r="P551" s="8">
        <v>45166</v>
      </c>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4" t="s">
        <v>127</v>
      </c>
      <c r="AY551" s="5" t="s">
        <v>2672</v>
      </c>
      <c r="AZ551" s="5" t="s">
        <v>38</v>
      </c>
      <c r="BA551" s="12"/>
      <c r="BB551" s="12"/>
      <c r="BC551" s="12"/>
      <c r="BD551" s="11">
        <v>0</v>
      </c>
      <c r="BE551" s="11">
        <v>0</v>
      </c>
    </row>
    <row x14ac:dyDescent="0.25" r="552" customHeight="1" ht="17.25">
      <c r="A552" s="11">
        <v>49286</v>
      </c>
      <c r="B552" s="4" t="s">
        <v>2673</v>
      </c>
      <c r="C552" s="5" t="s">
        <v>2674</v>
      </c>
      <c r="D552" s="5" t="s">
        <v>2675</v>
      </c>
      <c r="E552" s="12"/>
      <c r="F552" s="13">
        <f>"0679742441"</f>
      </c>
      <c r="G552" s="13">
        <f>"9780679742449"</f>
      </c>
      <c r="H552" s="11">
        <v>0</v>
      </c>
      <c r="I552" s="14">
        <v>4.07</v>
      </c>
      <c r="J552" s="7" t="s">
        <v>114</v>
      </c>
      <c r="K552" s="5" t="s">
        <v>60</v>
      </c>
      <c r="L552" s="11">
        <v>278</v>
      </c>
      <c r="M552" s="11">
        <v>1995</v>
      </c>
      <c r="N552" s="11">
        <v>1994</v>
      </c>
      <c r="O552" s="15"/>
      <c r="P552" s="8">
        <v>45166</v>
      </c>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4" t="s">
        <v>127</v>
      </c>
      <c r="AY552" s="5" t="s">
        <v>2676</v>
      </c>
      <c r="AZ552" s="5" t="s">
        <v>38</v>
      </c>
      <c r="BA552" s="12"/>
      <c r="BB552" s="12"/>
      <c r="BC552" s="12"/>
      <c r="BD552" s="11">
        <v>0</v>
      </c>
      <c r="BE552" s="11">
        <v>0</v>
      </c>
    </row>
    <row x14ac:dyDescent="0.25" r="553" customHeight="1" ht="17.25">
      <c r="A553" s="11">
        <v>110763</v>
      </c>
      <c r="B553" s="4" t="s">
        <v>2677</v>
      </c>
      <c r="C553" s="5" t="s">
        <v>2678</v>
      </c>
      <c r="D553" s="5" t="s">
        <v>2679</v>
      </c>
      <c r="E553" s="12"/>
      <c r="F553" s="13">
        <f>"0679724532"</f>
      </c>
      <c r="G553" s="13">
        <f>"9780679724537"</f>
      </c>
      <c r="H553" s="11">
        <v>0</v>
      </c>
      <c r="I553" s="14">
        <v>3.93</v>
      </c>
      <c r="J553" s="7" t="s">
        <v>114</v>
      </c>
      <c r="K553" s="5" t="s">
        <v>60</v>
      </c>
      <c r="L553" s="11">
        <v>218</v>
      </c>
      <c r="M553" s="11">
        <v>1989</v>
      </c>
      <c r="N553" s="11">
        <v>1979</v>
      </c>
      <c r="O553" s="15"/>
      <c r="P553" s="8">
        <v>45173</v>
      </c>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4" t="s">
        <v>38</v>
      </c>
      <c r="AY553" s="5" t="s">
        <v>2680</v>
      </c>
      <c r="AZ553" s="5" t="s">
        <v>38</v>
      </c>
      <c r="BA553" s="12"/>
      <c r="BB553" s="12"/>
      <c r="BC553" s="12"/>
      <c r="BD553" s="11">
        <v>0</v>
      </c>
      <c r="BE553" s="11">
        <v>0</v>
      </c>
    </row>
    <row x14ac:dyDescent="0.25" r="554" customHeight="1" ht="17.25">
      <c r="A554" s="11">
        <v>17693047</v>
      </c>
      <c r="B554" s="4" t="s">
        <v>2681</v>
      </c>
      <c r="C554" s="5" t="s">
        <v>2682</v>
      </c>
      <c r="D554" s="5" t="s">
        <v>2683</v>
      </c>
      <c r="E554" s="12"/>
      <c r="F554" s="13">
        <f>""</f>
      </c>
      <c r="G554" s="13">
        <f>""</f>
      </c>
      <c r="H554" s="11">
        <v>0</v>
      </c>
      <c r="I554" s="14">
        <v>4.16</v>
      </c>
      <c r="J554" s="7" t="s">
        <v>2684</v>
      </c>
      <c r="K554" s="5" t="s">
        <v>90</v>
      </c>
      <c r="L554" s="11">
        <v>242</v>
      </c>
      <c r="M554" s="11">
        <v>2012</v>
      </c>
      <c r="N554" s="11">
        <v>2012</v>
      </c>
      <c r="O554" s="15"/>
      <c r="P554" s="8">
        <v>45173</v>
      </c>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4" t="s">
        <v>38</v>
      </c>
      <c r="AY554" s="5" t="s">
        <v>2685</v>
      </c>
      <c r="AZ554" s="5" t="s">
        <v>38</v>
      </c>
      <c r="BA554" s="12"/>
      <c r="BB554" s="12"/>
      <c r="BC554" s="12"/>
      <c r="BD554" s="11">
        <v>0</v>
      </c>
      <c r="BE554" s="11">
        <v>0</v>
      </c>
    </row>
    <row x14ac:dyDescent="0.25" r="555" customHeight="1" ht="17.25">
      <c r="A555" s="11">
        <v>369266</v>
      </c>
      <c r="B555" s="4" t="s">
        <v>2686</v>
      </c>
      <c r="C555" s="5" t="s">
        <v>2687</v>
      </c>
      <c r="D555" s="5" t="s">
        <v>2688</v>
      </c>
      <c r="E555" s="5" t="s">
        <v>2689</v>
      </c>
      <c r="F555" s="13">
        <f>"1572245131"</f>
      </c>
      <c r="G555" s="13">
        <f>"9781572245136"</f>
      </c>
      <c r="H555" s="11">
        <v>0</v>
      </c>
      <c r="I555" s="14">
        <v>4.26</v>
      </c>
      <c r="J555" s="7" t="s">
        <v>2690</v>
      </c>
      <c r="K555" s="5" t="s">
        <v>60</v>
      </c>
      <c r="L555" s="11">
        <v>241</v>
      </c>
      <c r="M555" s="11">
        <v>2007</v>
      </c>
      <c r="N555" s="16"/>
      <c r="O555" s="15"/>
      <c r="P555" s="8">
        <v>45173</v>
      </c>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4" t="s">
        <v>38</v>
      </c>
      <c r="AY555" s="5" t="s">
        <v>2691</v>
      </c>
      <c r="AZ555" s="5" t="s">
        <v>38</v>
      </c>
      <c r="BA555" s="12"/>
      <c r="BB555" s="12"/>
      <c r="BC555" s="12"/>
      <c r="BD555" s="11">
        <v>0</v>
      </c>
      <c r="BE555" s="11">
        <v>0</v>
      </c>
    </row>
    <row x14ac:dyDescent="0.25" r="556" customHeight="1" ht="17.25">
      <c r="A556" s="11">
        <v>534092</v>
      </c>
      <c r="B556" s="4" t="s">
        <v>2692</v>
      </c>
      <c r="C556" s="5" t="s">
        <v>2693</v>
      </c>
      <c r="D556" s="5" t="s">
        <v>2694</v>
      </c>
      <c r="E556" s="5" t="s">
        <v>2695</v>
      </c>
      <c r="F556" s="13">
        <f>"0060928972"</f>
      </c>
      <c r="G556" s="13">
        <f>"9780060928971"</f>
      </c>
      <c r="H556" s="11">
        <v>0</v>
      </c>
      <c r="I556" s="14">
        <v>4.1</v>
      </c>
      <c r="J556" s="7" t="s">
        <v>2696</v>
      </c>
      <c r="K556" s="5" t="s">
        <v>60</v>
      </c>
      <c r="L556" s="11">
        <v>272</v>
      </c>
      <c r="M556" s="11">
        <v>2019</v>
      </c>
      <c r="N556" s="11">
        <v>1997</v>
      </c>
      <c r="O556" s="15"/>
      <c r="P556" s="8">
        <v>45173</v>
      </c>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4" t="s">
        <v>38</v>
      </c>
      <c r="AY556" s="5" t="s">
        <v>2697</v>
      </c>
      <c r="AZ556" s="5" t="s">
        <v>38</v>
      </c>
      <c r="BA556" s="12"/>
      <c r="BB556" s="12"/>
      <c r="BC556" s="12"/>
      <c r="BD556" s="11">
        <v>0</v>
      </c>
      <c r="BE556" s="11">
        <v>0</v>
      </c>
    </row>
    <row x14ac:dyDescent="0.25" r="557" customHeight="1" ht="17.25">
      <c r="A557" s="11">
        <v>19507</v>
      </c>
      <c r="B557" s="4" t="s">
        <v>2698</v>
      </c>
      <c r="C557" s="5" t="s">
        <v>2699</v>
      </c>
      <c r="D557" s="5" t="s">
        <v>2700</v>
      </c>
      <c r="E557" s="12"/>
      <c r="F557" s="13">
        <f>"0465042872"</f>
      </c>
      <c r="G557" s="13">
        <f>"9780465042876"</f>
      </c>
      <c r="H557" s="11">
        <v>0</v>
      </c>
      <c r="I557" s="14">
        <v>4.25</v>
      </c>
      <c r="J557" s="7" t="s">
        <v>77</v>
      </c>
      <c r="K557" s="5" t="s">
        <v>60</v>
      </c>
      <c r="L557" s="11">
        <v>288</v>
      </c>
      <c r="M557" s="11">
        <v>2003</v>
      </c>
      <c r="N557" s="11">
        <v>2002</v>
      </c>
      <c r="O557" s="15"/>
      <c r="P557" s="8">
        <v>45173</v>
      </c>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4" t="s">
        <v>38</v>
      </c>
      <c r="AY557" s="5" t="s">
        <v>2701</v>
      </c>
      <c r="AZ557" s="5" t="s">
        <v>38</v>
      </c>
      <c r="BA557" s="12"/>
      <c r="BB557" s="12"/>
      <c r="BC557" s="12"/>
      <c r="BD557" s="11">
        <v>0</v>
      </c>
      <c r="BE557" s="11">
        <v>0</v>
      </c>
    </row>
    <row x14ac:dyDescent="0.25" r="558" customHeight="1" ht="17.25">
      <c r="A558" s="11">
        <v>746803</v>
      </c>
      <c r="B558" s="4" t="s">
        <v>2702</v>
      </c>
      <c r="C558" s="5" t="s">
        <v>180</v>
      </c>
      <c r="D558" s="5" t="s">
        <v>181</v>
      </c>
      <c r="E558" s="5" t="s">
        <v>2703</v>
      </c>
      <c r="F558" s="13">
        <f>"0140134662"</f>
      </c>
      <c r="G558" s="13">
        <f>"9780140134667"</f>
      </c>
      <c r="H558" s="11">
        <v>0</v>
      </c>
      <c r="I558" s="14">
        <v>4.19</v>
      </c>
      <c r="J558" s="7" t="s">
        <v>182</v>
      </c>
      <c r="K558" s="5" t="s">
        <v>60</v>
      </c>
      <c r="L558" s="11">
        <v>288</v>
      </c>
      <c r="M558" s="11">
        <v>1990</v>
      </c>
      <c r="N558" s="11">
        <v>1964</v>
      </c>
      <c r="O558" s="15"/>
      <c r="P558" s="8">
        <v>45173</v>
      </c>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4" t="s">
        <v>38</v>
      </c>
      <c r="AY558" s="5" t="s">
        <v>2704</v>
      </c>
      <c r="AZ558" s="5" t="s">
        <v>38</v>
      </c>
      <c r="BA558" s="12"/>
      <c r="BB558" s="12"/>
      <c r="BC558" s="12"/>
      <c r="BD558" s="11">
        <v>0</v>
      </c>
      <c r="BE558" s="11">
        <v>0</v>
      </c>
    </row>
    <row x14ac:dyDescent="0.25" r="559" customHeight="1" ht="17.25">
      <c r="A559" s="11">
        <v>923950</v>
      </c>
      <c r="B559" s="4" t="s">
        <v>2705</v>
      </c>
      <c r="C559" s="5" t="s">
        <v>2706</v>
      </c>
      <c r="D559" s="5" t="s">
        <v>2707</v>
      </c>
      <c r="E559" s="12"/>
      <c r="F559" s="13">
        <f>"0553062182"</f>
      </c>
      <c r="G559" s="13">
        <f>"9780553062182"</f>
      </c>
      <c r="H559" s="11">
        <v>0</v>
      </c>
      <c r="I559" s="14">
        <v>3.86</v>
      </c>
      <c r="J559" s="7" t="s">
        <v>2708</v>
      </c>
      <c r="K559" s="5" t="s">
        <v>60</v>
      </c>
      <c r="L559" s="11">
        <v>251</v>
      </c>
      <c r="M559" s="11">
        <v>1997</v>
      </c>
      <c r="N559" s="11">
        <v>1997</v>
      </c>
      <c r="O559" s="15"/>
      <c r="P559" s="8">
        <v>45173</v>
      </c>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4" t="s">
        <v>38</v>
      </c>
      <c r="AY559" s="5" t="s">
        <v>2709</v>
      </c>
      <c r="AZ559" s="5" t="s">
        <v>38</v>
      </c>
      <c r="BA559" s="12"/>
      <c r="BB559" s="12"/>
      <c r="BC559" s="12"/>
      <c r="BD559" s="11">
        <v>0</v>
      </c>
      <c r="BE559" s="11">
        <v>0</v>
      </c>
    </row>
    <row x14ac:dyDescent="0.25" r="560" customHeight="1" ht="17.25">
      <c r="A560" s="11">
        <v>646175</v>
      </c>
      <c r="B560" s="4" t="s">
        <v>2710</v>
      </c>
      <c r="C560" s="5" t="s">
        <v>160</v>
      </c>
      <c r="D560" s="5" t="s">
        <v>161</v>
      </c>
      <c r="E560" s="5" t="s">
        <v>2711</v>
      </c>
      <c r="F560" s="13">
        <f>"0156612062"</f>
      </c>
      <c r="G560" s="13">
        <f>"9780156612067"</f>
      </c>
      <c r="H560" s="11">
        <v>0</v>
      </c>
      <c r="I560" s="14">
        <v>4.2</v>
      </c>
      <c r="J560" s="7" t="s">
        <v>2712</v>
      </c>
      <c r="K560" s="5" t="s">
        <v>60</v>
      </c>
      <c r="L560" s="11">
        <v>244</v>
      </c>
      <c r="M560" s="11">
        <v>1955</v>
      </c>
      <c r="N560" s="11">
        <v>1931</v>
      </c>
      <c r="O560" s="15"/>
      <c r="P560" s="8">
        <v>45173</v>
      </c>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4" t="s">
        <v>38</v>
      </c>
      <c r="AY560" s="5" t="s">
        <v>2713</v>
      </c>
      <c r="AZ560" s="5" t="s">
        <v>38</v>
      </c>
      <c r="BA560" s="12"/>
      <c r="BB560" s="12"/>
      <c r="BC560" s="12"/>
      <c r="BD560" s="11">
        <v>0</v>
      </c>
      <c r="BE560" s="11">
        <v>0</v>
      </c>
    </row>
    <row x14ac:dyDescent="0.25" r="561" customHeight="1" ht="17.25">
      <c r="A561" s="11">
        <v>21032</v>
      </c>
      <c r="B561" s="4" t="s">
        <v>2714</v>
      </c>
      <c r="C561" s="5" t="s">
        <v>2715</v>
      </c>
      <c r="D561" s="5" t="s">
        <v>2716</v>
      </c>
      <c r="E561" s="12"/>
      <c r="F561" s="13">
        <f>"0465021476"</f>
      </c>
      <c r="G561" s="13">
        <f>"9780465021475"</f>
      </c>
      <c r="H561" s="11">
        <v>0</v>
      </c>
      <c r="I561" s="14">
        <v>4.45</v>
      </c>
      <c r="J561" s="7" t="s">
        <v>77</v>
      </c>
      <c r="K561" s="5" t="s">
        <v>72</v>
      </c>
      <c r="L561" s="11">
        <v>544</v>
      </c>
      <c r="M561" s="11">
        <v>1980</v>
      </c>
      <c r="N561" s="11">
        <v>1980</v>
      </c>
      <c r="O561" s="15"/>
      <c r="P561" s="8">
        <v>45173</v>
      </c>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4" t="s">
        <v>38</v>
      </c>
      <c r="AY561" s="5" t="s">
        <v>2717</v>
      </c>
      <c r="AZ561" s="5" t="s">
        <v>38</v>
      </c>
      <c r="BA561" s="12"/>
      <c r="BB561" s="12"/>
      <c r="BC561" s="12"/>
      <c r="BD561" s="11">
        <v>0</v>
      </c>
      <c r="BE561" s="11">
        <v>0</v>
      </c>
    </row>
    <row x14ac:dyDescent="0.25" r="562" customHeight="1" ht="17.25">
      <c r="A562" s="11">
        <v>120863898</v>
      </c>
      <c r="B562" s="4" t="s">
        <v>2718</v>
      </c>
      <c r="C562" s="5" t="s">
        <v>2719</v>
      </c>
      <c r="D562" s="5" t="s">
        <v>2720</v>
      </c>
      <c r="E562" s="12"/>
      <c r="F562" s="13">
        <f>"1509556133"</f>
      </c>
      <c r="G562" s="13">
        <f>"9781509556137"</f>
      </c>
      <c r="H562" s="11">
        <v>0</v>
      </c>
      <c r="I562" s="14">
        <v>3.88</v>
      </c>
      <c r="J562" s="7" t="s">
        <v>2721</v>
      </c>
      <c r="K562" s="5" t="s">
        <v>60</v>
      </c>
      <c r="L562" s="11">
        <v>176</v>
      </c>
      <c r="M562" s="11">
        <v>2023</v>
      </c>
      <c r="N562" s="11">
        <v>2023</v>
      </c>
      <c r="O562" s="15"/>
      <c r="P562" s="8">
        <v>45173</v>
      </c>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4" t="s">
        <v>38</v>
      </c>
      <c r="AY562" s="5" t="s">
        <v>2722</v>
      </c>
      <c r="AZ562" s="5" t="s">
        <v>38</v>
      </c>
      <c r="BA562" s="12"/>
      <c r="BB562" s="12"/>
      <c r="BC562" s="12"/>
      <c r="BD562" s="11">
        <v>0</v>
      </c>
      <c r="BE562" s="11">
        <v>0</v>
      </c>
    </row>
    <row x14ac:dyDescent="0.25" r="563" customHeight="1" ht="17.25">
      <c r="A563" s="11">
        <v>34964946</v>
      </c>
      <c r="B563" s="4" t="s">
        <v>2723</v>
      </c>
      <c r="C563" s="5" t="s">
        <v>2724</v>
      </c>
      <c r="D563" s="5" t="s">
        <v>2725</v>
      </c>
      <c r="E563" s="12"/>
      <c r="F563" s="13">
        <f>"1250154391"</f>
      </c>
      <c r="G563" s="13">
        <f>"9781250154392"</f>
      </c>
      <c r="H563" s="11">
        <v>0</v>
      </c>
      <c r="I563" s="14">
        <v>3.83</v>
      </c>
      <c r="J563" s="7" t="s">
        <v>2025</v>
      </c>
      <c r="K563" s="5" t="s">
        <v>72</v>
      </c>
      <c r="L563" s="11">
        <v>240</v>
      </c>
      <c r="M563" s="11">
        <v>2018</v>
      </c>
      <c r="N563" s="11">
        <v>2018</v>
      </c>
      <c r="O563" s="15"/>
      <c r="P563" s="8">
        <v>45173</v>
      </c>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4" t="s">
        <v>38</v>
      </c>
      <c r="AY563" s="5" t="s">
        <v>2726</v>
      </c>
      <c r="AZ563" s="5" t="s">
        <v>38</v>
      </c>
      <c r="BA563" s="12"/>
      <c r="BB563" s="12"/>
      <c r="BC563" s="12"/>
      <c r="BD563" s="11">
        <v>0</v>
      </c>
      <c r="BE563" s="11">
        <v>0</v>
      </c>
    </row>
    <row x14ac:dyDescent="0.25" r="564" customHeight="1" ht="17.25">
      <c r="A564" s="11">
        <v>52759282</v>
      </c>
      <c r="B564" s="4" t="s">
        <v>2727</v>
      </c>
      <c r="C564" s="5" t="s">
        <v>2728</v>
      </c>
      <c r="D564" s="5" t="s">
        <v>2729</v>
      </c>
      <c r="E564" s="12"/>
      <c r="F564" s="13">
        <f>"1982145625"</f>
      </c>
      <c r="G564" s="13">
        <f>"9781982145620"</f>
      </c>
      <c r="H564" s="11">
        <v>0</v>
      </c>
      <c r="I564" s="14">
        <v>4.01</v>
      </c>
      <c r="J564" s="7" t="s">
        <v>376</v>
      </c>
      <c r="K564" s="5" t="s">
        <v>72</v>
      </c>
      <c r="L564" s="11">
        <v>320</v>
      </c>
      <c r="M564" s="11">
        <v>2020</v>
      </c>
      <c r="N564" s="11">
        <v>2020</v>
      </c>
      <c r="O564" s="15"/>
      <c r="P564" s="8">
        <v>45173</v>
      </c>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4" t="s">
        <v>38</v>
      </c>
      <c r="AY564" s="5" t="s">
        <v>2730</v>
      </c>
      <c r="AZ564" s="5" t="s">
        <v>38</v>
      </c>
      <c r="BA564" s="12"/>
      <c r="BB564" s="12"/>
      <c r="BC564" s="12"/>
      <c r="BD564" s="11">
        <v>0</v>
      </c>
      <c r="BE564" s="11">
        <v>0</v>
      </c>
    </row>
    <row x14ac:dyDescent="0.25" r="565" customHeight="1" ht="17.25">
      <c r="A565" s="11">
        <v>644361</v>
      </c>
      <c r="B565" s="4" t="s">
        <v>2731</v>
      </c>
      <c r="C565" s="5" t="s">
        <v>2732</v>
      </c>
      <c r="D565" s="5" t="s">
        <v>2733</v>
      </c>
      <c r="E565" s="12"/>
      <c r="F565" s="13">
        <f>"0812930290"</f>
      </c>
      <c r="G565" s="13">
        <f>"9780812930290"</f>
      </c>
      <c r="H565" s="11">
        <v>0</v>
      </c>
      <c r="I565" s="14">
        <v>3.87</v>
      </c>
      <c r="J565" s="7" t="s">
        <v>2734</v>
      </c>
      <c r="K565" s="5" t="s">
        <v>60</v>
      </c>
      <c r="L565" s="11">
        <v>426</v>
      </c>
      <c r="M565" s="11">
        <v>1998</v>
      </c>
      <c r="N565" s="11">
        <v>1997</v>
      </c>
      <c r="O565" s="15"/>
      <c r="P565" s="8">
        <v>45173</v>
      </c>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4" t="s">
        <v>38</v>
      </c>
      <c r="AY565" s="5" t="s">
        <v>2735</v>
      </c>
      <c r="AZ565" s="5" t="s">
        <v>38</v>
      </c>
      <c r="BA565" s="12"/>
      <c r="BB565" s="12"/>
      <c r="BC565" s="12"/>
      <c r="BD565" s="11">
        <v>0</v>
      </c>
      <c r="BE565" s="11">
        <v>0</v>
      </c>
    </row>
    <row x14ac:dyDescent="0.25" r="566" customHeight="1" ht="17.25">
      <c r="A566" s="11">
        <v>116676</v>
      </c>
      <c r="B566" s="4" t="s">
        <v>2736</v>
      </c>
      <c r="C566" s="5" t="s">
        <v>2737</v>
      </c>
      <c r="D566" s="5" t="s">
        <v>2738</v>
      </c>
      <c r="E566" s="12"/>
      <c r="F566" s="13">
        <f>"0226661016"</f>
      </c>
      <c r="G566" s="13">
        <f>"9780226661018"</f>
      </c>
      <c r="H566" s="11">
        <v>0</v>
      </c>
      <c r="I566" s="14">
        <v>3.33</v>
      </c>
      <c r="J566" s="7" t="s">
        <v>255</v>
      </c>
      <c r="K566" s="5" t="s">
        <v>60</v>
      </c>
      <c r="L566" s="11">
        <v>484</v>
      </c>
      <c r="M566" s="11">
        <v>1989</v>
      </c>
      <c r="N566" s="11">
        <v>1984</v>
      </c>
      <c r="O566" s="15"/>
      <c r="P566" s="8">
        <v>45173</v>
      </c>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4" t="s">
        <v>38</v>
      </c>
      <c r="AY566" s="5" t="s">
        <v>2739</v>
      </c>
      <c r="AZ566" s="5" t="s">
        <v>38</v>
      </c>
      <c r="BA566" s="12"/>
      <c r="BB566" s="12"/>
      <c r="BC566" s="12"/>
      <c r="BD566" s="11">
        <v>0</v>
      </c>
      <c r="BE566" s="11">
        <v>0</v>
      </c>
    </row>
    <row x14ac:dyDescent="0.25" r="567" customHeight="1" ht="17.25">
      <c r="A567" s="11">
        <v>6562140</v>
      </c>
      <c r="B567" s="4" t="s">
        <v>2740</v>
      </c>
      <c r="C567" s="5" t="s">
        <v>2741</v>
      </c>
      <c r="D567" s="5" t="s">
        <v>2742</v>
      </c>
      <c r="E567" s="12"/>
      <c r="F567" s="13">
        <f>"0195324870"</f>
      </c>
      <c r="G567" s="13">
        <f>"9780195324877"</f>
      </c>
      <c r="H567" s="11">
        <v>0</v>
      </c>
      <c r="I567" s="14">
        <v>3.86</v>
      </c>
      <c r="J567" s="7" t="s">
        <v>245</v>
      </c>
      <c r="K567" s="5" t="s">
        <v>72</v>
      </c>
      <c r="L567" s="11">
        <v>384</v>
      </c>
      <c r="M567" s="11">
        <v>2009</v>
      </c>
      <c r="N567" s="11">
        <v>2009</v>
      </c>
      <c r="O567" s="15"/>
      <c r="P567" s="8">
        <v>45173</v>
      </c>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4" t="s">
        <v>38</v>
      </c>
      <c r="AY567" s="5" t="s">
        <v>2743</v>
      </c>
      <c r="AZ567" s="5" t="s">
        <v>38</v>
      </c>
      <c r="BA567" s="12"/>
      <c r="BB567" s="12"/>
      <c r="BC567" s="12"/>
      <c r="BD567" s="11">
        <v>0</v>
      </c>
      <c r="BE567" s="11">
        <v>0</v>
      </c>
    </row>
    <row x14ac:dyDescent="0.25" r="568" customHeight="1" ht="17.25">
      <c r="A568" s="11">
        <v>52374</v>
      </c>
      <c r="B568" s="4" t="s">
        <v>2744</v>
      </c>
      <c r="C568" s="5" t="s">
        <v>1035</v>
      </c>
      <c r="D568" s="5" t="s">
        <v>1036</v>
      </c>
      <c r="E568" s="12"/>
      <c r="F568" s="13">
        <f>"0312280866"</f>
      </c>
      <c r="G568" s="13">
        <f>"9780312280864"</f>
      </c>
      <c r="H568" s="11">
        <v>0</v>
      </c>
      <c r="I568" s="14">
        <v>4.14</v>
      </c>
      <c r="J568" s="7" t="s">
        <v>975</v>
      </c>
      <c r="K568" s="5" t="s">
        <v>60</v>
      </c>
      <c r="L568" s="11">
        <v>312</v>
      </c>
      <c r="M568" s="11">
        <v>2001</v>
      </c>
      <c r="N568" s="11">
        <v>1964</v>
      </c>
      <c r="O568" s="15"/>
      <c r="P568" s="8">
        <v>45173</v>
      </c>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4" t="s">
        <v>38</v>
      </c>
      <c r="AY568" s="5" t="s">
        <v>2745</v>
      </c>
      <c r="AZ568" s="5" t="s">
        <v>38</v>
      </c>
      <c r="BA568" s="12"/>
      <c r="BB568" s="12"/>
      <c r="BC568" s="12"/>
      <c r="BD568" s="11">
        <v>0</v>
      </c>
      <c r="BE568" s="11">
        <v>0</v>
      </c>
    </row>
    <row x14ac:dyDescent="0.25" r="569" customHeight="1" ht="17.25">
      <c r="A569" s="11">
        <v>1767179</v>
      </c>
      <c r="B569" s="4" t="s">
        <v>2746</v>
      </c>
      <c r="C569" s="5" t="s">
        <v>2747</v>
      </c>
      <c r="D569" s="5" t="s">
        <v>2748</v>
      </c>
      <c r="E569" s="12"/>
      <c r="F569" s="13">
        <f>"0374521751"</f>
      </c>
      <c r="G569" s="13">
        <f>"9780374521752"</f>
      </c>
      <c r="H569" s="11">
        <v>0</v>
      </c>
      <c r="I569" s="14">
        <v>3.92</v>
      </c>
      <c r="J569" s="7" t="s">
        <v>2749</v>
      </c>
      <c r="K569" s="5" t="s">
        <v>60</v>
      </c>
      <c r="L569" s="11">
        <v>289</v>
      </c>
      <c r="M569" s="11">
        <v>1989</v>
      </c>
      <c r="N569" s="11">
        <v>1987</v>
      </c>
      <c r="O569" s="15"/>
      <c r="P569" s="8">
        <v>45173</v>
      </c>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4" t="s">
        <v>38</v>
      </c>
      <c r="AY569" s="5" t="s">
        <v>2750</v>
      </c>
      <c r="AZ569" s="5" t="s">
        <v>38</v>
      </c>
      <c r="BA569" s="12"/>
      <c r="BB569" s="12"/>
      <c r="BC569" s="12"/>
      <c r="BD569" s="11">
        <v>0</v>
      </c>
      <c r="BE569" s="11">
        <v>0</v>
      </c>
    </row>
    <row x14ac:dyDescent="0.25" r="570" customHeight="1" ht="17.25">
      <c r="A570" s="11">
        <v>241061</v>
      </c>
      <c r="B570" s="4" t="s">
        <v>2751</v>
      </c>
      <c r="C570" s="5" t="s">
        <v>2752</v>
      </c>
      <c r="D570" s="5" t="s">
        <v>2753</v>
      </c>
      <c r="E570" s="12"/>
      <c r="F570" s="13">
        <f>"0674654617"</f>
      </c>
      <c r="G570" s="13">
        <f>"9780674654617"</f>
      </c>
      <c r="H570" s="11">
        <v>0</v>
      </c>
      <c r="I570" s="14">
        <v>4.15</v>
      </c>
      <c r="J570" s="7" t="s">
        <v>138</v>
      </c>
      <c r="K570" s="5" t="s">
        <v>60</v>
      </c>
      <c r="L570" s="11">
        <v>346</v>
      </c>
      <c r="M570" s="11">
        <v>1996</v>
      </c>
      <c r="N570" s="11">
        <v>1964</v>
      </c>
      <c r="O570" s="15"/>
      <c r="P570" s="8">
        <v>45173</v>
      </c>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4" t="s">
        <v>38</v>
      </c>
      <c r="AY570" s="5" t="s">
        <v>2754</v>
      </c>
      <c r="AZ570" s="5" t="s">
        <v>38</v>
      </c>
      <c r="BA570" s="12"/>
      <c r="BB570" s="12"/>
      <c r="BC570" s="12"/>
      <c r="BD570" s="11">
        <v>0</v>
      </c>
      <c r="BE570" s="11">
        <v>0</v>
      </c>
    </row>
    <row x14ac:dyDescent="0.25" r="571" customHeight="1" ht="17.25">
      <c r="A571" s="11">
        <v>902813</v>
      </c>
      <c r="B571" s="4" t="s">
        <v>2755</v>
      </c>
      <c r="C571" s="5" t="s">
        <v>2756</v>
      </c>
      <c r="D571" s="5" t="s">
        <v>2757</v>
      </c>
      <c r="E571" s="12"/>
      <c r="F571" s="13">
        <f>"0195095758"</f>
      </c>
      <c r="G571" s="13">
        <f>"9780195095753"</f>
      </c>
      <c r="H571" s="11">
        <v>0</v>
      </c>
      <c r="I571" s="14">
        <v>4.19</v>
      </c>
      <c r="J571" s="7" t="s">
        <v>245</v>
      </c>
      <c r="K571" s="5" t="s">
        <v>60</v>
      </c>
      <c r="L571" s="11">
        <v>400</v>
      </c>
      <c r="M571" s="11">
        <v>1995</v>
      </c>
      <c r="N571" s="11">
        <v>1993</v>
      </c>
      <c r="O571" s="15"/>
      <c r="P571" s="8">
        <v>45173</v>
      </c>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4" t="s">
        <v>38</v>
      </c>
      <c r="AY571" s="5" t="s">
        <v>2758</v>
      </c>
      <c r="AZ571" s="5" t="s">
        <v>38</v>
      </c>
      <c r="BA571" s="12"/>
      <c r="BB571" s="12"/>
      <c r="BC571" s="12"/>
      <c r="BD571" s="11">
        <v>0</v>
      </c>
      <c r="BE571" s="11">
        <v>0</v>
      </c>
    </row>
    <row x14ac:dyDescent="0.25" r="572" customHeight="1" ht="17.25">
      <c r="A572" s="11">
        <v>13260387</v>
      </c>
      <c r="B572" s="4" t="s">
        <v>2759</v>
      </c>
      <c r="C572" s="5" t="s">
        <v>2760</v>
      </c>
      <c r="D572" s="5" t="s">
        <v>2761</v>
      </c>
      <c r="E572" s="5" t="s">
        <v>2762</v>
      </c>
      <c r="F572" s="13">
        <f>"1439181551"</f>
      </c>
      <c r="G572" s="13">
        <f>"9781439181553"</f>
      </c>
      <c r="H572" s="11">
        <v>0</v>
      </c>
      <c r="I572" s="14">
        <v>3.77</v>
      </c>
      <c r="J572" s="7" t="s">
        <v>311</v>
      </c>
      <c r="K572" s="5" t="s">
        <v>72</v>
      </c>
      <c r="L572" s="11">
        <v>352</v>
      </c>
      <c r="M572" s="11">
        <v>2014</v>
      </c>
      <c r="N572" s="11">
        <v>2012</v>
      </c>
      <c r="O572" s="15"/>
      <c r="P572" s="8">
        <v>45173</v>
      </c>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4" t="s">
        <v>38</v>
      </c>
      <c r="AY572" s="5" t="s">
        <v>2763</v>
      </c>
      <c r="AZ572" s="5" t="s">
        <v>38</v>
      </c>
      <c r="BA572" s="12"/>
      <c r="BB572" s="12"/>
      <c r="BC572" s="12"/>
      <c r="BD572" s="11">
        <v>0</v>
      </c>
      <c r="BE572" s="11">
        <v>0</v>
      </c>
    </row>
    <row x14ac:dyDescent="0.25" r="573" customHeight="1" ht="17.25">
      <c r="A573" s="11">
        <v>581365</v>
      </c>
      <c r="B573" s="4" t="s">
        <v>2764</v>
      </c>
      <c r="C573" s="5" t="s">
        <v>2765</v>
      </c>
      <c r="D573" s="5" t="s">
        <v>2766</v>
      </c>
      <c r="E573" s="5" t="s">
        <v>2767</v>
      </c>
      <c r="F573" s="13">
        <f>"1405160225"</f>
      </c>
      <c r="G573" s="13">
        <f>"9781405160223"</f>
      </c>
      <c r="H573" s="11">
        <v>0</v>
      </c>
      <c r="I573" s="14">
        <v>4.11</v>
      </c>
      <c r="J573" s="7" t="s">
        <v>1344</v>
      </c>
      <c r="K573" s="5" t="s">
        <v>60</v>
      </c>
      <c r="L573" s="11">
        <v>256</v>
      </c>
      <c r="M573" s="11">
        <v>2007</v>
      </c>
      <c r="N573" s="11">
        <v>2007</v>
      </c>
      <c r="O573" s="15"/>
      <c r="P573" s="8">
        <v>45173</v>
      </c>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4" t="s">
        <v>38</v>
      </c>
      <c r="AY573" s="5" t="s">
        <v>2768</v>
      </c>
      <c r="AZ573" s="5" t="s">
        <v>38</v>
      </c>
      <c r="BA573" s="12"/>
      <c r="BB573" s="12"/>
      <c r="BC573" s="12"/>
      <c r="BD573" s="11">
        <v>0</v>
      </c>
      <c r="BE573" s="11">
        <v>0</v>
      </c>
    </row>
    <row x14ac:dyDescent="0.25" r="574" customHeight="1" ht="17.25">
      <c r="A574" s="11">
        <v>6719017</v>
      </c>
      <c r="B574" s="4" t="s">
        <v>2769</v>
      </c>
      <c r="C574" s="5" t="s">
        <v>2770</v>
      </c>
      <c r="D574" s="5" t="s">
        <v>2771</v>
      </c>
      <c r="E574" s="12"/>
      <c r="F574" s="13">
        <f>"0670021105"</f>
      </c>
      <c r="G574" s="13">
        <f>"9780670021109"</f>
      </c>
      <c r="H574" s="11">
        <v>0</v>
      </c>
      <c r="I574" s="14">
        <v>4.06</v>
      </c>
      <c r="J574" s="7" t="s">
        <v>2772</v>
      </c>
      <c r="K574" s="5" t="s">
        <v>72</v>
      </c>
      <c r="L574" s="11">
        <v>388</v>
      </c>
      <c r="M574" s="11">
        <v>2009</v>
      </c>
      <c r="N574" s="11">
        <v>2007</v>
      </c>
      <c r="O574" s="15"/>
      <c r="P574" s="8">
        <v>45173</v>
      </c>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4" t="s">
        <v>38</v>
      </c>
      <c r="AY574" s="5" t="s">
        <v>2773</v>
      </c>
      <c r="AZ574" s="5" t="s">
        <v>38</v>
      </c>
      <c r="BA574" s="12"/>
      <c r="BB574" s="12"/>
      <c r="BC574" s="12"/>
      <c r="BD574" s="11">
        <v>0</v>
      </c>
      <c r="BE574" s="11">
        <v>0</v>
      </c>
    </row>
    <row x14ac:dyDescent="0.25" r="575" customHeight="1" ht="17.25">
      <c r="A575" s="11">
        <v>1547578</v>
      </c>
      <c r="B575" s="4" t="s">
        <v>2774</v>
      </c>
      <c r="C575" s="5" t="s">
        <v>2775</v>
      </c>
      <c r="D575" s="5" t="s">
        <v>2776</v>
      </c>
      <c r="E575" s="12"/>
      <c r="F575" s="13">
        <f>"068807877X"</f>
      </c>
      <c r="G575" s="13">
        <f>"9780688078775"</f>
      </c>
      <c r="H575" s="11">
        <v>0</v>
      </c>
      <c r="I575" s="11">
        <v>4</v>
      </c>
      <c r="J575" s="7" t="s">
        <v>2777</v>
      </c>
      <c r="K575" s="5" t="s">
        <v>60</v>
      </c>
      <c r="L575" s="11">
        <v>835</v>
      </c>
      <c r="M575" s="11">
        <v>1974</v>
      </c>
      <c r="N575" s="11">
        <v>1974</v>
      </c>
      <c r="O575" s="15"/>
      <c r="P575" s="8">
        <v>45173</v>
      </c>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4" t="s">
        <v>38</v>
      </c>
      <c r="AY575" s="5" t="s">
        <v>2778</v>
      </c>
      <c r="AZ575" s="5" t="s">
        <v>38</v>
      </c>
      <c r="BA575" s="12"/>
      <c r="BB575" s="12"/>
      <c r="BC575" s="12"/>
      <c r="BD575" s="11">
        <v>0</v>
      </c>
      <c r="BE575" s="11">
        <v>0</v>
      </c>
    </row>
    <row x14ac:dyDescent="0.25" r="576" customHeight="1" ht="17.25">
      <c r="A576" s="11">
        <v>28814790</v>
      </c>
      <c r="B576" s="4" t="s">
        <v>2779</v>
      </c>
      <c r="C576" s="5" t="s">
        <v>2775</v>
      </c>
      <c r="D576" s="5" t="s">
        <v>2776</v>
      </c>
      <c r="E576" s="5" t="s">
        <v>2780</v>
      </c>
      <c r="F576" s="13">
        <f>"0679644830"</f>
      </c>
      <c r="G576" s="13">
        <f>"9780679644835"</f>
      </c>
      <c r="H576" s="11">
        <v>0</v>
      </c>
      <c r="I576" s="14">
        <v>4.03</v>
      </c>
      <c r="J576" s="7" t="s">
        <v>1018</v>
      </c>
      <c r="K576" s="5" t="s">
        <v>72</v>
      </c>
      <c r="L576" s="11">
        <v>720</v>
      </c>
      <c r="M576" s="11">
        <v>2016</v>
      </c>
      <c r="N576" s="11">
        <v>2016</v>
      </c>
      <c r="O576" s="15"/>
      <c r="P576" s="8">
        <v>45173</v>
      </c>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4" t="s">
        <v>38</v>
      </c>
      <c r="AY576" s="5" t="s">
        <v>2781</v>
      </c>
      <c r="AZ576" s="5" t="s">
        <v>38</v>
      </c>
      <c r="BA576" s="12"/>
      <c r="BB576" s="12"/>
      <c r="BC576" s="12"/>
      <c r="BD576" s="11">
        <v>0</v>
      </c>
      <c r="BE576" s="11">
        <v>0</v>
      </c>
    </row>
    <row x14ac:dyDescent="0.25" r="577" customHeight="1" ht="17.25">
      <c r="A577" s="11">
        <v>24388341</v>
      </c>
      <c r="B577" s="4" t="s">
        <v>2782</v>
      </c>
      <c r="C577" s="5" t="s">
        <v>2775</v>
      </c>
      <c r="D577" s="5" t="s">
        <v>2776</v>
      </c>
      <c r="E577" s="5" t="s">
        <v>2783</v>
      </c>
      <c r="F577" s="13">
        <f>"0679644814"</f>
      </c>
      <c r="G577" s="13">
        <f>"9780679644811"</f>
      </c>
      <c r="H577" s="11">
        <v>0</v>
      </c>
      <c r="I577" s="14">
        <v>4.11</v>
      </c>
      <c r="J577" s="7" t="s">
        <v>1018</v>
      </c>
      <c r="K577" s="5" t="s">
        <v>72</v>
      </c>
      <c r="L577" s="11">
        <v>784</v>
      </c>
      <c r="M577" s="11">
        <v>2015</v>
      </c>
      <c r="N577" s="11">
        <v>2015</v>
      </c>
      <c r="O577" s="15"/>
      <c r="P577" s="8">
        <v>45173</v>
      </c>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4" t="s">
        <v>38</v>
      </c>
      <c r="AY577" s="5" t="s">
        <v>2784</v>
      </c>
      <c r="AZ577" s="5" t="s">
        <v>38</v>
      </c>
      <c r="BA577" s="12"/>
      <c r="BB577" s="12"/>
      <c r="BC577" s="12"/>
      <c r="BD577" s="11">
        <v>0</v>
      </c>
      <c r="BE577" s="11">
        <v>0</v>
      </c>
    </row>
    <row x14ac:dyDescent="0.25" r="578" customHeight="1" ht="17.25">
      <c r="A578" s="11">
        <v>18310234</v>
      </c>
      <c r="B578" s="4" t="s">
        <v>2785</v>
      </c>
      <c r="C578" s="5" t="s">
        <v>2775</v>
      </c>
      <c r="D578" s="5" t="s">
        <v>2776</v>
      </c>
      <c r="E578" s="5" t="s">
        <v>2786</v>
      </c>
      <c r="F578" s="13">
        <f>"0679644792"</f>
      </c>
      <c r="G578" s="13">
        <f>"9780679644798"</f>
      </c>
      <c r="H578" s="11">
        <v>0</v>
      </c>
      <c r="I578" s="14">
        <v>4.26</v>
      </c>
      <c r="J578" s="7" t="s">
        <v>1018</v>
      </c>
      <c r="K578" s="5" t="s">
        <v>72</v>
      </c>
      <c r="L578" s="11">
        <v>696</v>
      </c>
      <c r="M578" s="11">
        <v>2014</v>
      </c>
      <c r="N578" s="11">
        <v>2014</v>
      </c>
      <c r="O578" s="15"/>
      <c r="P578" s="8">
        <v>45173</v>
      </c>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4" t="s">
        <v>38</v>
      </c>
      <c r="AY578" s="5" t="s">
        <v>2787</v>
      </c>
      <c r="AZ578" s="5" t="s">
        <v>38</v>
      </c>
      <c r="BA578" s="12"/>
      <c r="BB578" s="12"/>
      <c r="BC578" s="12"/>
      <c r="BD578" s="11">
        <v>0</v>
      </c>
      <c r="BE578" s="11">
        <v>0</v>
      </c>
    </row>
    <row x14ac:dyDescent="0.25" r="579" customHeight="1" ht="17.25">
      <c r="A579" s="11">
        <v>18505796</v>
      </c>
      <c r="B579" s="4" t="s">
        <v>2788</v>
      </c>
      <c r="C579" s="5" t="s">
        <v>2789</v>
      </c>
      <c r="D579" s="5" t="s">
        <v>2790</v>
      </c>
      <c r="E579" s="12"/>
      <c r="F579" s="13">
        <f>"0062265423"</f>
      </c>
      <c r="G579" s="13">
        <f>"9780062265425"</f>
      </c>
      <c r="H579" s="11">
        <v>0</v>
      </c>
      <c r="I579" s="14">
        <v>3.92</v>
      </c>
      <c r="J579" s="7" t="s">
        <v>2791</v>
      </c>
      <c r="K579" s="5" t="s">
        <v>72</v>
      </c>
      <c r="L579" s="11">
        <v>256</v>
      </c>
      <c r="M579" s="11">
        <v>2014</v>
      </c>
      <c r="N579" s="11">
        <v>2014</v>
      </c>
      <c r="O579" s="15"/>
      <c r="P579" s="8">
        <v>45173</v>
      </c>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4" t="s">
        <v>38</v>
      </c>
      <c r="AY579" s="5" t="s">
        <v>2792</v>
      </c>
      <c r="AZ579" s="5" t="s">
        <v>38</v>
      </c>
      <c r="BA579" s="12"/>
      <c r="BB579" s="12"/>
      <c r="BC579" s="12"/>
      <c r="BD579" s="11">
        <v>0</v>
      </c>
      <c r="BE579" s="11">
        <v>0</v>
      </c>
    </row>
    <row x14ac:dyDescent="0.25" r="580" customHeight="1" ht="17.25">
      <c r="A580" s="11">
        <v>17910086</v>
      </c>
      <c r="B580" s="4" t="s">
        <v>2793</v>
      </c>
      <c r="C580" s="5" t="s">
        <v>2794</v>
      </c>
      <c r="D580" s="5" t="s">
        <v>2795</v>
      </c>
      <c r="E580" s="12"/>
      <c r="F580" s="13">
        <f>"0805095691"</f>
      </c>
      <c r="G580" s="13">
        <f>"9780805095692"</f>
      </c>
      <c r="H580" s="11">
        <v>0</v>
      </c>
      <c r="I580" s="14">
        <v>3.88</v>
      </c>
      <c r="J580" s="7" t="s">
        <v>2796</v>
      </c>
      <c r="K580" s="5" t="s">
        <v>72</v>
      </c>
      <c r="L580" s="11">
        <v>304</v>
      </c>
      <c r="M580" s="11">
        <v>2014</v>
      </c>
      <c r="N580" s="11">
        <v>2014</v>
      </c>
      <c r="O580" s="15"/>
      <c r="P580" s="8">
        <v>45173</v>
      </c>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4" t="s">
        <v>38</v>
      </c>
      <c r="AY580" s="5" t="s">
        <v>2797</v>
      </c>
      <c r="AZ580" s="5" t="s">
        <v>38</v>
      </c>
      <c r="BA580" s="12"/>
      <c r="BB580" s="12"/>
      <c r="BC580" s="12"/>
      <c r="BD580" s="11">
        <v>0</v>
      </c>
      <c r="BE580" s="11">
        <v>0</v>
      </c>
    </row>
    <row x14ac:dyDescent="0.25" r="581" customHeight="1" ht="17.25">
      <c r="A581" s="11">
        <v>6509046</v>
      </c>
      <c r="B581" s="4" t="s">
        <v>2798</v>
      </c>
      <c r="C581" s="5" t="s">
        <v>2799</v>
      </c>
      <c r="D581" s="5" t="s">
        <v>2800</v>
      </c>
      <c r="E581" s="12"/>
      <c r="F581" s="13">
        <f>"0571242545"</f>
      </c>
      <c r="G581" s="13">
        <f>"9780571242542"</f>
      </c>
      <c r="H581" s="11">
        <v>0</v>
      </c>
      <c r="I581" s="14">
        <v>3.86</v>
      </c>
      <c r="J581" s="7" t="s">
        <v>1618</v>
      </c>
      <c r="K581" s="5" t="s">
        <v>60</v>
      </c>
      <c r="L581" s="11">
        <v>399</v>
      </c>
      <c r="M581" s="11">
        <v>2010</v>
      </c>
      <c r="N581" s="11">
        <v>2009</v>
      </c>
      <c r="O581" s="15"/>
      <c r="P581" s="8">
        <v>45173</v>
      </c>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4" t="s">
        <v>38</v>
      </c>
      <c r="AY581" s="5" t="s">
        <v>2801</v>
      </c>
      <c r="AZ581" s="5" t="s">
        <v>38</v>
      </c>
      <c r="BA581" s="12"/>
      <c r="BB581" s="12"/>
      <c r="BC581" s="12"/>
      <c r="BD581" s="11">
        <v>0</v>
      </c>
      <c r="BE581" s="11">
        <v>0</v>
      </c>
    </row>
    <row x14ac:dyDescent="0.25" r="582" customHeight="1" ht="17.25">
      <c r="A582" s="11">
        <v>34459</v>
      </c>
      <c r="B582" s="4" t="s">
        <v>2802</v>
      </c>
      <c r="C582" s="5" t="s">
        <v>2803</v>
      </c>
      <c r="D582" s="5" t="s">
        <v>2804</v>
      </c>
      <c r="E582" s="5" t="s">
        <v>2805</v>
      </c>
      <c r="F582" s="13">
        <f>"0226468011"</f>
      </c>
      <c r="G582" s="13">
        <f>"9780226468013"</f>
      </c>
      <c r="H582" s="11">
        <v>0</v>
      </c>
      <c r="I582" s="14">
        <v>4.1</v>
      </c>
      <c r="J582" s="7" t="s">
        <v>255</v>
      </c>
      <c r="K582" s="5" t="s">
        <v>60</v>
      </c>
      <c r="L582" s="11">
        <v>276</v>
      </c>
      <c r="M582" s="11">
        <v>2003</v>
      </c>
      <c r="N582" s="11">
        <v>1980</v>
      </c>
      <c r="O582" s="15"/>
      <c r="P582" s="8">
        <v>45172</v>
      </c>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4" t="s">
        <v>38</v>
      </c>
      <c r="AY582" s="5" t="s">
        <v>2806</v>
      </c>
      <c r="AZ582" s="5" t="s">
        <v>38</v>
      </c>
      <c r="BA582" s="12"/>
      <c r="BB582" s="12"/>
      <c r="BC582" s="12"/>
      <c r="BD582" s="11">
        <v>0</v>
      </c>
      <c r="BE582" s="11">
        <v>0</v>
      </c>
    </row>
    <row x14ac:dyDescent="0.25" r="583" customHeight="1" ht="17.25">
      <c r="A583" s="11">
        <v>22756935</v>
      </c>
      <c r="B583" s="4" t="s">
        <v>2807</v>
      </c>
      <c r="C583" s="5" t="s">
        <v>2808</v>
      </c>
      <c r="D583" s="5" t="s">
        <v>2809</v>
      </c>
      <c r="E583" s="12"/>
      <c r="F583" s="13">
        <f>""</f>
      </c>
      <c r="G583" s="13">
        <f>""</f>
      </c>
      <c r="H583" s="11">
        <v>0</v>
      </c>
      <c r="I583" s="14">
        <v>3.88</v>
      </c>
      <c r="J583" s="7" t="s">
        <v>225</v>
      </c>
      <c r="K583" s="5" t="s">
        <v>90</v>
      </c>
      <c r="L583" s="11">
        <v>784</v>
      </c>
      <c r="M583" s="11">
        <v>2015</v>
      </c>
      <c r="N583" s="11">
        <v>2015</v>
      </c>
      <c r="O583" s="15"/>
      <c r="P583" s="8">
        <v>45172</v>
      </c>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4" t="s">
        <v>38</v>
      </c>
      <c r="AY583" s="5" t="s">
        <v>2810</v>
      </c>
      <c r="AZ583" s="5" t="s">
        <v>38</v>
      </c>
      <c r="BA583" s="12"/>
      <c r="BB583" s="12"/>
      <c r="BC583" s="12"/>
      <c r="BD583" s="11">
        <v>0</v>
      </c>
      <c r="BE583" s="11">
        <v>0</v>
      </c>
    </row>
    <row x14ac:dyDescent="0.25" r="584" customHeight="1" ht="17.25">
      <c r="A584" s="11">
        <v>24341585</v>
      </c>
      <c r="B584" s="4" t="s">
        <v>2811</v>
      </c>
      <c r="C584" s="5" t="s">
        <v>2812</v>
      </c>
      <c r="D584" s="5" t="s">
        <v>2813</v>
      </c>
      <c r="E584" s="12"/>
      <c r="F584" s="13">
        <f>"0807075469"</f>
      </c>
      <c r="G584" s="13">
        <f>"9780807075463"</f>
      </c>
      <c r="H584" s="11">
        <v>0</v>
      </c>
      <c r="I584" s="14">
        <v>3.73</v>
      </c>
      <c r="J584" s="7" t="s">
        <v>861</v>
      </c>
      <c r="K584" s="5" t="s">
        <v>60</v>
      </c>
      <c r="L584" s="11">
        <v>211</v>
      </c>
      <c r="M584" s="11">
        <v>2015</v>
      </c>
      <c r="N584" s="11">
        <v>2015</v>
      </c>
      <c r="O584" s="15"/>
      <c r="P584" s="8">
        <v>45172</v>
      </c>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4" t="s">
        <v>38</v>
      </c>
      <c r="AY584" s="5" t="s">
        <v>2814</v>
      </c>
      <c r="AZ584" s="5" t="s">
        <v>38</v>
      </c>
      <c r="BA584" s="12"/>
      <c r="BB584" s="12"/>
      <c r="BC584" s="12"/>
      <c r="BD584" s="11">
        <v>0</v>
      </c>
      <c r="BE584" s="11">
        <v>0</v>
      </c>
    </row>
    <row x14ac:dyDescent="0.25" r="585" customHeight="1" ht="17.25">
      <c r="A585" s="11">
        <v>10791288</v>
      </c>
      <c r="B585" s="4" t="s">
        <v>2815</v>
      </c>
      <c r="C585" s="5" t="s">
        <v>2816</v>
      </c>
      <c r="D585" s="5" t="s">
        <v>2817</v>
      </c>
      <c r="E585" s="12"/>
      <c r="F585" s="13">
        <f>"0300141106"</f>
      </c>
      <c r="G585" s="13">
        <f>"9780300141108"</f>
      </c>
      <c r="H585" s="11">
        <v>0</v>
      </c>
      <c r="I585" s="14">
        <v>3.16</v>
      </c>
      <c r="J585" s="7" t="s">
        <v>576</v>
      </c>
      <c r="K585" s="5" t="s">
        <v>72</v>
      </c>
      <c r="L585" s="11">
        <v>224</v>
      </c>
      <c r="M585" s="11">
        <v>2011</v>
      </c>
      <c r="N585" s="11">
        <v>2011</v>
      </c>
      <c r="O585" s="15"/>
      <c r="P585" s="8">
        <v>45172</v>
      </c>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4" t="s">
        <v>38</v>
      </c>
      <c r="AY585" s="5" t="s">
        <v>2818</v>
      </c>
      <c r="AZ585" s="5" t="s">
        <v>38</v>
      </c>
      <c r="BA585" s="12"/>
      <c r="BB585" s="12"/>
      <c r="BC585" s="12"/>
      <c r="BD585" s="11">
        <v>0</v>
      </c>
      <c r="BE585" s="11">
        <v>0</v>
      </c>
    </row>
    <row x14ac:dyDescent="0.25" r="586" customHeight="1" ht="17.25">
      <c r="A586" s="11">
        <v>13079548</v>
      </c>
      <c r="B586" s="4" t="s">
        <v>2819</v>
      </c>
      <c r="C586" s="5" t="s">
        <v>2820</v>
      </c>
      <c r="D586" s="5" t="s">
        <v>2821</v>
      </c>
      <c r="E586" s="12"/>
      <c r="F586" s="13">
        <f>"0811219453"</f>
      </c>
      <c r="G586" s="13">
        <f>"9780811219457"</f>
      </c>
      <c r="H586" s="11">
        <v>0</v>
      </c>
      <c r="I586" s="14">
        <v>4.02</v>
      </c>
      <c r="J586" s="7" t="s">
        <v>126</v>
      </c>
      <c r="K586" s="5" t="s">
        <v>72</v>
      </c>
      <c r="L586" s="11">
        <v>223</v>
      </c>
      <c r="M586" s="11">
        <v>2012</v>
      </c>
      <c r="N586" s="11">
        <v>2011</v>
      </c>
      <c r="O586" s="15"/>
      <c r="P586" s="8">
        <v>45172</v>
      </c>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4" t="s">
        <v>38</v>
      </c>
      <c r="AY586" s="5" t="s">
        <v>2822</v>
      </c>
      <c r="AZ586" s="5" t="s">
        <v>38</v>
      </c>
      <c r="BA586" s="12"/>
      <c r="BB586" s="12"/>
      <c r="BC586" s="12"/>
      <c r="BD586" s="11">
        <v>0</v>
      </c>
      <c r="BE586" s="11">
        <v>0</v>
      </c>
    </row>
    <row x14ac:dyDescent="0.25" r="587" customHeight="1" ht="17.25">
      <c r="A587" s="11">
        <v>91781</v>
      </c>
      <c r="B587" s="4" t="s">
        <v>2823</v>
      </c>
      <c r="C587" s="5" t="s">
        <v>2824</v>
      </c>
      <c r="D587" s="5" t="s">
        <v>2825</v>
      </c>
      <c r="E587" s="5" t="s">
        <v>2826</v>
      </c>
      <c r="F587" s="13">
        <f>"0062506064"</f>
      </c>
      <c r="G587" s="13">
        <f>"9780062506061"</f>
      </c>
      <c r="H587" s="11">
        <v>0</v>
      </c>
      <c r="I587" s="14">
        <v>4.13</v>
      </c>
      <c r="J587" s="7" t="s">
        <v>2445</v>
      </c>
      <c r="K587" s="5" t="s">
        <v>60</v>
      </c>
      <c r="L587" s="11">
        <v>192</v>
      </c>
      <c r="M587" s="11">
        <v>1991</v>
      </c>
      <c r="N587" s="11">
        <v>1990</v>
      </c>
      <c r="O587" s="15"/>
      <c r="P587" s="8">
        <v>45172</v>
      </c>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4" t="s">
        <v>38</v>
      </c>
      <c r="AY587" s="5" t="s">
        <v>2827</v>
      </c>
      <c r="AZ587" s="5" t="s">
        <v>38</v>
      </c>
      <c r="BA587" s="12"/>
      <c r="BB587" s="12"/>
      <c r="BC587" s="12"/>
      <c r="BD587" s="11">
        <v>0</v>
      </c>
      <c r="BE587" s="11">
        <v>0</v>
      </c>
    </row>
    <row x14ac:dyDescent="0.25" r="588" customHeight="1" ht="17.25">
      <c r="A588" s="11">
        <v>239927</v>
      </c>
      <c r="B588" s="4" t="s">
        <v>2828</v>
      </c>
      <c r="C588" s="5" t="s">
        <v>2829</v>
      </c>
      <c r="D588" s="5" t="s">
        <v>2830</v>
      </c>
      <c r="E588" s="12"/>
      <c r="F588" s="13">
        <f>"0415905192"</f>
      </c>
      <c r="G588" s="13">
        <f>"9780415905190"</f>
      </c>
      <c r="H588" s="11">
        <v>0</v>
      </c>
      <c r="I588" s="14">
        <v>4.13</v>
      </c>
      <c r="J588" s="7" t="s">
        <v>163</v>
      </c>
      <c r="K588" s="5" t="s">
        <v>60</v>
      </c>
      <c r="L588" s="11">
        <v>688</v>
      </c>
      <c r="M588" s="11">
        <v>1993</v>
      </c>
      <c r="N588" s="11">
        <v>1993</v>
      </c>
      <c r="O588" s="15"/>
      <c r="P588" s="8">
        <v>45172</v>
      </c>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4" t="s">
        <v>38</v>
      </c>
      <c r="AY588" s="5" t="s">
        <v>2831</v>
      </c>
      <c r="AZ588" s="5" t="s">
        <v>38</v>
      </c>
      <c r="BA588" s="12"/>
      <c r="BB588" s="12"/>
      <c r="BC588" s="12"/>
      <c r="BD588" s="11">
        <v>0</v>
      </c>
      <c r="BE588" s="11">
        <v>0</v>
      </c>
    </row>
    <row x14ac:dyDescent="0.25" r="589" customHeight="1" ht="17.25">
      <c r="A589" s="11">
        <v>732225</v>
      </c>
      <c r="B589" s="4" t="s">
        <v>2832</v>
      </c>
      <c r="C589" s="5" t="s">
        <v>2833</v>
      </c>
      <c r="D589" s="5" t="s">
        <v>2834</v>
      </c>
      <c r="E589" s="12"/>
      <c r="F589" s="13">
        <f>"0674362705"</f>
      </c>
      <c r="G589" s="13">
        <f>"9780674362703"</f>
      </c>
      <c r="H589" s="11">
        <v>0</v>
      </c>
      <c r="I589" s="14">
        <v>3.78</v>
      </c>
      <c r="J589" s="7" t="s">
        <v>138</v>
      </c>
      <c r="K589" s="5" t="s">
        <v>60</v>
      </c>
      <c r="L589" s="11">
        <v>256</v>
      </c>
      <c r="M589" s="11">
        <v>1989</v>
      </c>
      <c r="N589" s="11">
        <v>1977</v>
      </c>
      <c r="O589" s="15"/>
      <c r="P589" s="8">
        <v>45172</v>
      </c>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4" t="s">
        <v>38</v>
      </c>
      <c r="AY589" s="5" t="s">
        <v>2835</v>
      </c>
      <c r="AZ589" s="5" t="s">
        <v>38</v>
      </c>
      <c r="BA589" s="12"/>
      <c r="BB589" s="12"/>
      <c r="BC589" s="12"/>
      <c r="BD589" s="11">
        <v>0</v>
      </c>
      <c r="BE589" s="11">
        <v>0</v>
      </c>
    </row>
    <row x14ac:dyDescent="0.25" r="590" customHeight="1" ht="17.25">
      <c r="A590" s="11">
        <v>23282306</v>
      </c>
      <c r="B590" s="4" t="s">
        <v>2836</v>
      </c>
      <c r="C590" s="5" t="s">
        <v>2837</v>
      </c>
      <c r="D590" s="5" t="s">
        <v>2838</v>
      </c>
      <c r="E590" s="12"/>
      <c r="F590" s="13">
        <f>"1559364890"</f>
      </c>
      <c r="G590" s="13">
        <f>"9781559364898"</f>
      </c>
      <c r="H590" s="11">
        <v>0</v>
      </c>
      <c r="I590" s="14">
        <v>3.92</v>
      </c>
      <c r="J590" s="7" t="s">
        <v>2839</v>
      </c>
      <c r="K590" s="5" t="s">
        <v>60</v>
      </c>
      <c r="L590" s="11">
        <v>192</v>
      </c>
      <c r="M590" s="11">
        <v>2023</v>
      </c>
      <c r="N590" s="11">
        <v>2012</v>
      </c>
      <c r="O590" s="15"/>
      <c r="P590" s="8">
        <v>45172</v>
      </c>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4" t="s">
        <v>38</v>
      </c>
      <c r="AY590" s="5" t="s">
        <v>2840</v>
      </c>
      <c r="AZ590" s="5" t="s">
        <v>38</v>
      </c>
      <c r="BA590" s="12"/>
      <c r="BB590" s="12"/>
      <c r="BC590" s="12"/>
      <c r="BD590" s="11">
        <v>0</v>
      </c>
      <c r="BE590" s="11">
        <v>0</v>
      </c>
    </row>
    <row x14ac:dyDescent="0.25" r="591" customHeight="1" ht="17.25">
      <c r="A591" s="11">
        <v>61540891</v>
      </c>
      <c r="B591" s="4" t="s">
        <v>2841</v>
      </c>
      <c r="C591" s="5" t="s">
        <v>2842</v>
      </c>
      <c r="D591" s="5" t="s">
        <v>2843</v>
      </c>
      <c r="E591" s="12"/>
      <c r="F591" s="13">
        <f>""</f>
      </c>
      <c r="G591" s="13">
        <f>"9781914237041"</f>
      </c>
      <c r="H591" s="11">
        <v>0</v>
      </c>
      <c r="I591" s="14">
        <v>3.83</v>
      </c>
      <c r="J591" s="7" t="s">
        <v>2844</v>
      </c>
      <c r="K591" s="5" t="s">
        <v>60</v>
      </c>
      <c r="L591" s="11">
        <v>198</v>
      </c>
      <c r="M591" s="11">
        <v>2022</v>
      </c>
      <c r="N591" s="16"/>
      <c r="O591" s="15"/>
      <c r="P591" s="8">
        <v>45172</v>
      </c>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4" t="s">
        <v>38</v>
      </c>
      <c r="AY591" s="5" t="s">
        <v>2845</v>
      </c>
      <c r="AZ591" s="5" t="s">
        <v>38</v>
      </c>
      <c r="BA591" s="12"/>
      <c r="BB591" s="12"/>
      <c r="BC591" s="12"/>
      <c r="BD591" s="11">
        <v>0</v>
      </c>
      <c r="BE591" s="11">
        <v>0</v>
      </c>
    </row>
    <row x14ac:dyDescent="0.25" r="592" customHeight="1" ht="17.25">
      <c r="A592" s="11">
        <v>17735647</v>
      </c>
      <c r="B592" s="4" t="s">
        <v>2846</v>
      </c>
      <c r="C592" s="5" t="s">
        <v>2847</v>
      </c>
      <c r="D592" s="5" t="s">
        <v>2848</v>
      </c>
      <c r="E592" s="12"/>
      <c r="F592" s="13">
        <f>"0140522956"</f>
      </c>
      <c r="G592" s="13">
        <f>"9780140522952"</f>
      </c>
      <c r="H592" s="11">
        <v>0</v>
      </c>
      <c r="I592" s="14">
        <v>4.22</v>
      </c>
      <c r="J592" s="7" t="s">
        <v>2849</v>
      </c>
      <c r="K592" s="5" t="s">
        <v>60</v>
      </c>
      <c r="L592" s="11">
        <v>139</v>
      </c>
      <c r="M592" s="11">
        <v>1972</v>
      </c>
      <c r="N592" s="11">
        <v>1972</v>
      </c>
      <c r="O592" s="15"/>
      <c r="P592" s="8">
        <v>45171</v>
      </c>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4" t="s">
        <v>38</v>
      </c>
      <c r="AY592" s="5" t="s">
        <v>2850</v>
      </c>
      <c r="AZ592" s="5" t="s">
        <v>38</v>
      </c>
      <c r="BA592" s="12"/>
      <c r="BB592" s="12"/>
      <c r="BC592" s="12"/>
      <c r="BD592" s="11">
        <v>0</v>
      </c>
      <c r="BE592" s="11">
        <v>0</v>
      </c>
    </row>
    <row x14ac:dyDescent="0.25" r="593" customHeight="1" ht="17.25">
      <c r="A593" s="11">
        <v>36436</v>
      </c>
      <c r="B593" s="4" t="s">
        <v>2851</v>
      </c>
      <c r="C593" s="5" t="s">
        <v>1084</v>
      </c>
      <c r="D593" s="5" t="s">
        <v>1085</v>
      </c>
      <c r="E593" s="12"/>
      <c r="F593" s="13">
        <f>"0375701486"</f>
      </c>
      <c r="G593" s="13">
        <f>"9780375701481"</f>
      </c>
      <c r="H593" s="11">
        <v>0</v>
      </c>
      <c r="I593" s="14">
        <v>3.8</v>
      </c>
      <c r="J593" s="7" t="s">
        <v>114</v>
      </c>
      <c r="K593" s="5" t="s">
        <v>60</v>
      </c>
      <c r="L593" s="11">
        <v>416</v>
      </c>
      <c r="M593" s="11">
        <v>2005</v>
      </c>
      <c r="N593" s="11">
        <v>2004</v>
      </c>
      <c r="O593" s="15"/>
      <c r="P593" s="8">
        <v>45171</v>
      </c>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4" t="s">
        <v>38</v>
      </c>
      <c r="AY593" s="5" t="s">
        <v>2852</v>
      </c>
      <c r="AZ593" s="5" t="s">
        <v>38</v>
      </c>
      <c r="BA593" s="12"/>
      <c r="BB593" s="12"/>
      <c r="BC593" s="12"/>
      <c r="BD593" s="11">
        <v>0</v>
      </c>
      <c r="BE593" s="11">
        <v>0</v>
      </c>
    </row>
    <row x14ac:dyDescent="0.25" r="594" customHeight="1" ht="17.25">
      <c r="A594" s="11">
        <v>1443432</v>
      </c>
      <c r="B594" s="4" t="s">
        <v>2853</v>
      </c>
      <c r="C594" s="5" t="s">
        <v>2854</v>
      </c>
      <c r="D594" s="5" t="s">
        <v>2855</v>
      </c>
      <c r="E594" s="12"/>
      <c r="F594" s="13">
        <f>"1844671917"</f>
      </c>
      <c r="G594" s="13">
        <f>"9781844671915"</f>
      </c>
      <c r="H594" s="11">
        <v>0</v>
      </c>
      <c r="I594" s="14">
        <v>4.09</v>
      </c>
      <c r="J594" s="7" t="s">
        <v>1155</v>
      </c>
      <c r="K594" s="5" t="s">
        <v>60</v>
      </c>
      <c r="L594" s="11">
        <v>312</v>
      </c>
      <c r="M594" s="11">
        <v>2008</v>
      </c>
      <c r="N594" s="11">
        <v>1947</v>
      </c>
      <c r="O594" s="15"/>
      <c r="P594" s="8">
        <v>45170</v>
      </c>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4" t="s">
        <v>38</v>
      </c>
      <c r="AY594" s="5" t="s">
        <v>2856</v>
      </c>
      <c r="AZ594" s="5" t="s">
        <v>38</v>
      </c>
      <c r="BA594" s="12"/>
      <c r="BB594" s="12"/>
      <c r="BC594" s="12"/>
      <c r="BD594" s="11">
        <v>0</v>
      </c>
      <c r="BE594" s="11">
        <v>0</v>
      </c>
    </row>
    <row x14ac:dyDescent="0.25" r="595" customHeight="1" ht="17.25">
      <c r="A595" s="11">
        <v>282447</v>
      </c>
      <c r="B595" s="4" t="s">
        <v>2857</v>
      </c>
      <c r="C595" s="5" t="s">
        <v>1527</v>
      </c>
      <c r="D595" s="5" t="s">
        <v>1528</v>
      </c>
      <c r="E595" s="12"/>
      <c r="F595" s="13">
        <f>"0393310957"</f>
      </c>
      <c r="G595" s="13">
        <f>"9780393310955"</f>
      </c>
      <c r="H595" s="11">
        <v>0</v>
      </c>
      <c r="I595" s="14">
        <v>4.02</v>
      </c>
      <c r="J595" s="7" t="s">
        <v>144</v>
      </c>
      <c r="K595" s="5" t="s">
        <v>60</v>
      </c>
      <c r="L595" s="11">
        <v>192</v>
      </c>
      <c r="M595" s="11">
        <v>1994</v>
      </c>
      <c r="N595" s="11">
        <v>1930</v>
      </c>
      <c r="O595" s="15"/>
      <c r="P595" s="8">
        <v>45170</v>
      </c>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4" t="s">
        <v>38</v>
      </c>
      <c r="AY595" s="5" t="s">
        <v>2858</v>
      </c>
      <c r="AZ595" s="5" t="s">
        <v>38</v>
      </c>
      <c r="BA595" s="12"/>
      <c r="BB595" s="12"/>
      <c r="BC595" s="12"/>
      <c r="BD595" s="11">
        <v>0</v>
      </c>
      <c r="BE595" s="11">
        <v>0</v>
      </c>
    </row>
    <row x14ac:dyDescent="0.25" r="596" customHeight="1" ht="17.25">
      <c r="A596" s="11">
        <v>22135</v>
      </c>
      <c r="B596" s="4" t="s">
        <v>2859</v>
      </c>
      <c r="C596" s="5" t="s">
        <v>2860</v>
      </c>
      <c r="D596" s="5" t="s">
        <v>2861</v>
      </c>
      <c r="E596" s="12"/>
      <c r="F596" s="13">
        <f>"0679750541"</f>
      </c>
      <c r="G596" s="13">
        <f>"9780679750543"</f>
      </c>
      <c r="H596" s="11">
        <v>0</v>
      </c>
      <c r="I596" s="14">
        <v>4.17</v>
      </c>
      <c r="J596" s="7" t="s">
        <v>114</v>
      </c>
      <c r="K596" s="5" t="s">
        <v>60</v>
      </c>
      <c r="L596" s="11">
        <v>402</v>
      </c>
      <c r="M596" s="11">
        <v>1994</v>
      </c>
      <c r="N596" s="11">
        <v>1993</v>
      </c>
      <c r="O596" s="15"/>
      <c r="P596" s="8">
        <v>45170</v>
      </c>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4" t="s">
        <v>38</v>
      </c>
      <c r="AY596" s="5" t="s">
        <v>2862</v>
      </c>
      <c r="AZ596" s="5" t="s">
        <v>38</v>
      </c>
      <c r="BA596" s="12"/>
      <c r="BB596" s="12"/>
      <c r="BC596" s="12"/>
      <c r="BD596" s="11">
        <v>0</v>
      </c>
      <c r="BE596" s="11">
        <v>0</v>
      </c>
    </row>
    <row x14ac:dyDescent="0.25" r="597" customHeight="1" ht="17.25">
      <c r="A597" s="11">
        <v>381440</v>
      </c>
      <c r="B597" s="4" t="s">
        <v>2863</v>
      </c>
      <c r="C597" s="5" t="s">
        <v>2864</v>
      </c>
      <c r="D597" s="5" t="s">
        <v>2865</v>
      </c>
      <c r="E597" s="5" t="s">
        <v>2866</v>
      </c>
      <c r="F597" s="13">
        <f>"0942299795"</f>
      </c>
      <c r="G597" s="13">
        <f>"9780942299793"</f>
      </c>
      <c r="H597" s="11">
        <v>0</v>
      </c>
      <c r="I597" s="14">
        <v>4.03</v>
      </c>
      <c r="J597" s="7" t="s">
        <v>2867</v>
      </c>
      <c r="K597" s="5" t="s">
        <v>60</v>
      </c>
      <c r="L597" s="11">
        <v>160</v>
      </c>
      <c r="M597" s="11">
        <v>1995</v>
      </c>
      <c r="N597" s="11">
        <v>1967</v>
      </c>
      <c r="O597" s="15"/>
      <c r="P597" s="8">
        <v>45170</v>
      </c>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4" t="s">
        <v>38</v>
      </c>
      <c r="AY597" s="5" t="s">
        <v>2868</v>
      </c>
      <c r="AZ597" s="5" t="s">
        <v>38</v>
      </c>
      <c r="BA597" s="12"/>
      <c r="BB597" s="12"/>
      <c r="BC597" s="12"/>
      <c r="BD597" s="11">
        <v>0</v>
      </c>
      <c r="BE597" s="11">
        <v>0</v>
      </c>
    </row>
    <row x14ac:dyDescent="0.25" r="598" customHeight="1" ht="17.25">
      <c r="A598" s="11">
        <v>1353737</v>
      </c>
      <c r="B598" s="4" t="s">
        <v>2869</v>
      </c>
      <c r="C598" s="5" t="s">
        <v>2870</v>
      </c>
      <c r="D598" s="5" t="s">
        <v>2871</v>
      </c>
      <c r="E598" s="12"/>
      <c r="F598" s="13">
        <f>"0226551946"</f>
      </c>
      <c r="G598" s="13">
        <f>"9780226551944"</f>
      </c>
      <c r="H598" s="11">
        <v>0</v>
      </c>
      <c r="I598" s="14">
        <v>3.8</v>
      </c>
      <c r="J598" s="7" t="s">
        <v>255</v>
      </c>
      <c r="K598" s="5" t="s">
        <v>72</v>
      </c>
      <c r="L598" s="11">
        <v>507</v>
      </c>
      <c r="M598" s="11">
        <v>2000</v>
      </c>
      <c r="N598" s="11">
        <v>2000</v>
      </c>
      <c r="O598" s="15"/>
      <c r="P598" s="8">
        <v>45170</v>
      </c>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4" t="s">
        <v>38</v>
      </c>
      <c r="AY598" s="5" t="s">
        <v>2872</v>
      </c>
      <c r="AZ598" s="5" t="s">
        <v>38</v>
      </c>
      <c r="BA598" s="12"/>
      <c r="BB598" s="12"/>
      <c r="BC598" s="12"/>
      <c r="BD598" s="11">
        <v>0</v>
      </c>
      <c r="BE598" s="11">
        <v>0</v>
      </c>
    </row>
    <row x14ac:dyDescent="0.25" r="599" customHeight="1" ht="17.25">
      <c r="A599" s="11">
        <v>103548</v>
      </c>
      <c r="B599" s="4" t="s">
        <v>2873</v>
      </c>
      <c r="C599" s="5" t="s">
        <v>2874</v>
      </c>
      <c r="D599" s="5" t="s">
        <v>2875</v>
      </c>
      <c r="E599" s="12"/>
      <c r="F599" s="13">
        <f>"0789315114"</f>
      </c>
      <c r="G599" s="13">
        <f>"9780789315113"</f>
      </c>
      <c r="H599" s="11">
        <v>0</v>
      </c>
      <c r="I599" s="14">
        <v>3.98</v>
      </c>
      <c r="J599" s="7" t="s">
        <v>2876</v>
      </c>
      <c r="K599" s="5" t="s">
        <v>72</v>
      </c>
      <c r="L599" s="11">
        <v>384</v>
      </c>
      <c r="M599" s="11">
        <v>2006</v>
      </c>
      <c r="N599" s="11">
        <v>2006</v>
      </c>
      <c r="O599" s="15"/>
      <c r="P599" s="8">
        <v>45170</v>
      </c>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4" t="s">
        <v>38</v>
      </c>
      <c r="AY599" s="5" t="s">
        <v>2877</v>
      </c>
      <c r="AZ599" s="5" t="s">
        <v>38</v>
      </c>
      <c r="BA599" s="12"/>
      <c r="BB599" s="12"/>
      <c r="BC599" s="12"/>
      <c r="BD599" s="11">
        <v>0</v>
      </c>
      <c r="BE599" s="11">
        <v>0</v>
      </c>
    </row>
    <row x14ac:dyDescent="0.25" r="600" customHeight="1" ht="17.25">
      <c r="A600" s="11">
        <v>426189</v>
      </c>
      <c r="B600" s="4" t="s">
        <v>2878</v>
      </c>
      <c r="C600" s="5" t="s">
        <v>2879</v>
      </c>
      <c r="D600" s="5" t="s">
        <v>2880</v>
      </c>
      <c r="E600" s="5" t="s">
        <v>2881</v>
      </c>
      <c r="F600" s="13">
        <f>"0631233369"</f>
      </c>
      <c r="G600" s="13">
        <f>"9780631233367"</f>
      </c>
      <c r="H600" s="11">
        <v>0</v>
      </c>
      <c r="I600" s="14">
        <v>3.89</v>
      </c>
      <c r="J600" s="7" t="s">
        <v>1344</v>
      </c>
      <c r="K600" s="5" t="s">
        <v>60</v>
      </c>
      <c r="L600" s="11">
        <v>224</v>
      </c>
      <c r="M600" s="11">
        <v>2005</v>
      </c>
      <c r="N600" s="11">
        <v>2005</v>
      </c>
      <c r="O600" s="15"/>
      <c r="P600" s="8">
        <v>45170</v>
      </c>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4" t="s">
        <v>38</v>
      </c>
      <c r="AY600" s="5" t="s">
        <v>2882</v>
      </c>
      <c r="AZ600" s="5" t="s">
        <v>38</v>
      </c>
      <c r="BA600" s="12"/>
      <c r="BB600" s="12"/>
      <c r="BC600" s="12"/>
      <c r="BD600" s="11">
        <v>0</v>
      </c>
      <c r="BE600" s="11">
        <v>0</v>
      </c>
    </row>
    <row x14ac:dyDescent="0.25" r="601" customHeight="1" ht="17.25">
      <c r="A601" s="11">
        <v>21026</v>
      </c>
      <c r="B601" s="4" t="s">
        <v>2883</v>
      </c>
      <c r="C601" s="5" t="s">
        <v>2715</v>
      </c>
      <c r="D601" s="5" t="s">
        <v>2716</v>
      </c>
      <c r="E601" s="12"/>
      <c r="F601" s="13">
        <f>"0465021182"</f>
      </c>
      <c r="G601" s="13">
        <f>"9780465021185"</f>
      </c>
      <c r="H601" s="11">
        <v>0</v>
      </c>
      <c r="I601" s="14">
        <v>3.78</v>
      </c>
      <c r="J601" s="7" t="s">
        <v>77</v>
      </c>
      <c r="K601" s="5" t="s">
        <v>60</v>
      </c>
      <c r="L601" s="11">
        <v>272</v>
      </c>
      <c r="M601" s="11">
        <v>1991</v>
      </c>
      <c r="N601" s="11">
        <v>1974</v>
      </c>
      <c r="O601" s="15"/>
      <c r="P601" s="8">
        <v>45170</v>
      </c>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4" t="s">
        <v>38</v>
      </c>
      <c r="AY601" s="5" t="s">
        <v>2884</v>
      </c>
      <c r="AZ601" s="5" t="s">
        <v>38</v>
      </c>
      <c r="BA601" s="12"/>
      <c r="BB601" s="12"/>
      <c r="BC601" s="12"/>
      <c r="BD601" s="11">
        <v>0</v>
      </c>
      <c r="BE601" s="11">
        <v>0</v>
      </c>
    </row>
    <row x14ac:dyDescent="0.25" r="602" customHeight="1" ht="17.25">
      <c r="A602" s="11">
        <v>21025</v>
      </c>
      <c r="B602" s="4" t="s">
        <v>2885</v>
      </c>
      <c r="C602" s="5" t="s">
        <v>2715</v>
      </c>
      <c r="D602" s="5" t="s">
        <v>2716</v>
      </c>
      <c r="E602" s="5" t="s">
        <v>2886</v>
      </c>
      <c r="F602" s="13">
        <f>"0060938110"</f>
      </c>
      <c r="G602" s="13">
        <f>"9780060938116"</f>
      </c>
      <c r="H602" s="11">
        <v>0</v>
      </c>
      <c r="I602" s="14">
        <v>4.32</v>
      </c>
      <c r="J602" s="7" t="s">
        <v>505</v>
      </c>
      <c r="K602" s="5" t="s">
        <v>60</v>
      </c>
      <c r="L602" s="11">
        <v>288</v>
      </c>
      <c r="M602" s="11">
        <v>2003</v>
      </c>
      <c r="N602" s="11">
        <v>2001</v>
      </c>
      <c r="O602" s="15"/>
      <c r="P602" s="8">
        <v>45170</v>
      </c>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4" t="s">
        <v>38</v>
      </c>
      <c r="AY602" s="5" t="s">
        <v>2887</v>
      </c>
      <c r="AZ602" s="5" t="s">
        <v>38</v>
      </c>
      <c r="BA602" s="12"/>
      <c r="BB602" s="12"/>
      <c r="BC602" s="12"/>
      <c r="BD602" s="11">
        <v>0</v>
      </c>
      <c r="BE602" s="11">
        <v>0</v>
      </c>
    </row>
    <row x14ac:dyDescent="0.25" r="603" customHeight="1" ht="17.25">
      <c r="A603" s="11">
        <v>78</v>
      </c>
      <c r="B603" s="4" t="s">
        <v>2888</v>
      </c>
      <c r="C603" s="5" t="s">
        <v>2889</v>
      </c>
      <c r="D603" s="5" t="s">
        <v>2890</v>
      </c>
      <c r="E603" s="12"/>
      <c r="F603" s="13">
        <f>"0374518734"</f>
      </c>
      <c r="G603" s="13">
        <f>"9780374518738"</f>
      </c>
      <c r="H603" s="11">
        <v>0</v>
      </c>
      <c r="I603" s="14">
        <v>4.36</v>
      </c>
      <c r="J603" s="7" t="s">
        <v>120</v>
      </c>
      <c r="K603" s="5" t="s">
        <v>60</v>
      </c>
      <c r="L603" s="11">
        <v>720</v>
      </c>
      <c r="M603" s="11">
        <v>1999</v>
      </c>
      <c r="N603" s="11">
        <v>1998</v>
      </c>
      <c r="O603" s="15"/>
      <c r="P603" s="8">
        <v>45170</v>
      </c>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4" t="s">
        <v>38</v>
      </c>
      <c r="AY603" s="5" t="s">
        <v>2891</v>
      </c>
      <c r="AZ603" s="5" t="s">
        <v>38</v>
      </c>
      <c r="BA603" s="12"/>
      <c r="BB603" s="12"/>
      <c r="BC603" s="12"/>
      <c r="BD603" s="11">
        <v>0</v>
      </c>
      <c r="BE603" s="11">
        <v>0</v>
      </c>
    </row>
    <row x14ac:dyDescent="0.25" r="604" customHeight="1" ht="17.25">
      <c r="A604" s="11">
        <v>36820477</v>
      </c>
      <c r="B604" s="4" t="s">
        <v>2892</v>
      </c>
      <c r="C604" s="5" t="s">
        <v>2893</v>
      </c>
      <c r="D604" s="5" t="s">
        <v>2894</v>
      </c>
      <c r="E604" s="12"/>
      <c r="F604" s="13">
        <f>"163557191X"</f>
      </c>
      <c r="G604" s="13">
        <f>"9781635571912"</f>
      </c>
      <c r="H604" s="11">
        <v>0</v>
      </c>
      <c r="I604" s="14">
        <v>4.18</v>
      </c>
      <c r="J604" s="7" t="s">
        <v>1771</v>
      </c>
      <c r="K604" s="5" t="s">
        <v>72</v>
      </c>
      <c r="L604" s="11">
        <v>144</v>
      </c>
      <c r="M604" s="11">
        <v>2018</v>
      </c>
      <c r="N604" s="11">
        <v>2018</v>
      </c>
      <c r="O604" s="15"/>
      <c r="P604" s="8">
        <v>45170</v>
      </c>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4" t="s">
        <v>38</v>
      </c>
      <c r="AY604" s="5" t="s">
        <v>2895</v>
      </c>
      <c r="AZ604" s="5" t="s">
        <v>38</v>
      </c>
      <c r="BA604" s="12"/>
      <c r="BB604" s="12"/>
      <c r="BC604" s="12"/>
      <c r="BD604" s="11">
        <v>0</v>
      </c>
      <c r="BE604" s="11">
        <v>0</v>
      </c>
    </row>
    <row x14ac:dyDescent="0.25" r="605" customHeight="1" ht="17.25">
      <c r="A605" s="11">
        <v>28695425</v>
      </c>
      <c r="B605" s="4" t="s">
        <v>2896</v>
      </c>
      <c r="C605" s="5" t="s">
        <v>2897</v>
      </c>
      <c r="D605" s="5" t="s">
        <v>2898</v>
      </c>
      <c r="E605" s="12"/>
      <c r="F605" s="13">
        <f>"1620972255"</f>
      </c>
      <c r="G605" s="13">
        <f>"9781620972250"</f>
      </c>
      <c r="H605" s="11">
        <v>0</v>
      </c>
      <c r="I605" s="14">
        <v>4.12</v>
      </c>
      <c r="J605" s="7" t="s">
        <v>2899</v>
      </c>
      <c r="K605" s="5" t="s">
        <v>72</v>
      </c>
      <c r="L605" s="11">
        <v>242</v>
      </c>
      <c r="M605" s="11">
        <v>2016</v>
      </c>
      <c r="N605" s="11">
        <v>2016</v>
      </c>
      <c r="O605" s="15"/>
      <c r="P605" s="8">
        <v>45170</v>
      </c>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4" t="s">
        <v>38</v>
      </c>
      <c r="AY605" s="5" t="s">
        <v>2900</v>
      </c>
      <c r="AZ605" s="5" t="s">
        <v>38</v>
      </c>
      <c r="BA605" s="12"/>
      <c r="BB605" s="12"/>
      <c r="BC605" s="12"/>
      <c r="BD605" s="11">
        <v>0</v>
      </c>
      <c r="BE605" s="11">
        <v>0</v>
      </c>
    </row>
    <row x14ac:dyDescent="0.25" r="606" customHeight="1" ht="17.25">
      <c r="A606" s="11">
        <v>2483355</v>
      </c>
      <c r="B606" s="4" t="s">
        <v>2901</v>
      </c>
      <c r="C606" s="5" t="s">
        <v>2902</v>
      </c>
      <c r="D606" s="5" t="s">
        <v>2903</v>
      </c>
      <c r="E606" s="12"/>
      <c r="F606" s="13">
        <f>"0151014906"</f>
      </c>
      <c r="G606" s="13">
        <f>"9780151014903"</f>
      </c>
      <c r="H606" s="11">
        <v>0</v>
      </c>
      <c r="I606" s="14">
        <v>4.03</v>
      </c>
      <c r="J606" s="7" t="s">
        <v>945</v>
      </c>
      <c r="K606" s="5" t="s">
        <v>72</v>
      </c>
      <c r="L606" s="11">
        <v>336</v>
      </c>
      <c r="M606" s="11">
        <v>2008</v>
      </c>
      <c r="N606" s="11">
        <v>2008</v>
      </c>
      <c r="O606" s="15"/>
      <c r="P606" s="8">
        <v>45170</v>
      </c>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4" t="s">
        <v>38</v>
      </c>
      <c r="AY606" s="5" t="s">
        <v>2904</v>
      </c>
      <c r="AZ606" s="5" t="s">
        <v>38</v>
      </c>
      <c r="BA606" s="12"/>
      <c r="BB606" s="12"/>
      <c r="BC606" s="12"/>
      <c r="BD606" s="11">
        <v>0</v>
      </c>
      <c r="BE606" s="11">
        <v>0</v>
      </c>
    </row>
    <row x14ac:dyDescent="0.25" r="607" customHeight="1" ht="17.25">
      <c r="A607" s="11">
        <v>302616</v>
      </c>
      <c r="B607" s="4" t="s">
        <v>2905</v>
      </c>
      <c r="C607" s="5" t="s">
        <v>2906</v>
      </c>
      <c r="D607" s="5" t="s">
        <v>2907</v>
      </c>
      <c r="E607" s="5" t="s">
        <v>2908</v>
      </c>
      <c r="F607" s="13">
        <f>"0877280789"</f>
      </c>
      <c r="G607" s="13">
        <f>"9780877280781"</f>
      </c>
      <c r="H607" s="11">
        <v>0</v>
      </c>
      <c r="I607" s="14">
        <v>4.08</v>
      </c>
      <c r="J607" s="7" t="s">
        <v>2909</v>
      </c>
      <c r="K607" s="5" t="s">
        <v>60</v>
      </c>
      <c r="L607" s="11">
        <v>224</v>
      </c>
      <c r="M607" s="11">
        <v>2001</v>
      </c>
      <c r="N607" s="11">
        <v>1861</v>
      </c>
      <c r="O607" s="15"/>
      <c r="P607" s="8">
        <v>45169</v>
      </c>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4" t="s">
        <v>38</v>
      </c>
      <c r="AY607" s="5" t="s">
        <v>2910</v>
      </c>
      <c r="AZ607" s="5" t="s">
        <v>38</v>
      </c>
      <c r="BA607" s="12"/>
      <c r="BB607" s="12"/>
      <c r="BC607" s="12"/>
      <c r="BD607" s="11">
        <v>0</v>
      </c>
      <c r="BE607" s="11">
        <v>0</v>
      </c>
    </row>
    <row x14ac:dyDescent="0.25" r="608" customHeight="1" ht="17.25">
      <c r="A608" s="11">
        <v>144930</v>
      </c>
      <c r="B608" s="4" t="s">
        <v>2911</v>
      </c>
      <c r="C608" s="5" t="s">
        <v>2912</v>
      </c>
      <c r="D608" s="5" t="s">
        <v>2913</v>
      </c>
      <c r="E608" s="12"/>
      <c r="F608" s="13">
        <f>"188775279X"</f>
      </c>
      <c r="G608" s="13">
        <f>"9781887752794"</f>
      </c>
      <c r="H608" s="11">
        <v>0</v>
      </c>
      <c r="I608" s="14">
        <v>4.33</v>
      </c>
      <c r="J608" s="7" t="s">
        <v>2914</v>
      </c>
      <c r="K608" s="5" t="s">
        <v>60</v>
      </c>
      <c r="L608" s="11">
        <v>160</v>
      </c>
      <c r="M608" s="11">
        <v>2006</v>
      </c>
      <c r="N608" s="11">
        <v>1991</v>
      </c>
      <c r="O608" s="15"/>
      <c r="P608" s="8">
        <v>45169</v>
      </c>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4" t="s">
        <v>38</v>
      </c>
      <c r="AY608" s="5" t="s">
        <v>2915</v>
      </c>
      <c r="AZ608" s="5" t="s">
        <v>38</v>
      </c>
      <c r="BA608" s="12"/>
      <c r="BB608" s="12"/>
      <c r="BC608" s="12"/>
      <c r="BD608" s="11">
        <v>0</v>
      </c>
      <c r="BE608" s="11">
        <v>0</v>
      </c>
    </row>
    <row x14ac:dyDescent="0.25" r="609" customHeight="1" ht="17.25">
      <c r="A609" s="11">
        <v>424128</v>
      </c>
      <c r="B609" s="4" t="s">
        <v>2916</v>
      </c>
      <c r="C609" s="5" t="s">
        <v>2917</v>
      </c>
      <c r="D609" s="5" t="s">
        <v>2918</v>
      </c>
      <c r="E609" s="5" t="s">
        <v>2919</v>
      </c>
      <c r="F609" s="13">
        <f>"0900588780"</f>
      </c>
      <c r="G609" s="13">
        <f>"9780900588785"</f>
      </c>
      <c r="H609" s="11">
        <v>0</v>
      </c>
      <c r="I609" s="14">
        <v>4.28</v>
      </c>
      <c r="J609" s="7" t="s">
        <v>2920</v>
      </c>
      <c r="K609" s="5" t="s">
        <v>72</v>
      </c>
      <c r="L609" s="11">
        <v>476</v>
      </c>
      <c r="M609" s="11">
        <v>2004</v>
      </c>
      <c r="N609" s="11">
        <v>1962</v>
      </c>
      <c r="O609" s="15"/>
      <c r="P609" s="8">
        <v>45169</v>
      </c>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4" t="s">
        <v>38</v>
      </c>
      <c r="AY609" s="5" t="s">
        <v>2921</v>
      </c>
      <c r="AZ609" s="5" t="s">
        <v>38</v>
      </c>
      <c r="BA609" s="12"/>
      <c r="BB609" s="12"/>
      <c r="BC609" s="12"/>
      <c r="BD609" s="11">
        <v>0</v>
      </c>
      <c r="BE609" s="11">
        <v>0</v>
      </c>
    </row>
    <row x14ac:dyDescent="0.25" r="610" customHeight="1" ht="17.25">
      <c r="A610" s="11">
        <v>424129</v>
      </c>
      <c r="B610" s="4" t="s">
        <v>2922</v>
      </c>
      <c r="C610" s="5" t="s">
        <v>2917</v>
      </c>
      <c r="D610" s="5" t="s">
        <v>2918</v>
      </c>
      <c r="E610" s="5" t="s">
        <v>2923</v>
      </c>
      <c r="F610" s="13">
        <f>"0900588667"</f>
      </c>
      <c r="G610" s="13">
        <f>"9780900588662"</f>
      </c>
      <c r="H610" s="11">
        <v>0</v>
      </c>
      <c r="I610" s="14">
        <v>4.12</v>
      </c>
      <c r="J610" s="7" t="s">
        <v>2920</v>
      </c>
      <c r="K610" s="5" t="s">
        <v>72</v>
      </c>
      <c r="L610" s="11">
        <v>168</v>
      </c>
      <c r="M610" s="11">
        <v>2004</v>
      </c>
      <c r="N610" s="11">
        <v>1931</v>
      </c>
      <c r="O610" s="15"/>
      <c r="P610" s="8">
        <v>45169</v>
      </c>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4" t="s">
        <v>38</v>
      </c>
      <c r="AY610" s="5" t="s">
        <v>2924</v>
      </c>
      <c r="AZ610" s="5" t="s">
        <v>38</v>
      </c>
      <c r="BA610" s="12"/>
      <c r="BB610" s="12"/>
      <c r="BC610" s="12"/>
      <c r="BD610" s="11">
        <v>0</v>
      </c>
      <c r="BE610" s="11">
        <v>0</v>
      </c>
    </row>
    <row x14ac:dyDescent="0.25" r="611" customHeight="1" ht="17.25">
      <c r="A611" s="11">
        <v>424125</v>
      </c>
      <c r="B611" s="4" t="s">
        <v>2925</v>
      </c>
      <c r="C611" s="5" t="s">
        <v>2917</v>
      </c>
      <c r="D611" s="5" t="s">
        <v>2918</v>
      </c>
      <c r="E611" s="5" t="s">
        <v>2926</v>
      </c>
      <c r="F611" s="13">
        <f>"0900588241"</f>
      </c>
      <c r="G611" s="13">
        <f>"9780900588242"</f>
      </c>
      <c r="H611" s="11">
        <v>0</v>
      </c>
      <c r="I611" s="14">
        <v>4.14</v>
      </c>
      <c r="J611" s="7" t="s">
        <v>2920</v>
      </c>
      <c r="K611" s="5" t="s">
        <v>60</v>
      </c>
      <c r="L611" s="11">
        <v>136</v>
      </c>
      <c r="M611" s="11">
        <v>2004</v>
      </c>
      <c r="N611" s="11">
        <v>1927</v>
      </c>
      <c r="O611" s="15"/>
      <c r="P611" s="8">
        <v>45169</v>
      </c>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4" t="s">
        <v>38</v>
      </c>
      <c r="AY611" s="5" t="s">
        <v>2927</v>
      </c>
      <c r="AZ611" s="5" t="s">
        <v>38</v>
      </c>
      <c r="BA611" s="12"/>
      <c r="BB611" s="12"/>
      <c r="BC611" s="12"/>
      <c r="BD611" s="11">
        <v>0</v>
      </c>
      <c r="BE611" s="11">
        <v>0</v>
      </c>
    </row>
    <row x14ac:dyDescent="0.25" r="612" customHeight="1" ht="17.25">
      <c r="A612" s="11">
        <v>28025</v>
      </c>
      <c r="B612" s="4" t="s">
        <v>2928</v>
      </c>
      <c r="C612" s="5" t="s">
        <v>2929</v>
      </c>
      <c r="D612" s="5" t="s">
        <v>2930</v>
      </c>
      <c r="E612" s="5" t="s">
        <v>2931</v>
      </c>
      <c r="F612" s="13">
        <f>"0691017778"</f>
      </c>
      <c r="G612" s="13">
        <f>"9780691017778"</f>
      </c>
      <c r="H612" s="11">
        <v>0</v>
      </c>
      <c r="I612" s="14">
        <v>4.23</v>
      </c>
      <c r="J612" s="7" t="s">
        <v>2932</v>
      </c>
      <c r="K612" s="5" t="s">
        <v>60</v>
      </c>
      <c r="L612" s="11">
        <v>195</v>
      </c>
      <c r="M612" s="11">
        <v>1974</v>
      </c>
      <c r="N612" s="11">
        <v>1949</v>
      </c>
      <c r="O612" s="15"/>
      <c r="P612" s="8">
        <v>45169</v>
      </c>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4" t="s">
        <v>38</v>
      </c>
      <c r="AY612" s="5" t="s">
        <v>2933</v>
      </c>
      <c r="AZ612" s="5" t="s">
        <v>38</v>
      </c>
      <c r="BA612" s="12"/>
      <c r="BB612" s="12"/>
      <c r="BC612" s="12"/>
      <c r="BD612" s="11">
        <v>0</v>
      </c>
      <c r="BE612" s="11">
        <v>0</v>
      </c>
    </row>
    <row x14ac:dyDescent="0.25" r="613" customHeight="1" ht="17.25">
      <c r="A613" s="11">
        <v>4099</v>
      </c>
      <c r="B613" s="4" t="s">
        <v>2934</v>
      </c>
      <c r="C613" s="5" t="s">
        <v>2935</v>
      </c>
      <c r="D613" s="5" t="s">
        <v>2936</v>
      </c>
      <c r="E613" s="5" t="s">
        <v>2937</v>
      </c>
      <c r="F613" s="13">
        <f>"020161622X"</f>
      </c>
      <c r="G613" s="13">
        <f>"9780201616224"</f>
      </c>
      <c r="H613" s="11">
        <v>0</v>
      </c>
      <c r="I613" s="14">
        <v>4.33</v>
      </c>
      <c r="J613" s="7" t="s">
        <v>2938</v>
      </c>
      <c r="K613" s="5" t="s">
        <v>60</v>
      </c>
      <c r="L613" s="11">
        <v>321</v>
      </c>
      <c r="M613" s="11">
        <v>1999</v>
      </c>
      <c r="N613" s="11">
        <v>1999</v>
      </c>
      <c r="O613" s="15"/>
      <c r="P613" s="8">
        <v>45169</v>
      </c>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4" t="s">
        <v>38</v>
      </c>
      <c r="AY613" s="5" t="s">
        <v>2939</v>
      </c>
      <c r="AZ613" s="5" t="s">
        <v>38</v>
      </c>
      <c r="BA613" s="12"/>
      <c r="BB613" s="12"/>
      <c r="BC613" s="12"/>
      <c r="BD613" s="11">
        <v>0</v>
      </c>
      <c r="BE613" s="11">
        <v>0</v>
      </c>
    </row>
    <row x14ac:dyDescent="0.25" r="614" customHeight="1" ht="17.25">
      <c r="A614" s="11">
        <v>20613511</v>
      </c>
      <c r="B614" s="4" t="s">
        <v>2940</v>
      </c>
      <c r="C614" s="5" t="s">
        <v>2941</v>
      </c>
      <c r="D614" s="5" t="s">
        <v>2942</v>
      </c>
      <c r="E614" s="12"/>
      <c r="F614" s="13">
        <f>"1555976891"</f>
      </c>
      <c r="G614" s="13">
        <f>"9781555976897"</f>
      </c>
      <c r="H614" s="11">
        <v>0</v>
      </c>
      <c r="I614" s="14">
        <v>3.94</v>
      </c>
      <c r="J614" s="7" t="s">
        <v>1001</v>
      </c>
      <c r="K614" s="5" t="s">
        <v>72</v>
      </c>
      <c r="L614" s="11">
        <v>205</v>
      </c>
      <c r="M614" s="11">
        <v>2014</v>
      </c>
      <c r="N614" s="11">
        <v>2014</v>
      </c>
      <c r="O614" s="15"/>
      <c r="P614" s="8">
        <v>45169</v>
      </c>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4" t="s">
        <v>38</v>
      </c>
      <c r="AY614" s="5" t="s">
        <v>2943</v>
      </c>
      <c r="AZ614" s="5" t="s">
        <v>38</v>
      </c>
      <c r="BA614" s="12"/>
      <c r="BB614" s="12"/>
      <c r="BC614" s="12"/>
      <c r="BD614" s="11">
        <v>0</v>
      </c>
      <c r="BE614" s="11">
        <v>0</v>
      </c>
    </row>
    <row x14ac:dyDescent="0.25" r="615" customHeight="1" ht="17.25">
      <c r="A615" s="11">
        <v>85767</v>
      </c>
      <c r="B615" s="4" t="s">
        <v>2944</v>
      </c>
      <c r="C615" s="5" t="s">
        <v>2945</v>
      </c>
      <c r="D615" s="5" t="s">
        <v>2946</v>
      </c>
      <c r="E615" s="12"/>
      <c r="F615" s="13">
        <f>"0415389550"</f>
      </c>
      <c r="G615" s="13">
        <f>"9780415389556"</f>
      </c>
      <c r="H615" s="11">
        <v>0</v>
      </c>
      <c r="I615" s="14">
        <v>4.06</v>
      </c>
      <c r="J615" s="7" t="s">
        <v>163</v>
      </c>
      <c r="K615" s="5" t="s">
        <v>60</v>
      </c>
      <c r="L615" s="11">
        <v>236</v>
      </c>
      <c r="M615" s="11">
        <v>2006</v>
      </c>
      <c r="N615" s="11">
        <v>1989</v>
      </c>
      <c r="O615" s="15"/>
      <c r="P615" s="8">
        <v>45169</v>
      </c>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4" t="s">
        <v>38</v>
      </c>
      <c r="AY615" s="5" t="s">
        <v>2947</v>
      </c>
      <c r="AZ615" s="5" t="s">
        <v>38</v>
      </c>
      <c r="BA615" s="12"/>
      <c r="BB615" s="12"/>
      <c r="BC615" s="12"/>
      <c r="BD615" s="11">
        <v>0</v>
      </c>
      <c r="BE615" s="11">
        <v>0</v>
      </c>
    </row>
    <row x14ac:dyDescent="0.25" r="616" customHeight="1" ht="17.25">
      <c r="A616" s="11">
        <v>52128695</v>
      </c>
      <c r="B616" s="4" t="s">
        <v>2948</v>
      </c>
      <c r="C616" s="5" t="s">
        <v>2949</v>
      </c>
      <c r="D616" s="5" t="s">
        <v>2950</v>
      </c>
      <c r="E616" s="12"/>
      <c r="F616" s="13">
        <f>"080701379X"</f>
      </c>
      <c r="G616" s="13">
        <f>"9780807013793"</f>
      </c>
      <c r="H616" s="11">
        <v>2</v>
      </c>
      <c r="I616" s="14">
        <v>4.37</v>
      </c>
      <c r="J616" s="7" t="s">
        <v>861</v>
      </c>
      <c r="K616" s="5" t="s">
        <v>72</v>
      </c>
      <c r="L616" s="11">
        <v>210</v>
      </c>
      <c r="M616" s="11">
        <v>2020</v>
      </c>
      <c r="N616" s="11">
        <v>2020</v>
      </c>
      <c r="O616" s="15"/>
      <c r="P616" s="8">
        <v>45169</v>
      </c>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16"/>
      <c r="AY616" s="12"/>
      <c r="AZ616" s="5" t="s">
        <v>158</v>
      </c>
      <c r="BA616" s="12"/>
      <c r="BB616" s="12"/>
      <c r="BC616" s="12"/>
      <c r="BD616" s="11">
        <v>1</v>
      </c>
      <c r="BE616" s="11">
        <v>0</v>
      </c>
    </row>
    <row x14ac:dyDescent="0.25" r="617" customHeight="1" ht="17.25">
      <c r="A617" s="11">
        <v>826948</v>
      </c>
      <c r="B617" s="4" t="s">
        <v>2951</v>
      </c>
      <c r="C617" s="5" t="s">
        <v>2952</v>
      </c>
      <c r="D617" s="5" t="s">
        <v>2953</v>
      </c>
      <c r="E617" s="12"/>
      <c r="F617" s="13">
        <f>"0300022913"</f>
      </c>
      <c r="G617" s="13">
        <f>"9780300022919"</f>
      </c>
      <c r="H617" s="11">
        <v>0</v>
      </c>
      <c r="I617" s="14">
        <v>4.12</v>
      </c>
      <c r="J617" s="7" t="s">
        <v>576</v>
      </c>
      <c r="K617" s="5" t="s">
        <v>60</v>
      </c>
      <c r="L617" s="11">
        <v>282</v>
      </c>
      <c r="M617" s="11">
        <v>1978</v>
      </c>
      <c r="N617" s="11">
        <v>1976</v>
      </c>
      <c r="O617" s="15"/>
      <c r="P617" s="8">
        <v>45169</v>
      </c>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4" t="s">
        <v>38</v>
      </c>
      <c r="AY617" s="5" t="s">
        <v>2954</v>
      </c>
      <c r="AZ617" s="5" t="s">
        <v>38</v>
      </c>
      <c r="BA617" s="12"/>
      <c r="BB617" s="12"/>
      <c r="BC617" s="12"/>
      <c r="BD617" s="11">
        <v>0</v>
      </c>
      <c r="BE617" s="11">
        <v>0</v>
      </c>
    </row>
    <row x14ac:dyDescent="0.25" r="618" customHeight="1" ht="17.25">
      <c r="A618" s="11">
        <v>406639</v>
      </c>
      <c r="B618" s="4" t="s">
        <v>2955</v>
      </c>
      <c r="C618" s="5" t="s">
        <v>2956</v>
      </c>
      <c r="D618" s="5" t="s">
        <v>2957</v>
      </c>
      <c r="E618" s="12"/>
      <c r="F618" s="13">
        <f>"0385036434"</f>
      </c>
      <c r="G618" s="13">
        <f>"9780385036436"</f>
      </c>
      <c r="H618" s="11">
        <v>0</v>
      </c>
      <c r="I618" s="14">
        <v>4.14</v>
      </c>
      <c r="J618" s="7" t="s">
        <v>2958</v>
      </c>
      <c r="K618" s="5" t="s">
        <v>60</v>
      </c>
      <c r="L618" s="11">
        <v>235</v>
      </c>
      <c r="M618" s="11">
        <v>1972</v>
      </c>
      <c r="N618" s="11">
        <v>1588</v>
      </c>
      <c r="O618" s="15"/>
      <c r="P618" s="8">
        <v>45169</v>
      </c>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4" t="s">
        <v>38</v>
      </c>
      <c r="AY618" s="5" t="s">
        <v>2959</v>
      </c>
      <c r="AZ618" s="5" t="s">
        <v>38</v>
      </c>
      <c r="BA618" s="12"/>
      <c r="BB618" s="12"/>
      <c r="BC618" s="12"/>
      <c r="BD618" s="11">
        <v>0</v>
      </c>
      <c r="BE618" s="11">
        <v>0</v>
      </c>
    </row>
    <row x14ac:dyDescent="0.25" r="619" customHeight="1" ht="17.25">
      <c r="A619" s="11">
        <v>194746</v>
      </c>
      <c r="B619" s="4" t="s">
        <v>2960</v>
      </c>
      <c r="C619" s="5" t="s">
        <v>2961</v>
      </c>
      <c r="D619" s="5" t="s">
        <v>2962</v>
      </c>
      <c r="E619" s="5" t="s">
        <v>2963</v>
      </c>
      <c r="F619" s="13">
        <f>"0811204812"</f>
      </c>
      <c r="G619" s="13">
        <f>"9780811204811"</f>
      </c>
      <c r="H619" s="11">
        <v>0</v>
      </c>
      <c r="I619" s="14">
        <v>4.03</v>
      </c>
      <c r="J619" s="7" t="s">
        <v>126</v>
      </c>
      <c r="K619" s="5" t="s">
        <v>60</v>
      </c>
      <c r="L619" s="11">
        <v>177</v>
      </c>
      <c r="M619" s="11">
        <v>1958</v>
      </c>
      <c r="N619" s="11">
        <v>1948</v>
      </c>
      <c r="O619" s="15"/>
      <c r="P619" s="8">
        <v>45169</v>
      </c>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4" t="s">
        <v>38</v>
      </c>
      <c r="AY619" s="5" t="s">
        <v>2964</v>
      </c>
      <c r="AZ619" s="5" t="s">
        <v>38</v>
      </c>
      <c r="BA619" s="12"/>
      <c r="BB619" s="12"/>
      <c r="BC619" s="12"/>
      <c r="BD619" s="11">
        <v>0</v>
      </c>
      <c r="BE619" s="11">
        <v>0</v>
      </c>
    </row>
    <row x14ac:dyDescent="0.25" r="620" customHeight="1" ht="17.25">
      <c r="A620" s="11">
        <v>721863</v>
      </c>
      <c r="B620" s="4" t="s">
        <v>2965</v>
      </c>
      <c r="C620" s="5" t="s">
        <v>2966</v>
      </c>
      <c r="D620" s="5" t="s">
        <v>2967</v>
      </c>
      <c r="E620" s="5" t="s">
        <v>2968</v>
      </c>
      <c r="F620" s="13">
        <f>"4770021844"</f>
      </c>
      <c r="G620" s="13">
        <f>"9784770021847"</f>
      </c>
      <c r="H620" s="11">
        <v>0</v>
      </c>
      <c r="I620" s="14">
        <v>3.92</v>
      </c>
      <c r="J620" s="7" t="s">
        <v>2969</v>
      </c>
      <c r="K620" s="5" t="s">
        <v>60</v>
      </c>
      <c r="L620" s="11">
        <v>273</v>
      </c>
      <c r="M620" s="11">
        <v>1997</v>
      </c>
      <c r="N620" s="11">
        <v>1994</v>
      </c>
      <c r="O620" s="15"/>
      <c r="P620" s="8">
        <v>45169</v>
      </c>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4" t="s">
        <v>38</v>
      </c>
      <c r="AY620" s="5" t="s">
        <v>2970</v>
      </c>
      <c r="AZ620" s="5" t="s">
        <v>38</v>
      </c>
      <c r="BA620" s="12"/>
      <c r="BB620" s="12"/>
      <c r="BC620" s="12"/>
      <c r="BD620" s="11">
        <v>0</v>
      </c>
      <c r="BE620" s="11">
        <v>0</v>
      </c>
    </row>
    <row x14ac:dyDescent="0.25" r="621" customHeight="1" ht="17.25">
      <c r="A621" s="11">
        <v>54810887</v>
      </c>
      <c r="B621" s="4" t="s">
        <v>2971</v>
      </c>
      <c r="C621" s="5" t="s">
        <v>2972</v>
      </c>
      <c r="D621" s="5" t="s">
        <v>2973</v>
      </c>
      <c r="E621" s="5" t="s">
        <v>2974</v>
      </c>
      <c r="F621" s="13">
        <f>"1681375397"</f>
      </c>
      <c r="G621" s="13">
        <f>"9781681375397"</f>
      </c>
      <c r="H621" s="11">
        <v>0</v>
      </c>
      <c r="I621" s="14">
        <v>4.1</v>
      </c>
      <c r="J621" s="7" t="s">
        <v>108</v>
      </c>
      <c r="K621" s="5" t="s">
        <v>60</v>
      </c>
      <c r="L621" s="11">
        <v>304</v>
      </c>
      <c r="M621" s="11">
        <v>2021</v>
      </c>
      <c r="N621" s="11">
        <v>2021</v>
      </c>
      <c r="O621" s="15"/>
      <c r="P621" s="8">
        <v>45169</v>
      </c>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4" t="s">
        <v>38</v>
      </c>
      <c r="AY621" s="5" t="s">
        <v>2975</v>
      </c>
      <c r="AZ621" s="5" t="s">
        <v>38</v>
      </c>
      <c r="BA621" s="12"/>
      <c r="BB621" s="12"/>
      <c r="BC621" s="12"/>
      <c r="BD621" s="11">
        <v>0</v>
      </c>
      <c r="BE621" s="11">
        <v>0</v>
      </c>
    </row>
    <row x14ac:dyDescent="0.25" r="622" customHeight="1" ht="17.25">
      <c r="A622" s="11">
        <v>162780</v>
      </c>
      <c r="B622" s="4" t="s">
        <v>2976</v>
      </c>
      <c r="C622" s="5" t="s">
        <v>2977</v>
      </c>
      <c r="D622" s="5" t="s">
        <v>2978</v>
      </c>
      <c r="E622" s="5" t="s">
        <v>2979</v>
      </c>
      <c r="F622" s="13">
        <f>"0521427088"</f>
      </c>
      <c r="G622" s="13">
        <f>"9780521427081"</f>
      </c>
      <c r="H622" s="11">
        <v>0</v>
      </c>
      <c r="I622" s="14">
        <v>4.13</v>
      </c>
      <c r="J622" s="7" t="s">
        <v>636</v>
      </c>
      <c r="K622" s="5" t="s">
        <v>60</v>
      </c>
      <c r="L622" s="11">
        <v>184</v>
      </c>
      <c r="M622" s="11">
        <v>1992</v>
      </c>
      <c r="N622" s="11">
        <v>1944</v>
      </c>
      <c r="O622" s="15"/>
      <c r="P622" s="8">
        <v>45169</v>
      </c>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4" t="s">
        <v>38</v>
      </c>
      <c r="AY622" s="5" t="s">
        <v>2980</v>
      </c>
      <c r="AZ622" s="5" t="s">
        <v>38</v>
      </c>
      <c r="BA622" s="12"/>
      <c r="BB622" s="12"/>
      <c r="BC622" s="12"/>
      <c r="BD622" s="11">
        <v>0</v>
      </c>
      <c r="BE622" s="11">
        <v>0</v>
      </c>
    </row>
    <row x14ac:dyDescent="0.25" r="623" customHeight="1" ht="17.25">
      <c r="A623" s="11">
        <v>1875</v>
      </c>
      <c r="B623" s="4" t="s">
        <v>2981</v>
      </c>
      <c r="C623" s="5" t="s">
        <v>2982</v>
      </c>
      <c r="D623" s="5" t="s">
        <v>2983</v>
      </c>
      <c r="E623" s="12"/>
      <c r="F623" s="13">
        <f>"0679724699"</f>
      </c>
      <c r="G623" s="13">
        <f>"9780679724698"</f>
      </c>
      <c r="H623" s="11">
        <v>0</v>
      </c>
      <c r="I623" s="14">
        <v>4.03</v>
      </c>
      <c r="J623" s="7" t="s">
        <v>114</v>
      </c>
      <c r="K623" s="5" t="s">
        <v>60</v>
      </c>
      <c r="L623" s="11">
        <v>176</v>
      </c>
      <c r="M623" s="11">
        <v>1990</v>
      </c>
      <c r="N623" s="11">
        <v>1976</v>
      </c>
      <c r="O623" s="15"/>
      <c r="P623" s="8">
        <v>45169</v>
      </c>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4" t="s">
        <v>38</v>
      </c>
      <c r="AY623" s="5" t="s">
        <v>2984</v>
      </c>
      <c r="AZ623" s="5" t="s">
        <v>38</v>
      </c>
      <c r="BA623" s="12"/>
      <c r="BB623" s="12"/>
      <c r="BC623" s="12"/>
      <c r="BD623" s="11">
        <v>0</v>
      </c>
      <c r="BE623" s="11">
        <v>0</v>
      </c>
    </row>
    <row x14ac:dyDescent="0.25" r="624" customHeight="1" ht="17.25">
      <c r="A624" s="11">
        <v>181549</v>
      </c>
      <c r="B624" s="4" t="s">
        <v>2985</v>
      </c>
      <c r="C624" s="5" t="s">
        <v>2945</v>
      </c>
      <c r="D624" s="5" t="s">
        <v>2946</v>
      </c>
      <c r="E624" s="12"/>
      <c r="F624" s="13">
        <f>"0415903661"</f>
      </c>
      <c r="G624" s="13">
        <f>"9780415903660"</f>
      </c>
      <c r="H624" s="11">
        <v>0</v>
      </c>
      <c r="I624" s="14">
        <v>4.11</v>
      </c>
      <c r="J624" s="7" t="s">
        <v>163</v>
      </c>
      <c r="K624" s="5" t="s">
        <v>60</v>
      </c>
      <c r="L624" s="11">
        <v>304</v>
      </c>
      <c r="M624" s="11">
        <v>1993</v>
      </c>
      <c r="N624" s="11">
        <v>1993</v>
      </c>
      <c r="O624" s="15"/>
      <c r="P624" s="8">
        <v>45169</v>
      </c>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4" t="s">
        <v>38</v>
      </c>
      <c r="AY624" s="5" t="s">
        <v>2986</v>
      </c>
      <c r="AZ624" s="5" t="s">
        <v>38</v>
      </c>
      <c r="BA624" s="12"/>
      <c r="BB624" s="12"/>
      <c r="BC624" s="12"/>
      <c r="BD624" s="11">
        <v>0</v>
      </c>
      <c r="BE624" s="11">
        <v>0</v>
      </c>
    </row>
    <row x14ac:dyDescent="0.25" r="625" customHeight="1" ht="17.25">
      <c r="A625" s="11">
        <v>415459</v>
      </c>
      <c r="B625" s="4" t="s">
        <v>2987</v>
      </c>
      <c r="C625" s="5" t="s">
        <v>2988</v>
      </c>
      <c r="D625" s="5" t="s">
        <v>2989</v>
      </c>
      <c r="E625" s="5" t="s">
        <v>2990</v>
      </c>
      <c r="F625" s="13">
        <f>"0441363954"</f>
      </c>
      <c r="G625" s="13">
        <f>"9780441363957"</f>
      </c>
      <c r="H625" s="11">
        <v>0</v>
      </c>
      <c r="I625" s="14">
        <v>3.89</v>
      </c>
      <c r="J625" s="7" t="s">
        <v>2511</v>
      </c>
      <c r="K625" s="5" t="s">
        <v>346</v>
      </c>
      <c r="L625" s="11">
        <v>134</v>
      </c>
      <c r="M625" s="11">
        <v>1967</v>
      </c>
      <c r="N625" s="11">
        <v>1967</v>
      </c>
      <c r="O625" s="15"/>
      <c r="P625" s="8">
        <v>45168</v>
      </c>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4" t="s">
        <v>38</v>
      </c>
      <c r="AY625" s="5" t="s">
        <v>2991</v>
      </c>
      <c r="AZ625" s="5" t="s">
        <v>38</v>
      </c>
      <c r="BA625" s="12"/>
      <c r="BB625" s="12"/>
      <c r="BC625" s="12"/>
      <c r="BD625" s="11">
        <v>0</v>
      </c>
      <c r="BE625" s="11">
        <v>0</v>
      </c>
    </row>
    <row x14ac:dyDescent="0.25" r="626" customHeight="1" ht="17.25">
      <c r="A626" s="11">
        <v>182549</v>
      </c>
      <c r="B626" s="4" t="s">
        <v>2992</v>
      </c>
      <c r="C626" s="5" t="s">
        <v>2988</v>
      </c>
      <c r="D626" s="5" t="s">
        <v>2989</v>
      </c>
      <c r="E626" s="12"/>
      <c r="F626" s="13">
        <f>"0759229945"</f>
      </c>
      <c r="G626" s="13">
        <f>"9780759229945"</f>
      </c>
      <c r="H626" s="11">
        <v>0</v>
      </c>
      <c r="I626" s="14">
        <v>4.06</v>
      </c>
      <c r="J626" s="17" t="s">
        <v>2993</v>
      </c>
      <c r="K626" s="5" t="s">
        <v>60</v>
      </c>
      <c r="L626" s="11">
        <v>172</v>
      </c>
      <c r="M626" s="11">
        <v>1999</v>
      </c>
      <c r="N626" s="11">
        <v>1965</v>
      </c>
      <c r="O626" s="15"/>
      <c r="P626" s="8">
        <v>45168</v>
      </c>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4" t="s">
        <v>38</v>
      </c>
      <c r="AY626" s="5" t="s">
        <v>2994</v>
      </c>
      <c r="AZ626" s="5" t="s">
        <v>38</v>
      </c>
      <c r="BA626" s="12"/>
      <c r="BB626" s="12"/>
      <c r="BC626" s="12"/>
      <c r="BD626" s="11">
        <v>0</v>
      </c>
      <c r="BE626" s="11">
        <v>0</v>
      </c>
    </row>
    <row x14ac:dyDescent="0.25" r="627" customHeight="1" ht="17.25">
      <c r="A627" s="11">
        <v>54303830</v>
      </c>
      <c r="B627" s="4" t="s">
        <v>2995</v>
      </c>
      <c r="C627" s="5" t="s">
        <v>2996</v>
      </c>
      <c r="D627" s="5" t="s">
        <v>2997</v>
      </c>
      <c r="E627" s="12"/>
      <c r="F627" s="13">
        <f>"1982160985"</f>
      </c>
      <c r="G627" s="13">
        <f>"9781982160982"</f>
      </c>
      <c r="H627" s="11">
        <v>0</v>
      </c>
      <c r="I627" s="14">
        <v>3.57</v>
      </c>
      <c r="J627" s="7" t="s">
        <v>132</v>
      </c>
      <c r="K627" s="5" t="s">
        <v>72</v>
      </c>
      <c r="L627" s="11">
        <v>256</v>
      </c>
      <c r="M627" s="11">
        <v>2021</v>
      </c>
      <c r="N627" s="11">
        <v>2021</v>
      </c>
      <c r="O627" s="15"/>
      <c r="P627" s="8">
        <v>45168</v>
      </c>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4" t="s">
        <v>38</v>
      </c>
      <c r="AY627" s="5" t="s">
        <v>2998</v>
      </c>
      <c r="AZ627" s="5" t="s">
        <v>38</v>
      </c>
      <c r="BA627" s="12"/>
      <c r="BB627" s="12"/>
      <c r="BC627" s="12"/>
      <c r="BD627" s="11">
        <v>0</v>
      </c>
      <c r="BE627" s="11">
        <v>0</v>
      </c>
    </row>
    <row x14ac:dyDescent="0.25" r="628" customHeight="1" ht="17.25">
      <c r="A628" s="11">
        <v>54785524</v>
      </c>
      <c r="B628" s="4" t="s">
        <v>2999</v>
      </c>
      <c r="C628" s="5" t="s">
        <v>3000</v>
      </c>
      <c r="D628" s="5" t="s">
        <v>3001</v>
      </c>
      <c r="E628" s="12"/>
      <c r="F628" s="13">
        <f>"0374115265"</f>
      </c>
      <c r="G628" s="13">
        <f>"9780374115265"</f>
      </c>
      <c r="H628" s="11">
        <v>0</v>
      </c>
      <c r="I628" s="14">
        <v>3.54</v>
      </c>
      <c r="J628" s="7" t="s">
        <v>120</v>
      </c>
      <c r="K628" s="5" t="s">
        <v>72</v>
      </c>
      <c r="L628" s="11">
        <v>176</v>
      </c>
      <c r="M628" s="11">
        <v>2021</v>
      </c>
      <c r="N628" s="11">
        <v>2021</v>
      </c>
      <c r="O628" s="15"/>
      <c r="P628" s="8">
        <v>45168</v>
      </c>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4" t="s">
        <v>38</v>
      </c>
      <c r="AY628" s="5" t="s">
        <v>3002</v>
      </c>
      <c r="AZ628" s="5" t="s">
        <v>38</v>
      </c>
      <c r="BA628" s="12"/>
      <c r="BB628" s="12"/>
      <c r="BC628" s="12"/>
      <c r="BD628" s="11">
        <v>0</v>
      </c>
      <c r="BE628" s="11">
        <v>0</v>
      </c>
    </row>
    <row x14ac:dyDescent="0.25" r="629" customHeight="1" ht="17.25">
      <c r="A629" s="11">
        <v>53317510</v>
      </c>
      <c r="B629" s="4" t="s">
        <v>3003</v>
      </c>
      <c r="C629" s="5" t="s">
        <v>3004</v>
      </c>
      <c r="D629" s="5" t="s">
        <v>3005</v>
      </c>
      <c r="E629" s="5" t="s">
        <v>3006</v>
      </c>
      <c r="F629" s="13">
        <f>"0374293139"</f>
      </c>
      <c r="G629" s="13">
        <f>"9780374293130"</f>
      </c>
      <c r="H629" s="11">
        <v>0</v>
      </c>
      <c r="I629" s="14">
        <v>4.02</v>
      </c>
      <c r="J629" s="7" t="s">
        <v>120</v>
      </c>
      <c r="K629" s="5" t="s">
        <v>72</v>
      </c>
      <c r="L629" s="11">
        <v>768</v>
      </c>
      <c r="M629" s="11">
        <v>2021</v>
      </c>
      <c r="N629" s="11">
        <v>2021</v>
      </c>
      <c r="O629" s="15"/>
      <c r="P629" s="8">
        <v>45168</v>
      </c>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4" t="s">
        <v>38</v>
      </c>
      <c r="AY629" s="5" t="s">
        <v>3007</v>
      </c>
      <c r="AZ629" s="5" t="s">
        <v>38</v>
      </c>
      <c r="BA629" s="12"/>
      <c r="BB629" s="12"/>
      <c r="BC629" s="12"/>
      <c r="BD629" s="11">
        <v>0</v>
      </c>
      <c r="BE629" s="11">
        <v>0</v>
      </c>
    </row>
    <row x14ac:dyDescent="0.25" r="630" customHeight="1" ht="17.25">
      <c r="A630" s="11">
        <v>56269264</v>
      </c>
      <c r="B630" s="4" t="s">
        <v>3008</v>
      </c>
      <c r="C630" s="5" t="s">
        <v>3009</v>
      </c>
      <c r="D630" s="5" t="s">
        <v>3010</v>
      </c>
      <c r="E630" s="5" t="s">
        <v>3011</v>
      </c>
      <c r="F630" s="13">
        <f>"0374157359"</f>
      </c>
      <c r="G630" s="13">
        <f>"9780374157357"</f>
      </c>
      <c r="H630" s="11">
        <v>0</v>
      </c>
      <c r="I630" s="14">
        <v>4.21</v>
      </c>
      <c r="J630" s="7" t="s">
        <v>120</v>
      </c>
      <c r="K630" s="5" t="s">
        <v>72</v>
      </c>
      <c r="L630" s="11">
        <v>692</v>
      </c>
      <c r="M630" s="11">
        <v>2021</v>
      </c>
      <c r="N630" s="11">
        <v>2021</v>
      </c>
      <c r="O630" s="15"/>
      <c r="P630" s="8">
        <v>45168</v>
      </c>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4" t="s">
        <v>38</v>
      </c>
      <c r="AY630" s="5" t="s">
        <v>3012</v>
      </c>
      <c r="AZ630" s="5" t="s">
        <v>38</v>
      </c>
      <c r="BA630" s="12"/>
      <c r="BB630" s="12"/>
      <c r="BC630" s="12"/>
      <c r="BD630" s="11">
        <v>0</v>
      </c>
      <c r="BE630" s="11">
        <v>0</v>
      </c>
    </row>
    <row x14ac:dyDescent="0.25" r="631" customHeight="1" ht="17.25">
      <c r="A631" s="11">
        <v>53137995</v>
      </c>
      <c r="B631" s="4" t="s">
        <v>3013</v>
      </c>
      <c r="C631" s="5" t="s">
        <v>3014</v>
      </c>
      <c r="D631" s="5" t="s">
        <v>3015</v>
      </c>
      <c r="E631" s="12"/>
      <c r="F631" s="13">
        <f>"1250267994"</f>
      </c>
      <c r="G631" s="13">
        <f>"9781250267993"</f>
      </c>
      <c r="H631" s="11">
        <v>0</v>
      </c>
      <c r="I631" s="14">
        <v>3.82</v>
      </c>
      <c r="J631" s="7" t="s">
        <v>2025</v>
      </c>
      <c r="K631" s="5" t="s">
        <v>72</v>
      </c>
      <c r="L631" s="11">
        <v>304</v>
      </c>
      <c r="M631" s="11">
        <v>2021</v>
      </c>
      <c r="N631" s="11">
        <v>2021</v>
      </c>
      <c r="O631" s="15"/>
      <c r="P631" s="8">
        <v>45168</v>
      </c>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4" t="s">
        <v>38</v>
      </c>
      <c r="AY631" s="5" t="s">
        <v>3016</v>
      </c>
      <c r="AZ631" s="5" t="s">
        <v>38</v>
      </c>
      <c r="BA631" s="12"/>
      <c r="BB631" s="12"/>
      <c r="BC631" s="12"/>
      <c r="BD631" s="11">
        <v>0</v>
      </c>
      <c r="BE631" s="11">
        <v>0</v>
      </c>
    </row>
    <row x14ac:dyDescent="0.25" r="632" customHeight="1" ht="17.25">
      <c r="A632" s="11">
        <v>55028680</v>
      </c>
      <c r="B632" s="4" t="s">
        <v>3017</v>
      </c>
      <c r="C632" s="5" t="s">
        <v>3018</v>
      </c>
      <c r="D632" s="5" t="s">
        <v>3019</v>
      </c>
      <c r="E632" s="12"/>
      <c r="F632" s="13">
        <f>"0525577327"</f>
      </c>
      <c r="G632" s="13">
        <f>"9780525577324"</f>
      </c>
      <c r="H632" s="11">
        <v>0</v>
      </c>
      <c r="I632" s="14">
        <v>4.29</v>
      </c>
      <c r="J632" s="7" t="s">
        <v>3020</v>
      </c>
      <c r="K632" s="5" t="s">
        <v>72</v>
      </c>
      <c r="L632" s="11">
        <v>288</v>
      </c>
      <c r="M632" s="11">
        <v>2021</v>
      </c>
      <c r="N632" s="11">
        <v>2021</v>
      </c>
      <c r="O632" s="15"/>
      <c r="P632" s="8">
        <v>45168</v>
      </c>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4" t="s">
        <v>38</v>
      </c>
      <c r="AY632" s="5" t="s">
        <v>3021</v>
      </c>
      <c r="AZ632" s="5" t="s">
        <v>38</v>
      </c>
      <c r="BA632" s="12"/>
      <c r="BB632" s="12"/>
      <c r="BC632" s="12"/>
      <c r="BD632" s="11">
        <v>0</v>
      </c>
      <c r="BE632" s="11">
        <v>0</v>
      </c>
    </row>
    <row x14ac:dyDescent="0.25" r="633" customHeight="1" ht="17.25">
      <c r="A633" s="11">
        <v>50496808</v>
      </c>
      <c r="B633" s="4" t="s">
        <v>3022</v>
      </c>
      <c r="C633" s="5" t="s">
        <v>3023</v>
      </c>
      <c r="D633" s="5" t="s">
        <v>3024</v>
      </c>
      <c r="E633" s="5" t="s">
        <v>3025</v>
      </c>
      <c r="F633" s="13">
        <f>"0062802798"</f>
      </c>
      <c r="G633" s="13">
        <f>"9780062802798"</f>
      </c>
      <c r="H633" s="11">
        <v>0</v>
      </c>
      <c r="I633" s="14">
        <v>3.64</v>
      </c>
      <c r="J633" s="7" t="s">
        <v>218</v>
      </c>
      <c r="K633" s="5" t="s">
        <v>72</v>
      </c>
      <c r="L633" s="11">
        <v>480</v>
      </c>
      <c r="M633" s="11">
        <v>2021</v>
      </c>
      <c r="N633" s="11">
        <v>2021</v>
      </c>
      <c r="O633" s="15"/>
      <c r="P633" s="8">
        <v>45168</v>
      </c>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4" t="s">
        <v>38</v>
      </c>
      <c r="AY633" s="5" t="s">
        <v>3026</v>
      </c>
      <c r="AZ633" s="5" t="s">
        <v>38</v>
      </c>
      <c r="BA633" s="12"/>
      <c r="BB633" s="12"/>
      <c r="BC633" s="12"/>
      <c r="BD633" s="11">
        <v>0</v>
      </c>
      <c r="BE633" s="11">
        <v>0</v>
      </c>
    </row>
    <row x14ac:dyDescent="0.25" r="634" customHeight="1" ht="17.25">
      <c r="A634" s="11">
        <v>123471</v>
      </c>
      <c r="B634" s="4" t="s">
        <v>3027</v>
      </c>
      <c r="C634" s="5" t="s">
        <v>2173</v>
      </c>
      <c r="D634" s="5" t="s">
        <v>2174</v>
      </c>
      <c r="E634" s="12"/>
      <c r="F634" s="13">
        <f>"0465030785"</f>
      </c>
      <c r="G634" s="13">
        <f>"9780465030781"</f>
      </c>
      <c r="H634" s="11">
        <v>0</v>
      </c>
      <c r="I634" s="14">
        <v>3.95</v>
      </c>
      <c r="J634" s="7" t="s">
        <v>77</v>
      </c>
      <c r="K634" s="5" t="s">
        <v>72</v>
      </c>
      <c r="L634" s="11">
        <v>436</v>
      </c>
      <c r="M634" s="11">
        <v>2007</v>
      </c>
      <c r="N634" s="11">
        <v>2007</v>
      </c>
      <c r="O634" s="15"/>
      <c r="P634" s="8">
        <v>45168</v>
      </c>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4" t="s">
        <v>38</v>
      </c>
      <c r="AY634" s="5" t="s">
        <v>3028</v>
      </c>
      <c r="AZ634" s="5" t="s">
        <v>38</v>
      </c>
      <c r="BA634" s="12"/>
      <c r="BB634" s="12"/>
      <c r="BC634" s="12"/>
      <c r="BD634" s="11">
        <v>0</v>
      </c>
      <c r="BE634" s="11">
        <v>0</v>
      </c>
    </row>
    <row x14ac:dyDescent="0.25" r="635" customHeight="1" ht="17.25">
      <c r="A635" s="11">
        <v>56240358</v>
      </c>
      <c r="B635" s="4" t="s">
        <v>3029</v>
      </c>
      <c r="C635" s="5" t="s">
        <v>3030</v>
      </c>
      <c r="D635" s="5" t="s">
        <v>3031</v>
      </c>
      <c r="E635" s="12"/>
      <c r="F635" s="13">
        <f>"161185444X"</f>
      </c>
      <c r="G635" s="13">
        <f>"9781611854442"</f>
      </c>
      <c r="H635" s="11">
        <v>0</v>
      </c>
      <c r="I635" s="14">
        <v>3.56</v>
      </c>
      <c r="J635" s="7" t="s">
        <v>3032</v>
      </c>
      <c r="K635" s="5" t="s">
        <v>60</v>
      </c>
      <c r="L635" s="11">
        <v>576</v>
      </c>
      <c r="M635" s="11">
        <v>2021</v>
      </c>
      <c r="N635" s="11">
        <v>2021</v>
      </c>
      <c r="O635" s="15"/>
      <c r="P635" s="8">
        <v>45168</v>
      </c>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4" t="s">
        <v>38</v>
      </c>
      <c r="AY635" s="5" t="s">
        <v>3033</v>
      </c>
      <c r="AZ635" s="5" t="s">
        <v>38</v>
      </c>
      <c r="BA635" s="12"/>
      <c r="BB635" s="12"/>
      <c r="BC635" s="12"/>
      <c r="BD635" s="11">
        <v>0</v>
      </c>
      <c r="BE635" s="11">
        <v>0</v>
      </c>
    </row>
    <row x14ac:dyDescent="0.25" r="636" customHeight="1" ht="17.25">
      <c r="A636" s="11">
        <v>6617037</v>
      </c>
      <c r="B636" s="4" t="s">
        <v>3034</v>
      </c>
      <c r="C636" s="5" t="s">
        <v>3009</v>
      </c>
      <c r="D636" s="5" t="s">
        <v>3010</v>
      </c>
      <c r="E636" s="12"/>
      <c r="F636" s="13">
        <f>"1933633867"</f>
      </c>
      <c r="G636" s="13">
        <f>"9781933633862"</f>
      </c>
      <c r="H636" s="11">
        <v>0</v>
      </c>
      <c r="I636" s="14">
        <v>4.21</v>
      </c>
      <c r="J636" s="7" t="s">
        <v>1737</v>
      </c>
      <c r="K636" s="5" t="s">
        <v>72</v>
      </c>
      <c r="L636" s="11">
        <v>534</v>
      </c>
      <c r="M636" s="11">
        <v>2011</v>
      </c>
      <c r="N636" s="11">
        <v>2011</v>
      </c>
      <c r="O636" s="15"/>
      <c r="P636" s="8">
        <v>45168</v>
      </c>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4" t="s">
        <v>38</v>
      </c>
      <c r="AY636" s="5" t="s">
        <v>3035</v>
      </c>
      <c r="AZ636" s="5" t="s">
        <v>38</v>
      </c>
      <c r="BA636" s="12"/>
      <c r="BB636" s="12"/>
      <c r="BC636" s="12"/>
      <c r="BD636" s="11">
        <v>0</v>
      </c>
      <c r="BE636" s="11">
        <v>0</v>
      </c>
    </row>
    <row x14ac:dyDescent="0.25" r="637" customHeight="1" ht="17.25">
      <c r="A637" s="11">
        <v>11515482</v>
      </c>
      <c r="B637" s="4" t="s">
        <v>3036</v>
      </c>
      <c r="C637" s="5" t="s">
        <v>3037</v>
      </c>
      <c r="D637" s="5" t="s">
        <v>3038</v>
      </c>
      <c r="E637" s="12"/>
      <c r="F637" s="13">
        <f>"0226771474"</f>
      </c>
      <c r="G637" s="13">
        <f>"9780226771472"</f>
      </c>
      <c r="H637" s="11">
        <v>0</v>
      </c>
      <c r="I637" s="14">
        <v>4.05</v>
      </c>
      <c r="J637" s="7" t="s">
        <v>255</v>
      </c>
      <c r="K637" s="5" t="s">
        <v>72</v>
      </c>
      <c r="L637" s="11">
        <v>264</v>
      </c>
      <c r="M637" s="11">
        <v>2011</v>
      </c>
      <c r="N637" s="11">
        <v>2011</v>
      </c>
      <c r="O637" s="15"/>
      <c r="P637" s="8">
        <v>45168</v>
      </c>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4" t="s">
        <v>38</v>
      </c>
      <c r="AY637" s="5" t="s">
        <v>3039</v>
      </c>
      <c r="AZ637" s="5" t="s">
        <v>38</v>
      </c>
      <c r="BA637" s="12"/>
      <c r="BB637" s="12"/>
      <c r="BC637" s="12"/>
      <c r="BD637" s="11">
        <v>0</v>
      </c>
      <c r="BE637" s="11">
        <v>0</v>
      </c>
    </row>
    <row x14ac:dyDescent="0.25" r="638" customHeight="1" ht="17.25">
      <c r="A638" s="11">
        <v>7113640</v>
      </c>
      <c r="B638" s="4" t="s">
        <v>3040</v>
      </c>
      <c r="C638" s="5" t="s">
        <v>3041</v>
      </c>
      <c r="D638" s="5" t="s">
        <v>3042</v>
      </c>
      <c r="E638" s="12"/>
      <c r="F638" s="13">
        <f>"0195338286"</f>
      </c>
      <c r="G638" s="13">
        <f>"9780195338287"</f>
      </c>
      <c r="H638" s="11">
        <v>0</v>
      </c>
      <c r="I638" s="14">
        <v>3.67</v>
      </c>
      <c r="J638" s="7" t="s">
        <v>245</v>
      </c>
      <c r="K638" s="5" t="s">
        <v>72</v>
      </c>
      <c r="L638" s="11">
        <v>208</v>
      </c>
      <c r="M638" s="11">
        <v>2009</v>
      </c>
      <c r="N638" s="11">
        <v>2008</v>
      </c>
      <c r="O638" s="15"/>
      <c r="P638" s="8">
        <v>45168</v>
      </c>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4" t="s">
        <v>38</v>
      </c>
      <c r="AY638" s="5" t="s">
        <v>3043</v>
      </c>
      <c r="AZ638" s="5" t="s">
        <v>38</v>
      </c>
      <c r="BA638" s="12"/>
      <c r="BB638" s="12"/>
      <c r="BC638" s="12"/>
      <c r="BD638" s="11">
        <v>0</v>
      </c>
      <c r="BE638" s="11">
        <v>0</v>
      </c>
    </row>
    <row x14ac:dyDescent="0.25" r="639" customHeight="1" ht="17.25">
      <c r="A639" s="11">
        <v>53642061</v>
      </c>
      <c r="B639" s="4" t="s">
        <v>3044</v>
      </c>
      <c r="C639" s="5" t="s">
        <v>3045</v>
      </c>
      <c r="D639" s="5" t="s">
        <v>3046</v>
      </c>
      <c r="E639" s="12"/>
      <c r="F639" s="13">
        <f>"0393542017"</f>
      </c>
      <c r="G639" s="13">
        <f>"9780393542011"</f>
      </c>
      <c r="H639" s="11">
        <v>0</v>
      </c>
      <c r="I639" s="14">
        <v>4.29</v>
      </c>
      <c r="J639" s="7" t="s">
        <v>144</v>
      </c>
      <c r="K639" s="5" t="s">
        <v>72</v>
      </c>
      <c r="L639" s="11">
        <v>432</v>
      </c>
      <c r="M639" s="11">
        <v>2021</v>
      </c>
      <c r="N639" s="11">
        <v>2021</v>
      </c>
      <c r="O639" s="15"/>
      <c r="P639" s="8">
        <v>45168</v>
      </c>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4" t="s">
        <v>38</v>
      </c>
      <c r="AY639" s="5" t="s">
        <v>3047</v>
      </c>
      <c r="AZ639" s="5" t="s">
        <v>38</v>
      </c>
      <c r="BA639" s="12"/>
      <c r="BB639" s="12"/>
      <c r="BC639" s="12"/>
      <c r="BD639" s="11">
        <v>0</v>
      </c>
      <c r="BE639" s="11">
        <v>0</v>
      </c>
    </row>
    <row x14ac:dyDescent="0.25" r="640" customHeight="1" ht="17.25">
      <c r="A640" s="11">
        <v>31617291</v>
      </c>
      <c r="B640" s="4" t="s">
        <v>3048</v>
      </c>
      <c r="C640" s="5" t="s">
        <v>3049</v>
      </c>
      <c r="D640" s="5" t="s">
        <v>3050</v>
      </c>
      <c r="E640" s="12"/>
      <c r="F640" s="13">
        <f>"147389252X"</f>
      </c>
      <c r="G640" s="13">
        <f>"9781473892521"</f>
      </c>
      <c r="H640" s="11">
        <v>0</v>
      </c>
      <c r="I640" s="14">
        <v>3.4</v>
      </c>
      <c r="J640" s="7" t="s">
        <v>3051</v>
      </c>
      <c r="K640" s="5" t="s">
        <v>60</v>
      </c>
      <c r="L640" s="11">
        <v>256</v>
      </c>
      <c r="M640" s="11">
        <v>2017</v>
      </c>
      <c r="N640" s="16"/>
      <c r="O640" s="15"/>
      <c r="P640" s="8">
        <v>45168</v>
      </c>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4" t="s">
        <v>38</v>
      </c>
      <c r="AY640" s="5" t="s">
        <v>3052</v>
      </c>
      <c r="AZ640" s="5" t="s">
        <v>38</v>
      </c>
      <c r="BA640" s="12"/>
      <c r="BB640" s="12"/>
      <c r="BC640" s="12"/>
      <c r="BD640" s="11">
        <v>0</v>
      </c>
      <c r="BE640" s="11">
        <v>0</v>
      </c>
    </row>
    <row x14ac:dyDescent="0.25" r="641" customHeight="1" ht="17.25">
      <c r="A641" s="11">
        <v>61195296</v>
      </c>
      <c r="B641" s="4" t="s">
        <v>3053</v>
      </c>
      <c r="C641" s="5" t="s">
        <v>3054</v>
      </c>
      <c r="D641" s="5" t="s">
        <v>3055</v>
      </c>
      <c r="E641" s="12"/>
      <c r="F641" s="13">
        <f>"059331705X"</f>
      </c>
      <c r="G641" s="13">
        <f>"9780593317051"</f>
      </c>
      <c r="H641" s="11">
        <v>0</v>
      </c>
      <c r="I641" s="14">
        <v>3.71</v>
      </c>
      <c r="J641" s="7" t="s">
        <v>2577</v>
      </c>
      <c r="K641" s="5" t="s">
        <v>72</v>
      </c>
      <c r="L641" s="11">
        <v>431</v>
      </c>
      <c r="M641" s="11">
        <v>2023</v>
      </c>
      <c r="N641" s="11">
        <v>2023</v>
      </c>
      <c r="O641" s="15"/>
      <c r="P641" s="8">
        <v>45168</v>
      </c>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4" t="s">
        <v>38</v>
      </c>
      <c r="AY641" s="5" t="s">
        <v>3056</v>
      </c>
      <c r="AZ641" s="5" t="s">
        <v>38</v>
      </c>
      <c r="BA641" s="12"/>
      <c r="BB641" s="12"/>
      <c r="BC641" s="12"/>
      <c r="BD641" s="11">
        <v>0</v>
      </c>
      <c r="BE641" s="11">
        <v>0</v>
      </c>
    </row>
    <row x14ac:dyDescent="0.25" r="642" customHeight="1" ht="17.25">
      <c r="A642" s="11">
        <v>153275</v>
      </c>
      <c r="B642" s="4" t="s">
        <v>3057</v>
      </c>
      <c r="C642" s="5" t="s">
        <v>3041</v>
      </c>
      <c r="D642" s="5" t="s">
        <v>3042</v>
      </c>
      <c r="E642" s="12"/>
      <c r="F642" s="13">
        <f>"0195151658"</f>
      </c>
      <c r="G642" s="13">
        <f>"9780195151657"</f>
      </c>
      <c r="H642" s="11">
        <v>0</v>
      </c>
      <c r="I642" s="14">
        <v>4.13</v>
      </c>
      <c r="J642" s="7" t="s">
        <v>245</v>
      </c>
      <c r="K642" s="5" t="s">
        <v>60</v>
      </c>
      <c r="L642" s="11">
        <v>392</v>
      </c>
      <c r="M642" s="11">
        <v>2002</v>
      </c>
      <c r="N642" s="11">
        <v>2000</v>
      </c>
      <c r="O642" s="15"/>
      <c r="P642" s="8">
        <v>45167</v>
      </c>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4" t="s">
        <v>38</v>
      </c>
      <c r="AY642" s="5" t="s">
        <v>3058</v>
      </c>
      <c r="AZ642" s="5" t="s">
        <v>38</v>
      </c>
      <c r="BA642" s="12"/>
      <c r="BB642" s="12"/>
      <c r="BC642" s="12"/>
      <c r="BD642" s="11">
        <v>0</v>
      </c>
      <c r="BE642" s="11">
        <v>0</v>
      </c>
    </row>
    <row x14ac:dyDescent="0.25" r="643" customHeight="1" ht="17.25">
      <c r="A643" s="11">
        <v>1448484</v>
      </c>
      <c r="B643" s="4" t="s">
        <v>3059</v>
      </c>
      <c r="C643" s="5" t="s">
        <v>3060</v>
      </c>
      <c r="D643" s="5" t="s">
        <v>3061</v>
      </c>
      <c r="E643" s="12"/>
      <c r="F643" s="13">
        <f>"0300046146"</f>
      </c>
      <c r="G643" s="13">
        <f>"9780300046144"</f>
      </c>
      <c r="H643" s="11">
        <v>0</v>
      </c>
      <c r="I643" s="14">
        <v>3.57</v>
      </c>
      <c r="J643" s="7" t="s">
        <v>576</v>
      </c>
      <c r="K643" s="5" t="s">
        <v>60</v>
      </c>
      <c r="L643" s="16"/>
      <c r="M643" s="11">
        <v>1990</v>
      </c>
      <c r="N643" s="11">
        <v>1986</v>
      </c>
      <c r="O643" s="15"/>
      <c r="P643" s="8">
        <v>45167</v>
      </c>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4" t="s">
        <v>38</v>
      </c>
      <c r="AY643" s="5" t="s">
        <v>3062</v>
      </c>
      <c r="AZ643" s="5" t="s">
        <v>38</v>
      </c>
      <c r="BA643" s="12"/>
      <c r="BB643" s="12"/>
      <c r="BC643" s="12"/>
      <c r="BD643" s="11">
        <v>0</v>
      </c>
      <c r="BE643" s="11">
        <v>0</v>
      </c>
    </row>
    <row x14ac:dyDescent="0.25" r="644" customHeight="1" ht="17.25">
      <c r="A644" s="11">
        <v>254497</v>
      </c>
      <c r="B644" s="4" t="s">
        <v>3063</v>
      </c>
      <c r="C644" s="5" t="s">
        <v>3064</v>
      </c>
      <c r="D644" s="5" t="s">
        <v>3065</v>
      </c>
      <c r="E644" s="12"/>
      <c r="F644" s="13">
        <f>"0192805851"</f>
      </c>
      <c r="G644" s="13">
        <f>"9780192805850"</f>
      </c>
      <c r="H644" s="11">
        <v>0</v>
      </c>
      <c r="I644" s="14">
        <v>3.82</v>
      </c>
      <c r="J644" s="7" t="s">
        <v>245</v>
      </c>
      <c r="K644" s="5" t="s">
        <v>60</v>
      </c>
      <c r="L644" s="11">
        <v>146</v>
      </c>
      <c r="M644" s="11">
        <v>2005</v>
      </c>
      <c r="N644" s="11">
        <v>2003</v>
      </c>
      <c r="O644" s="15"/>
      <c r="P644" s="8">
        <v>45167</v>
      </c>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4" t="s">
        <v>38</v>
      </c>
      <c r="AY644" s="5" t="s">
        <v>3066</v>
      </c>
      <c r="AZ644" s="5" t="s">
        <v>38</v>
      </c>
      <c r="BA644" s="12"/>
      <c r="BB644" s="12"/>
      <c r="BC644" s="12"/>
      <c r="BD644" s="11">
        <v>0</v>
      </c>
      <c r="BE644" s="11">
        <v>0</v>
      </c>
    </row>
    <row x14ac:dyDescent="0.25" r="645" customHeight="1" ht="17.25">
      <c r="A645" s="11">
        <v>51905</v>
      </c>
      <c r="B645" s="4" t="s">
        <v>3067</v>
      </c>
      <c r="C645" s="5" t="s">
        <v>3068</v>
      </c>
      <c r="D645" s="5" t="s">
        <v>3069</v>
      </c>
      <c r="E645" s="12"/>
      <c r="F645" s="13">
        <f>"0195157346"</f>
      </c>
      <c r="G645" s="13">
        <f>"9780195157345"</f>
      </c>
      <c r="H645" s="11">
        <v>0</v>
      </c>
      <c r="I645" s="14">
        <v>3.87</v>
      </c>
      <c r="J645" s="7" t="s">
        <v>245</v>
      </c>
      <c r="K645" s="5" t="s">
        <v>60</v>
      </c>
      <c r="L645" s="11">
        <v>224</v>
      </c>
      <c r="M645" s="11">
        <v>2005</v>
      </c>
      <c r="N645" s="11">
        <v>2004</v>
      </c>
      <c r="O645" s="15"/>
      <c r="P645" s="8">
        <v>45167</v>
      </c>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4" t="s">
        <v>38</v>
      </c>
      <c r="AY645" s="5" t="s">
        <v>3070</v>
      </c>
      <c r="AZ645" s="5" t="s">
        <v>38</v>
      </c>
      <c r="BA645" s="12"/>
      <c r="BB645" s="12"/>
      <c r="BC645" s="12"/>
      <c r="BD645" s="11">
        <v>0</v>
      </c>
      <c r="BE645" s="11">
        <v>0</v>
      </c>
    </row>
    <row x14ac:dyDescent="0.25" r="646" customHeight="1" ht="17.25">
      <c r="A646" s="11">
        <v>59808264</v>
      </c>
      <c r="B646" s="4" t="s">
        <v>3071</v>
      </c>
      <c r="C646" s="5" t="s">
        <v>3072</v>
      </c>
      <c r="D646" s="5" t="s">
        <v>3073</v>
      </c>
      <c r="E646" s="12"/>
      <c r="F646" s="13">
        <f>"1250151171"</f>
      </c>
      <c r="G646" s="13">
        <f>"9781250151179"</f>
      </c>
      <c r="H646" s="11">
        <v>0</v>
      </c>
      <c r="I646" s="14">
        <v>3.5</v>
      </c>
      <c r="J646" s="7" t="s">
        <v>2025</v>
      </c>
      <c r="K646" s="5" t="s">
        <v>72</v>
      </c>
      <c r="L646" s="11">
        <v>272</v>
      </c>
      <c r="M646" s="11">
        <v>2022</v>
      </c>
      <c r="N646" s="11">
        <v>2022</v>
      </c>
      <c r="O646" s="15"/>
      <c r="P646" s="8">
        <v>45167</v>
      </c>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4" t="s">
        <v>38</v>
      </c>
      <c r="AY646" s="5" t="s">
        <v>3074</v>
      </c>
      <c r="AZ646" s="5" t="s">
        <v>38</v>
      </c>
      <c r="BA646" s="12"/>
      <c r="BB646" s="12"/>
      <c r="BC646" s="12"/>
      <c r="BD646" s="11">
        <v>0</v>
      </c>
      <c r="BE646" s="11">
        <v>0</v>
      </c>
    </row>
    <row x14ac:dyDescent="0.25" r="647" customHeight="1" ht="17.25">
      <c r="A647" s="11">
        <v>10503</v>
      </c>
      <c r="B647" s="4" t="s">
        <v>3075</v>
      </c>
      <c r="C647" s="5" t="s">
        <v>3076</v>
      </c>
      <c r="D647" s="5" t="s">
        <v>3077</v>
      </c>
      <c r="E647" s="5" t="s">
        <v>3078</v>
      </c>
      <c r="F647" s="13">
        <f>"0156030438"</f>
      </c>
      <c r="G647" s="13">
        <f>"9780156030434"</f>
      </c>
      <c r="H647" s="11">
        <v>0</v>
      </c>
      <c r="I647" s="14">
        <v>3.38</v>
      </c>
      <c r="J647" s="7" t="s">
        <v>2712</v>
      </c>
      <c r="K647" s="5" t="s">
        <v>60</v>
      </c>
      <c r="L647" s="11">
        <v>469</v>
      </c>
      <c r="M647" s="11">
        <v>2006</v>
      </c>
      <c r="N647" s="11">
        <v>2004</v>
      </c>
      <c r="O647" s="15"/>
      <c r="P647" s="8">
        <v>45167</v>
      </c>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4" t="s">
        <v>38</v>
      </c>
      <c r="AY647" s="5" t="s">
        <v>3079</v>
      </c>
      <c r="AZ647" s="5" t="s">
        <v>38</v>
      </c>
      <c r="BA647" s="12"/>
      <c r="BB647" s="12"/>
      <c r="BC647" s="12"/>
      <c r="BD647" s="11">
        <v>0</v>
      </c>
      <c r="BE647" s="11">
        <v>0</v>
      </c>
    </row>
    <row x14ac:dyDescent="0.25" r="648" customHeight="1" ht="17.25">
      <c r="A648" s="11">
        <v>465114</v>
      </c>
      <c r="B648" s="4" t="s">
        <v>3080</v>
      </c>
      <c r="C648" s="5" t="s">
        <v>3081</v>
      </c>
      <c r="D648" s="5" t="s">
        <v>3082</v>
      </c>
      <c r="E648" s="5" t="s">
        <v>3083</v>
      </c>
      <c r="F648" s="13">
        <f>"1564780708"</f>
      </c>
      <c r="G648" s="13">
        <f>"9781564780706"</f>
      </c>
      <c r="H648" s="11">
        <v>0</v>
      </c>
      <c r="I648" s="14">
        <v>3.36</v>
      </c>
      <c r="J648" s="7" t="s">
        <v>59</v>
      </c>
      <c r="K648" s="5" t="s">
        <v>60</v>
      </c>
      <c r="L648" s="11">
        <v>208</v>
      </c>
      <c r="M648" s="11">
        <v>1993</v>
      </c>
      <c r="N648" s="11">
        <v>1993</v>
      </c>
      <c r="O648" s="15"/>
      <c r="P648" s="8">
        <v>45167</v>
      </c>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4" t="s">
        <v>38</v>
      </c>
      <c r="AY648" s="5" t="s">
        <v>3084</v>
      </c>
      <c r="AZ648" s="5" t="s">
        <v>38</v>
      </c>
      <c r="BA648" s="12"/>
      <c r="BB648" s="12"/>
      <c r="BC648" s="12"/>
      <c r="BD648" s="11">
        <v>0</v>
      </c>
      <c r="BE648" s="11">
        <v>0</v>
      </c>
    </row>
    <row x14ac:dyDescent="0.25" r="649" customHeight="1" ht="17.25">
      <c r="A649" s="11">
        <v>23257</v>
      </c>
      <c r="B649" s="4" t="s">
        <v>3085</v>
      </c>
      <c r="C649" s="5" t="s">
        <v>3086</v>
      </c>
      <c r="D649" s="5" t="s">
        <v>3087</v>
      </c>
      <c r="E649" s="12"/>
      <c r="F649" s="13">
        <f>"019289322X"</f>
      </c>
      <c r="G649" s="13">
        <f>"9780192893222"</f>
      </c>
      <c r="H649" s="11">
        <v>0</v>
      </c>
      <c r="I649" s="14">
        <v>4.05</v>
      </c>
      <c r="J649" s="7" t="s">
        <v>245</v>
      </c>
      <c r="K649" s="5" t="s">
        <v>60</v>
      </c>
      <c r="L649" s="11">
        <v>352</v>
      </c>
      <c r="M649" s="11">
        <v>2001</v>
      </c>
      <c r="N649" s="11">
        <v>1987</v>
      </c>
      <c r="O649" s="15"/>
      <c r="P649" s="8">
        <v>45167</v>
      </c>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4" t="s">
        <v>38</v>
      </c>
      <c r="AY649" s="5" t="s">
        <v>3088</v>
      </c>
      <c r="AZ649" s="5" t="s">
        <v>38</v>
      </c>
      <c r="BA649" s="12"/>
      <c r="BB649" s="12"/>
      <c r="BC649" s="12"/>
      <c r="BD649" s="11">
        <v>0</v>
      </c>
      <c r="BE649" s="11">
        <v>0</v>
      </c>
    </row>
    <row x14ac:dyDescent="0.25" r="650" customHeight="1" ht="17.25">
      <c r="A650" s="11">
        <v>9160457</v>
      </c>
      <c r="B650" s="4" t="s">
        <v>3089</v>
      </c>
      <c r="C650" s="5" t="s">
        <v>3064</v>
      </c>
      <c r="D650" s="5" t="s">
        <v>3065</v>
      </c>
      <c r="E650" s="12"/>
      <c r="F650" s="13">
        <f>"144410487X"</f>
      </c>
      <c r="G650" s="13">
        <f>"9781444104875"</f>
      </c>
      <c r="H650" s="11">
        <v>0</v>
      </c>
      <c r="I650" s="14">
        <v>4.16</v>
      </c>
      <c r="J650" s="7" t="s">
        <v>3090</v>
      </c>
      <c r="K650" s="5" t="s">
        <v>60</v>
      </c>
      <c r="L650" s="11">
        <v>496</v>
      </c>
      <c r="M650" s="11">
        <v>2007</v>
      </c>
      <c r="N650" s="11">
        <v>2003</v>
      </c>
      <c r="O650" s="15"/>
      <c r="P650" s="8">
        <v>45167</v>
      </c>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4" t="s">
        <v>38</v>
      </c>
      <c r="AY650" s="5" t="s">
        <v>3091</v>
      </c>
      <c r="AZ650" s="5" t="s">
        <v>38</v>
      </c>
      <c r="BA650" s="12"/>
      <c r="BB650" s="12"/>
      <c r="BC650" s="12"/>
      <c r="BD650" s="11">
        <v>0</v>
      </c>
      <c r="BE650" s="11">
        <v>0</v>
      </c>
    </row>
    <row x14ac:dyDescent="0.25" r="651" customHeight="1" ht="17.25">
      <c r="A651" s="11">
        <v>83017</v>
      </c>
      <c r="B651" s="4" t="s">
        <v>3092</v>
      </c>
      <c r="C651" s="5" t="s">
        <v>1675</v>
      </c>
      <c r="D651" s="5" t="s">
        <v>1676</v>
      </c>
      <c r="E651" s="5" t="s">
        <v>3093</v>
      </c>
      <c r="F651" s="13">
        <f>"1567923046"</f>
      </c>
      <c r="G651" s="13">
        <f>"9781567923049"</f>
      </c>
      <c r="H651" s="11">
        <v>0</v>
      </c>
      <c r="I651" s="14">
        <v>4.2</v>
      </c>
      <c r="J651" s="7" t="s">
        <v>3094</v>
      </c>
      <c r="K651" s="5" t="s">
        <v>60</v>
      </c>
      <c r="L651" s="11">
        <v>198</v>
      </c>
      <c r="M651" s="11">
        <v>2005</v>
      </c>
      <c r="N651" s="11">
        <v>1940</v>
      </c>
      <c r="O651" s="15"/>
      <c r="P651" s="8">
        <v>45167</v>
      </c>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4" t="s">
        <v>38</v>
      </c>
      <c r="AY651" s="5" t="s">
        <v>3095</v>
      </c>
      <c r="AZ651" s="5" t="s">
        <v>38</v>
      </c>
      <c r="BA651" s="12"/>
      <c r="BB651" s="12"/>
      <c r="BC651" s="12"/>
      <c r="BD651" s="11">
        <v>0</v>
      </c>
      <c r="BE651" s="11">
        <v>0</v>
      </c>
    </row>
    <row x14ac:dyDescent="0.25" r="652" customHeight="1" ht="17.25">
      <c r="A652" s="11">
        <v>340577</v>
      </c>
      <c r="B652" s="4" t="s">
        <v>3096</v>
      </c>
      <c r="C652" s="5" t="s">
        <v>3097</v>
      </c>
      <c r="D652" s="5" t="s">
        <v>3098</v>
      </c>
      <c r="E652" s="12"/>
      <c r="F652" s="13">
        <f>"0393319806"</f>
      </c>
      <c r="G652" s="13">
        <f>"9780393319804"</f>
      </c>
      <c r="H652" s="11">
        <v>0</v>
      </c>
      <c r="I652" s="14">
        <v>4.04</v>
      </c>
      <c r="J652" s="7" t="s">
        <v>144</v>
      </c>
      <c r="K652" s="5" t="s">
        <v>60</v>
      </c>
      <c r="L652" s="11">
        <v>872</v>
      </c>
      <c r="M652" s="11">
        <v>1999</v>
      </c>
      <c r="N652" s="11">
        <v>1997</v>
      </c>
      <c r="O652" s="15"/>
      <c r="P652" s="8">
        <v>45166</v>
      </c>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4" t="s">
        <v>38</v>
      </c>
      <c r="AY652" s="5" t="s">
        <v>3099</v>
      </c>
      <c r="AZ652" s="5" t="s">
        <v>38</v>
      </c>
      <c r="BA652" s="12"/>
      <c r="BB652" s="12"/>
      <c r="BC652" s="12"/>
      <c r="BD652" s="11">
        <v>0</v>
      </c>
      <c r="BE652" s="11">
        <v>0</v>
      </c>
    </row>
    <row x14ac:dyDescent="0.25" r="653" customHeight="1" ht="17.25">
      <c r="A653" s="11">
        <v>60656</v>
      </c>
      <c r="B653" s="4" t="s">
        <v>3100</v>
      </c>
      <c r="C653" s="5" t="s">
        <v>3101</v>
      </c>
      <c r="D653" s="5" t="s">
        <v>3102</v>
      </c>
      <c r="E653" s="12"/>
      <c r="F653" s="13">
        <f>"067972849X"</f>
      </c>
      <c r="G653" s="13">
        <f>"9780679728498"</f>
      </c>
      <c r="H653" s="11">
        <v>0</v>
      </c>
      <c r="I653" s="14">
        <v>4.08</v>
      </c>
      <c r="J653" s="7" t="s">
        <v>114</v>
      </c>
      <c r="K653" s="5" t="s">
        <v>60</v>
      </c>
      <c r="L653" s="11">
        <v>368</v>
      </c>
      <c r="M653" s="11">
        <v>1991</v>
      </c>
      <c r="N653" s="11">
        <v>1977</v>
      </c>
      <c r="O653" s="15"/>
      <c r="P653" s="8">
        <v>45166</v>
      </c>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4" t="s">
        <v>38</v>
      </c>
      <c r="AY653" s="5" t="s">
        <v>3103</v>
      </c>
      <c r="AZ653" s="5" t="s">
        <v>38</v>
      </c>
      <c r="BA653" s="12"/>
      <c r="BB653" s="12"/>
      <c r="BC653" s="12"/>
      <c r="BD653" s="11">
        <v>0</v>
      </c>
      <c r="BE653" s="11">
        <v>0</v>
      </c>
    </row>
    <row x14ac:dyDescent="0.25" r="654" customHeight="1" ht="17.25">
      <c r="A654" s="11">
        <v>846264</v>
      </c>
      <c r="B654" s="4" t="s">
        <v>3104</v>
      </c>
      <c r="C654" s="5" t="s">
        <v>3105</v>
      </c>
      <c r="D654" s="5" t="s">
        <v>3106</v>
      </c>
      <c r="E654" s="12"/>
      <c r="F654" s="13">
        <f>"0140120815"</f>
      </c>
      <c r="G654" s="13">
        <f>"9780140120813"</f>
      </c>
      <c r="H654" s="11">
        <v>0</v>
      </c>
      <c r="I654" s="14">
        <v>4.08</v>
      </c>
      <c r="J654" s="7" t="s">
        <v>3107</v>
      </c>
      <c r="K654" s="5" t="s">
        <v>60</v>
      </c>
      <c r="L654" s="11">
        <v>368</v>
      </c>
      <c r="M654" s="11">
        <v>1990</v>
      </c>
      <c r="N654" s="11">
        <v>1960</v>
      </c>
      <c r="O654" s="15"/>
      <c r="P654" s="8">
        <v>45166</v>
      </c>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4" t="s">
        <v>38</v>
      </c>
      <c r="AY654" s="5" t="s">
        <v>3108</v>
      </c>
      <c r="AZ654" s="5" t="s">
        <v>38</v>
      </c>
      <c r="BA654" s="12"/>
      <c r="BB654" s="12"/>
      <c r="BC654" s="12"/>
      <c r="BD654" s="11">
        <v>0</v>
      </c>
      <c r="BE654" s="11">
        <v>0</v>
      </c>
    </row>
    <row x14ac:dyDescent="0.25" r="655" customHeight="1" ht="17.25">
      <c r="A655" s="11">
        <v>6657509</v>
      </c>
      <c r="B655" s="4" t="s">
        <v>3109</v>
      </c>
      <c r="C655" s="5" t="s">
        <v>3110</v>
      </c>
      <c r="D655" s="5" t="s">
        <v>3111</v>
      </c>
      <c r="E655" s="12"/>
      <c r="F655" s="13">
        <f>"1846682657"</f>
      </c>
      <c r="G655" s="13">
        <f>"9781846682650"</f>
      </c>
      <c r="H655" s="11">
        <v>0</v>
      </c>
      <c r="I655" s="14">
        <v>3.66</v>
      </c>
      <c r="J655" s="7" t="s">
        <v>3112</v>
      </c>
      <c r="K655" s="5" t="s">
        <v>72</v>
      </c>
      <c r="L655" s="11">
        <v>236</v>
      </c>
      <c r="M655" s="11">
        <v>2009</v>
      </c>
      <c r="N655" s="11">
        <v>2009</v>
      </c>
      <c r="O655" s="15"/>
      <c r="P655" s="8">
        <v>45166</v>
      </c>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4" t="s">
        <v>38</v>
      </c>
      <c r="AY655" s="5" t="s">
        <v>3113</v>
      </c>
      <c r="AZ655" s="5" t="s">
        <v>38</v>
      </c>
      <c r="BA655" s="12"/>
      <c r="BB655" s="12"/>
      <c r="BC655" s="12"/>
      <c r="BD655" s="11">
        <v>0</v>
      </c>
      <c r="BE655" s="11">
        <v>0</v>
      </c>
    </row>
    <row x14ac:dyDescent="0.25" r="656" customHeight="1" ht="17.25">
      <c r="A656" s="11">
        <v>52375</v>
      </c>
      <c r="B656" s="4" t="s">
        <v>3114</v>
      </c>
      <c r="C656" s="5" t="s">
        <v>1035</v>
      </c>
      <c r="D656" s="5" t="s">
        <v>1036</v>
      </c>
      <c r="E656" s="12"/>
      <c r="F656" s="13">
        <f>"0312420137"</f>
      </c>
      <c r="G656" s="13">
        <f>"9780312420130"</f>
      </c>
      <c r="H656" s="11">
        <v>0</v>
      </c>
      <c r="I656" s="14">
        <v>3.99</v>
      </c>
      <c r="J656" s="7" t="s">
        <v>975</v>
      </c>
      <c r="K656" s="5" t="s">
        <v>60</v>
      </c>
      <c r="L656" s="11">
        <v>183</v>
      </c>
      <c r="M656" s="11">
        <v>2001</v>
      </c>
      <c r="N656" s="11">
        <v>1989</v>
      </c>
      <c r="O656" s="15"/>
      <c r="P656" s="8">
        <v>45166</v>
      </c>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4" t="s">
        <v>38</v>
      </c>
      <c r="AY656" s="5" t="s">
        <v>3115</v>
      </c>
      <c r="AZ656" s="5" t="s">
        <v>38</v>
      </c>
      <c r="BA656" s="12"/>
      <c r="BB656" s="12"/>
      <c r="BC656" s="12"/>
      <c r="BD656" s="11">
        <v>0</v>
      </c>
      <c r="BE656" s="11">
        <v>0</v>
      </c>
    </row>
    <row x14ac:dyDescent="0.25" r="657" customHeight="1" ht="17.25">
      <c r="A657" s="11">
        <v>59925</v>
      </c>
      <c r="B657" s="4" t="s">
        <v>3116</v>
      </c>
      <c r="C657" s="5" t="s">
        <v>3076</v>
      </c>
      <c r="D657" s="5" t="s">
        <v>3077</v>
      </c>
      <c r="E657" s="5" t="s">
        <v>3117</v>
      </c>
      <c r="F657" s="13">
        <f>"015601159X"</f>
      </c>
      <c r="G657" s="13">
        <f>"9780156011594"</f>
      </c>
      <c r="H657" s="11">
        <v>0</v>
      </c>
      <c r="I657" s="14">
        <v>3.82</v>
      </c>
      <c r="J657" s="7" t="s">
        <v>3118</v>
      </c>
      <c r="K657" s="5" t="s">
        <v>60</v>
      </c>
      <c r="L657" s="11">
        <v>480</v>
      </c>
      <c r="M657" s="11">
        <v>2000</v>
      </c>
      <c r="N657" s="11">
        <v>1997</v>
      </c>
      <c r="O657" s="15"/>
      <c r="P657" s="8">
        <v>45166</v>
      </c>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4" t="s">
        <v>38</v>
      </c>
      <c r="AY657" s="5" t="s">
        <v>3119</v>
      </c>
      <c r="AZ657" s="5" t="s">
        <v>38</v>
      </c>
      <c r="BA657" s="12"/>
      <c r="BB657" s="12"/>
      <c r="BC657" s="12"/>
      <c r="BD657" s="11">
        <v>0</v>
      </c>
      <c r="BE657" s="11">
        <v>0</v>
      </c>
    </row>
    <row x14ac:dyDescent="0.25" r="658" customHeight="1" ht="17.25">
      <c r="A658" s="11">
        <v>9778945</v>
      </c>
      <c r="B658" s="4" t="s">
        <v>3120</v>
      </c>
      <c r="C658" s="5" t="s">
        <v>3121</v>
      </c>
      <c r="D658" s="5" t="s">
        <v>3122</v>
      </c>
      <c r="E658" s="12"/>
      <c r="F658" s="13">
        <f>"0393339750"</f>
      </c>
      <c r="G658" s="13">
        <f>"9780393339758"</f>
      </c>
      <c r="H658" s="11">
        <v>0</v>
      </c>
      <c r="I658" s="14">
        <v>3.89</v>
      </c>
      <c r="J658" s="7" t="s">
        <v>144</v>
      </c>
      <c r="K658" s="5" t="s">
        <v>60</v>
      </c>
      <c r="L658" s="11">
        <v>280</v>
      </c>
      <c r="M658" s="11">
        <v>2011</v>
      </c>
      <c r="N658" s="11">
        <v>2010</v>
      </c>
      <c r="O658" s="15"/>
      <c r="P658" s="8">
        <v>45165</v>
      </c>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4" t="s">
        <v>38</v>
      </c>
      <c r="AY658" s="5" t="s">
        <v>3123</v>
      </c>
      <c r="AZ658" s="5" t="s">
        <v>38</v>
      </c>
      <c r="BA658" s="12"/>
      <c r="BB658" s="12"/>
      <c r="BC658" s="12"/>
      <c r="BD658" s="11">
        <v>0</v>
      </c>
      <c r="BE658" s="11">
        <v>0</v>
      </c>
    </row>
    <row x14ac:dyDescent="0.25" r="659" customHeight="1" ht="17.25">
      <c r="A659" s="11">
        <v>32276</v>
      </c>
      <c r="B659" s="4" t="s">
        <v>3124</v>
      </c>
      <c r="C659" s="5" t="s">
        <v>3125</v>
      </c>
      <c r="D659" s="5" t="s">
        <v>3126</v>
      </c>
      <c r="E659" s="12"/>
      <c r="F659" s="13">
        <f>"0345346297"</f>
      </c>
      <c r="G659" s="13">
        <f>"9780345346292"</f>
      </c>
      <c r="H659" s="11">
        <v>0</v>
      </c>
      <c r="I659" s="14">
        <v>4.19</v>
      </c>
      <c r="J659" s="7" t="s">
        <v>3127</v>
      </c>
      <c r="K659" s="5" t="s">
        <v>60</v>
      </c>
      <c r="L659" s="11">
        <v>271</v>
      </c>
      <c r="M659" s="11">
        <v>1986</v>
      </c>
      <c r="N659" s="11">
        <v>1977</v>
      </c>
      <c r="O659" s="15"/>
      <c r="P659" s="8">
        <v>45165</v>
      </c>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4" t="s">
        <v>38</v>
      </c>
      <c r="AY659" s="5" t="s">
        <v>3128</v>
      </c>
      <c r="AZ659" s="5" t="s">
        <v>38</v>
      </c>
      <c r="BA659" s="12"/>
      <c r="BB659" s="12"/>
      <c r="BC659" s="12"/>
      <c r="BD659" s="11">
        <v>0</v>
      </c>
      <c r="BE659" s="11">
        <v>0</v>
      </c>
    </row>
    <row x14ac:dyDescent="0.25" r="660" customHeight="1" ht="17.25">
      <c r="A660" s="11">
        <v>36710811</v>
      </c>
      <c r="B660" s="4" t="s">
        <v>3129</v>
      </c>
      <c r="C660" s="5" t="s">
        <v>3130</v>
      </c>
      <c r="D660" s="5" t="s">
        <v>3131</v>
      </c>
      <c r="E660" s="12"/>
      <c r="F660" s="13">
        <f>"1594204225"</f>
      </c>
      <c r="G660" s="13">
        <f>"9781594204227"</f>
      </c>
      <c r="H660" s="11">
        <v>0</v>
      </c>
      <c r="I660" s="14">
        <v>4.27</v>
      </c>
      <c r="J660" s="7" t="s">
        <v>1265</v>
      </c>
      <c r="K660" s="5" t="s">
        <v>72</v>
      </c>
      <c r="L660" s="11">
        <v>465</v>
      </c>
      <c r="M660" s="11">
        <v>2018</v>
      </c>
      <c r="N660" s="11">
        <v>2018</v>
      </c>
      <c r="O660" s="15"/>
      <c r="P660" s="8">
        <v>45165</v>
      </c>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4" t="s">
        <v>38</v>
      </c>
      <c r="AY660" s="5" t="s">
        <v>3132</v>
      </c>
      <c r="AZ660" s="5" t="s">
        <v>38</v>
      </c>
      <c r="BA660" s="12"/>
      <c r="BB660" s="12"/>
      <c r="BC660" s="12"/>
      <c r="BD660" s="11">
        <v>0</v>
      </c>
      <c r="BE660" s="11">
        <v>0</v>
      </c>
    </row>
    <row x14ac:dyDescent="0.25" r="661" customHeight="1" ht="17.25">
      <c r="A661" s="11">
        <v>607541</v>
      </c>
      <c r="B661" s="4" t="s">
        <v>3133</v>
      </c>
      <c r="C661" s="5" t="s">
        <v>3134</v>
      </c>
      <c r="D661" s="5" t="s">
        <v>3135</v>
      </c>
      <c r="E661" s="12"/>
      <c r="F661" s="13">
        <f>"0385314264"</f>
      </c>
      <c r="G661" s="13">
        <f>"9780385314268"</f>
      </c>
      <c r="H661" s="11">
        <v>0</v>
      </c>
      <c r="I661" s="14">
        <v>3.87</v>
      </c>
      <c r="J661" s="7" t="s">
        <v>3136</v>
      </c>
      <c r="K661" s="5" t="s">
        <v>60</v>
      </c>
      <c r="L661" s="11">
        <v>352</v>
      </c>
      <c r="M661" s="11">
        <v>1995</v>
      </c>
      <c r="N661" s="11">
        <v>1994</v>
      </c>
      <c r="O661" s="15"/>
      <c r="P661" s="8">
        <v>45165</v>
      </c>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4" t="s">
        <v>38</v>
      </c>
      <c r="AY661" s="5" t="s">
        <v>3137</v>
      </c>
      <c r="AZ661" s="5" t="s">
        <v>38</v>
      </c>
      <c r="BA661" s="12"/>
      <c r="BB661" s="12"/>
      <c r="BC661" s="12"/>
      <c r="BD661" s="11">
        <v>0</v>
      </c>
      <c r="BE661" s="11">
        <v>0</v>
      </c>
    </row>
    <row x14ac:dyDescent="0.25" r="662" customHeight="1" ht="17.25">
      <c r="A662" s="11">
        <v>53275789</v>
      </c>
      <c r="B662" s="4" t="s">
        <v>3138</v>
      </c>
      <c r="C662" s="5" t="s">
        <v>3139</v>
      </c>
      <c r="D662" s="5" t="s">
        <v>3140</v>
      </c>
      <c r="E662" s="12"/>
      <c r="F662" s="13">
        <f>"1509531645"</f>
      </c>
      <c r="G662" s="13">
        <f>"9781509531646"</f>
      </c>
      <c r="H662" s="11">
        <v>0</v>
      </c>
      <c r="I662" s="14">
        <v>4.12</v>
      </c>
      <c r="J662" s="7" t="s">
        <v>2721</v>
      </c>
      <c r="K662" s="5" t="s">
        <v>72</v>
      </c>
      <c r="L662" s="11">
        <v>224</v>
      </c>
      <c r="M662" s="11">
        <v>2020</v>
      </c>
      <c r="N662" s="16"/>
      <c r="O662" s="15"/>
      <c r="P662" s="8">
        <v>45165</v>
      </c>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4" t="s">
        <v>38</v>
      </c>
      <c r="AY662" s="5" t="s">
        <v>3141</v>
      </c>
      <c r="AZ662" s="5" t="s">
        <v>38</v>
      </c>
      <c r="BA662" s="12"/>
      <c r="BB662" s="12"/>
      <c r="BC662" s="12"/>
      <c r="BD662" s="11">
        <v>0</v>
      </c>
      <c r="BE662" s="11">
        <v>0</v>
      </c>
    </row>
    <row x14ac:dyDescent="0.25" r="663" customHeight="1" ht="17.25">
      <c r="A663" s="11">
        <v>743262</v>
      </c>
      <c r="B663" s="4" t="s">
        <v>3142</v>
      </c>
      <c r="C663" s="5" t="s">
        <v>3143</v>
      </c>
      <c r="D663" s="5" t="s">
        <v>3144</v>
      </c>
      <c r="E663" s="12"/>
      <c r="F663" s="13">
        <f>"019512913X"</f>
      </c>
      <c r="G663" s="13">
        <f>"9780195129137"</f>
      </c>
      <c r="H663" s="11">
        <v>0</v>
      </c>
      <c r="I663" s="14">
        <v>3.44</v>
      </c>
      <c r="J663" s="7" t="s">
        <v>245</v>
      </c>
      <c r="K663" s="5" t="s">
        <v>60</v>
      </c>
      <c r="L663" s="11">
        <v>336</v>
      </c>
      <c r="M663" s="11">
        <v>1998</v>
      </c>
      <c r="N663" s="11">
        <v>1992</v>
      </c>
      <c r="O663" s="15"/>
      <c r="P663" s="8">
        <v>45165</v>
      </c>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4" t="s">
        <v>38</v>
      </c>
      <c r="AY663" s="5" t="s">
        <v>3145</v>
      </c>
      <c r="AZ663" s="5" t="s">
        <v>38</v>
      </c>
      <c r="BA663" s="12"/>
      <c r="BB663" s="12"/>
      <c r="BC663" s="12"/>
      <c r="BD663" s="11">
        <v>0</v>
      </c>
      <c r="BE663" s="11">
        <v>0</v>
      </c>
    </row>
    <row x14ac:dyDescent="0.25" r="664" customHeight="1" ht="17.25">
      <c r="A664" s="11">
        <v>12397415</v>
      </c>
      <c r="B664" s="4" t="s">
        <v>3146</v>
      </c>
      <c r="C664" s="5" t="s">
        <v>3147</v>
      </c>
      <c r="D664" s="5" t="s">
        <v>3148</v>
      </c>
      <c r="E664" s="12"/>
      <c r="F664" s="13">
        <f>"1616491213"</f>
      </c>
      <c r="G664" s="13">
        <f>"9781616491215"</f>
      </c>
      <c r="H664" s="11">
        <v>0</v>
      </c>
      <c r="I664" s="14">
        <v>3.57</v>
      </c>
      <c r="J664" s="7" t="s">
        <v>3149</v>
      </c>
      <c r="K664" s="5" t="s">
        <v>60</v>
      </c>
      <c r="L664" s="11">
        <v>273</v>
      </c>
      <c r="M664" s="11">
        <v>2011</v>
      </c>
      <c r="N664" s="11">
        <v>2011</v>
      </c>
      <c r="O664" s="15"/>
      <c r="P664" s="8">
        <v>45164</v>
      </c>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4" t="s">
        <v>38</v>
      </c>
      <c r="AY664" s="5" t="s">
        <v>3150</v>
      </c>
      <c r="AZ664" s="5" t="s">
        <v>38</v>
      </c>
      <c r="BA664" s="12"/>
      <c r="BB664" s="12"/>
      <c r="BC664" s="12"/>
      <c r="BD664" s="11">
        <v>0</v>
      </c>
      <c r="BE664" s="11">
        <v>0</v>
      </c>
    </row>
    <row x14ac:dyDescent="0.25" r="665" customHeight="1" ht="17.25">
      <c r="A665" s="11">
        <v>668802</v>
      </c>
      <c r="B665" s="4" t="s">
        <v>3151</v>
      </c>
      <c r="C665" s="5" t="s">
        <v>3152</v>
      </c>
      <c r="D665" s="5" t="s">
        <v>3153</v>
      </c>
      <c r="E665" s="12"/>
      <c r="F665" s="13">
        <f>"0486442187"</f>
      </c>
      <c r="G665" s="13">
        <f>"9780486442181"</f>
      </c>
      <c r="H665" s="11">
        <v>0</v>
      </c>
      <c r="I665" s="14">
        <v>3.6</v>
      </c>
      <c r="J665" s="7" t="s">
        <v>571</v>
      </c>
      <c r="K665" s="5" t="s">
        <v>60</v>
      </c>
      <c r="L665" s="11">
        <v>144</v>
      </c>
      <c r="M665" s="11">
        <v>2005</v>
      </c>
      <c r="N665" s="11">
        <v>1937</v>
      </c>
      <c r="O665" s="15"/>
      <c r="P665" s="8">
        <v>45163</v>
      </c>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4" t="s">
        <v>3154</v>
      </c>
      <c r="AY665" s="5" t="s">
        <v>3155</v>
      </c>
      <c r="AZ665" s="5" t="s">
        <v>38</v>
      </c>
      <c r="BA665" s="12"/>
      <c r="BB665" s="12"/>
      <c r="BC665" s="12"/>
      <c r="BD665" s="11">
        <v>0</v>
      </c>
      <c r="BE665" s="11">
        <v>1</v>
      </c>
    </row>
    <row x14ac:dyDescent="0.25" r="666" customHeight="1" ht="17.25">
      <c r="A666" s="11">
        <v>131613754</v>
      </c>
      <c r="B666" s="4" t="s">
        <v>3156</v>
      </c>
      <c r="C666" s="5" t="s">
        <v>3157</v>
      </c>
      <c r="D666" s="5" t="s">
        <v>3158</v>
      </c>
      <c r="E666" s="12"/>
      <c r="F666" s="13">
        <f>""</f>
      </c>
      <c r="G666" s="13">
        <f>""</f>
      </c>
      <c r="H666" s="11">
        <v>0</v>
      </c>
      <c r="I666" s="11">
        <v>0</v>
      </c>
      <c r="J666" s="7" t="s">
        <v>3159</v>
      </c>
      <c r="K666" s="5" t="s">
        <v>60</v>
      </c>
      <c r="L666" s="16"/>
      <c r="M666" s="11">
        <v>1962</v>
      </c>
      <c r="N666" s="16"/>
      <c r="O666" s="15"/>
      <c r="P666" s="8">
        <v>45161</v>
      </c>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4" t="s">
        <v>2015</v>
      </c>
      <c r="AY666" s="5" t="s">
        <v>3160</v>
      </c>
      <c r="AZ666" s="5" t="s">
        <v>38</v>
      </c>
      <c r="BA666" s="12"/>
      <c r="BB666" s="12"/>
      <c r="BC666" s="5" t="s">
        <v>2462</v>
      </c>
      <c r="BD666" s="11">
        <v>0</v>
      </c>
      <c r="BE666" s="11">
        <v>1</v>
      </c>
    </row>
    <row x14ac:dyDescent="0.25" r="667" customHeight="1" ht="17.25">
      <c r="A667" s="11">
        <v>35841005</v>
      </c>
      <c r="B667" s="4" t="s">
        <v>3161</v>
      </c>
      <c r="C667" s="5" t="s">
        <v>3162</v>
      </c>
      <c r="D667" s="5" t="s">
        <v>3163</v>
      </c>
      <c r="E667" s="12"/>
      <c r="F667" s="13">
        <f>""</f>
      </c>
      <c r="G667" s="13">
        <f>""</f>
      </c>
      <c r="H667" s="11">
        <v>0</v>
      </c>
      <c r="I667" s="14">
        <v>4.27</v>
      </c>
      <c r="J667" s="18"/>
      <c r="K667" s="5" t="s">
        <v>72</v>
      </c>
      <c r="L667" s="11">
        <v>308</v>
      </c>
      <c r="M667" s="11">
        <v>2017</v>
      </c>
      <c r="N667" s="11">
        <v>2017</v>
      </c>
      <c r="O667" s="15"/>
      <c r="P667" s="8">
        <v>45159</v>
      </c>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4" t="s">
        <v>3164</v>
      </c>
      <c r="AY667" s="5" t="s">
        <v>3165</v>
      </c>
      <c r="AZ667" s="5" t="s">
        <v>38</v>
      </c>
      <c r="BA667" s="12"/>
      <c r="BB667" s="12"/>
      <c r="BC667" s="12"/>
      <c r="BD667" s="11">
        <v>0</v>
      </c>
      <c r="BE667" s="11">
        <v>1</v>
      </c>
    </row>
    <row x14ac:dyDescent="0.25" r="668" customHeight="1" ht="17.25">
      <c r="A668" s="11">
        <v>34916749</v>
      </c>
      <c r="B668" s="4" t="s">
        <v>3166</v>
      </c>
      <c r="C668" s="5" t="s">
        <v>3167</v>
      </c>
      <c r="D668" s="5" t="s">
        <v>3168</v>
      </c>
      <c r="E668" s="5" t="s">
        <v>3169</v>
      </c>
      <c r="F668" s="13">
        <f>"0997391642"</f>
      </c>
      <c r="G668" s="13">
        <f>"9780997391640"</f>
      </c>
      <c r="H668" s="11">
        <v>0</v>
      </c>
      <c r="I668" s="11">
        <v>5</v>
      </c>
      <c r="J668" s="7" t="s">
        <v>3170</v>
      </c>
      <c r="K668" s="5" t="s">
        <v>72</v>
      </c>
      <c r="L668" s="11">
        <v>160</v>
      </c>
      <c r="M668" s="11">
        <v>2017</v>
      </c>
      <c r="N668" s="16"/>
      <c r="O668" s="15"/>
      <c r="P668" s="8">
        <v>45161</v>
      </c>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4" t="s">
        <v>3171</v>
      </c>
      <c r="AY668" s="5" t="s">
        <v>3172</v>
      </c>
      <c r="AZ668" s="5" t="s">
        <v>38</v>
      </c>
      <c r="BA668" s="12"/>
      <c r="BB668" s="12"/>
      <c r="BC668" s="12"/>
      <c r="BD668" s="11">
        <v>0</v>
      </c>
      <c r="BE668" s="11">
        <v>1</v>
      </c>
    </row>
    <row x14ac:dyDescent="0.25" r="669" customHeight="1" ht="17.25">
      <c r="A669" s="11">
        <v>59767040</v>
      </c>
      <c r="B669" s="4" t="s">
        <v>3173</v>
      </c>
      <c r="C669" s="5" t="s">
        <v>705</v>
      </c>
      <c r="D669" s="5" t="s">
        <v>706</v>
      </c>
      <c r="E669" s="12"/>
      <c r="F669" s="13">
        <f>""</f>
      </c>
      <c r="G669" s="13">
        <f>""</f>
      </c>
      <c r="H669" s="11">
        <v>0</v>
      </c>
      <c r="I669" s="14">
        <v>4.23</v>
      </c>
      <c r="J669" s="7" t="s">
        <v>3174</v>
      </c>
      <c r="K669" s="5" t="s">
        <v>72</v>
      </c>
      <c r="L669" s="11">
        <v>312</v>
      </c>
      <c r="M669" s="11">
        <v>1983</v>
      </c>
      <c r="N669" s="11">
        <v>2007</v>
      </c>
      <c r="O669" s="15"/>
      <c r="P669" s="8">
        <v>45159</v>
      </c>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4" t="s">
        <v>3164</v>
      </c>
      <c r="AY669" s="5" t="s">
        <v>3175</v>
      </c>
      <c r="AZ669" s="5" t="s">
        <v>38</v>
      </c>
      <c r="BA669" s="12"/>
      <c r="BB669" s="12"/>
      <c r="BC669" s="5" t="s">
        <v>2462</v>
      </c>
      <c r="BD669" s="11">
        <v>0</v>
      </c>
      <c r="BE669" s="11">
        <v>1</v>
      </c>
    </row>
    <row x14ac:dyDescent="0.25" r="670" customHeight="1" ht="17.25">
      <c r="A670" s="11">
        <v>77449694</v>
      </c>
      <c r="B670" s="4" t="s">
        <v>3176</v>
      </c>
      <c r="C670" s="5" t="s">
        <v>3177</v>
      </c>
      <c r="D670" s="5" t="s">
        <v>3178</v>
      </c>
      <c r="E670" s="12"/>
      <c r="F670" s="13">
        <f>"4062617641"</f>
      </c>
      <c r="G670" s="13">
        <f>"9784062617642"</f>
      </c>
      <c r="H670" s="11">
        <v>0</v>
      </c>
      <c r="I670" s="11">
        <v>0</v>
      </c>
      <c r="J670" s="7" t="s">
        <v>3179</v>
      </c>
      <c r="K670" s="5" t="s">
        <v>3180</v>
      </c>
      <c r="L670" s="16"/>
      <c r="M670" s="16"/>
      <c r="N670" s="16"/>
      <c r="O670" s="15"/>
      <c r="P670" s="8">
        <v>45137</v>
      </c>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4" t="s">
        <v>3164</v>
      </c>
      <c r="AY670" s="5" t="s">
        <v>3181</v>
      </c>
      <c r="AZ670" s="5" t="s">
        <v>38</v>
      </c>
      <c r="BA670" s="12"/>
      <c r="BB670" s="12"/>
      <c r="BC670" s="12"/>
      <c r="BD670" s="11">
        <v>0</v>
      </c>
      <c r="BE670" s="11">
        <v>1</v>
      </c>
    </row>
    <row x14ac:dyDescent="0.25" r="671" customHeight="1" ht="17.25">
      <c r="A671" s="11">
        <v>31305897</v>
      </c>
      <c r="B671" s="4" t="s">
        <v>3182</v>
      </c>
      <c r="C671" s="5" t="s">
        <v>3183</v>
      </c>
      <c r="D671" s="5" t="s">
        <v>3184</v>
      </c>
      <c r="E671" s="12"/>
      <c r="F671" s="13">
        <f>"1571314903"</f>
      </c>
      <c r="G671" s="13">
        <f>"9781571314901"</f>
      </c>
      <c r="H671" s="11">
        <v>0</v>
      </c>
      <c r="I671" s="14">
        <v>4.22</v>
      </c>
      <c r="J671" s="7" t="s">
        <v>3185</v>
      </c>
      <c r="K671" s="5" t="s">
        <v>72</v>
      </c>
      <c r="L671" s="11">
        <v>79</v>
      </c>
      <c r="M671" s="11">
        <v>2016</v>
      </c>
      <c r="N671" s="11">
        <v>2016</v>
      </c>
      <c r="O671" s="15"/>
      <c r="P671" s="8">
        <v>45143</v>
      </c>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4" t="s">
        <v>3186</v>
      </c>
      <c r="AY671" s="5" t="s">
        <v>3187</v>
      </c>
      <c r="AZ671" s="5" t="s">
        <v>38</v>
      </c>
      <c r="BA671" s="12"/>
      <c r="BB671" s="12"/>
      <c r="BC671" s="12"/>
      <c r="BD671" s="11">
        <v>0</v>
      </c>
      <c r="BE671" s="11">
        <v>1</v>
      </c>
    </row>
    <row x14ac:dyDescent="0.25" r="672" customHeight="1" ht="17.25">
      <c r="A672" s="11">
        <v>29362495</v>
      </c>
      <c r="B672" s="4" t="s">
        <v>3188</v>
      </c>
      <c r="C672" s="5" t="s">
        <v>1285</v>
      </c>
      <c r="D672" s="5" t="s">
        <v>1286</v>
      </c>
      <c r="E672" s="5" t="s">
        <v>3189</v>
      </c>
      <c r="F672" s="13">
        <f>"0857423983"</f>
      </c>
      <c r="G672" s="13">
        <f>"9780857423986"</f>
      </c>
      <c r="H672" s="11">
        <v>0</v>
      </c>
      <c r="I672" s="14">
        <v>4.18</v>
      </c>
      <c r="J672" s="7" t="s">
        <v>3190</v>
      </c>
      <c r="K672" s="5" t="s">
        <v>60</v>
      </c>
      <c r="L672" s="11">
        <v>352</v>
      </c>
      <c r="M672" s="11">
        <v>2016</v>
      </c>
      <c r="N672" s="11">
        <v>1985</v>
      </c>
      <c r="O672" s="15"/>
      <c r="P672" s="8">
        <v>45160</v>
      </c>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4" t="s">
        <v>3191</v>
      </c>
      <c r="AY672" s="5" t="s">
        <v>3192</v>
      </c>
      <c r="AZ672" s="5" t="s">
        <v>38</v>
      </c>
      <c r="BA672" s="12"/>
      <c r="BB672" s="12"/>
      <c r="BC672" s="12"/>
      <c r="BD672" s="11">
        <v>0</v>
      </c>
      <c r="BE672" s="11">
        <v>1</v>
      </c>
    </row>
    <row x14ac:dyDescent="0.25" r="673" customHeight="1" ht="17.25">
      <c r="A673" s="11">
        <v>46114267</v>
      </c>
      <c r="B673" s="4" t="s">
        <v>3193</v>
      </c>
      <c r="C673" s="5" t="s">
        <v>3194</v>
      </c>
      <c r="D673" s="5" t="s">
        <v>3195</v>
      </c>
      <c r="E673" s="12"/>
      <c r="F673" s="13">
        <f>"1524760838"</f>
      </c>
      <c r="G673" s="13">
        <f>"9781524760830"</f>
      </c>
      <c r="H673" s="11">
        <v>0</v>
      </c>
      <c r="I673" s="14">
        <v>4.29</v>
      </c>
      <c r="J673" s="7" t="s">
        <v>3196</v>
      </c>
      <c r="K673" s="5" t="s">
        <v>60</v>
      </c>
      <c r="L673" s="11">
        <v>464</v>
      </c>
      <c r="M673" s="11">
        <v>2019</v>
      </c>
      <c r="N673" s="11">
        <v>2018</v>
      </c>
      <c r="O673" s="15"/>
      <c r="P673" s="8">
        <v>45132</v>
      </c>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4" t="s">
        <v>3164</v>
      </c>
      <c r="AY673" s="5" t="s">
        <v>3197</v>
      </c>
      <c r="AZ673" s="5" t="s">
        <v>38</v>
      </c>
      <c r="BA673" s="12"/>
      <c r="BB673" s="12"/>
      <c r="BC673" s="12"/>
      <c r="BD673" s="11">
        <v>0</v>
      </c>
      <c r="BE673" s="11">
        <v>1</v>
      </c>
    </row>
    <row x14ac:dyDescent="0.25" r="674" customHeight="1" ht="17.25">
      <c r="A674" s="11">
        <v>38241087</v>
      </c>
      <c r="B674" s="4" t="s">
        <v>3198</v>
      </c>
      <c r="C674" s="5" t="s">
        <v>2599</v>
      </c>
      <c r="D674" s="5" t="s">
        <v>2600</v>
      </c>
      <c r="E674" s="5" t="s">
        <v>3199</v>
      </c>
      <c r="F674" s="13">
        <f>"0892075430"</f>
      </c>
      <c r="G674" s="13">
        <f>"9780892075430"</f>
      </c>
      <c r="H674" s="11">
        <v>0</v>
      </c>
      <c r="I674" s="14">
        <v>4.53</v>
      </c>
      <c r="J674" s="7" t="s">
        <v>3200</v>
      </c>
      <c r="K674" s="5" t="s">
        <v>72</v>
      </c>
      <c r="L674" s="11">
        <v>239</v>
      </c>
      <c r="M674" s="11">
        <v>2018</v>
      </c>
      <c r="N674" s="16"/>
      <c r="O674" s="15"/>
      <c r="P674" s="8">
        <v>45137</v>
      </c>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4" t="s">
        <v>3171</v>
      </c>
      <c r="AY674" s="5" t="s">
        <v>3201</v>
      </c>
      <c r="AZ674" s="5" t="s">
        <v>38</v>
      </c>
      <c r="BA674" s="12"/>
      <c r="BB674" s="12"/>
      <c r="BC674" s="12"/>
      <c r="BD674" s="11">
        <v>0</v>
      </c>
      <c r="BE674" s="11">
        <v>1</v>
      </c>
    </row>
    <row x14ac:dyDescent="0.25" r="675" customHeight="1" ht="17.25">
      <c r="A675" s="11">
        <v>77461454</v>
      </c>
      <c r="B675" s="4" t="s">
        <v>3202</v>
      </c>
      <c r="C675" s="5" t="s">
        <v>3203</v>
      </c>
      <c r="D675" s="5" t="s">
        <v>3204</v>
      </c>
      <c r="E675" s="12"/>
      <c r="F675" s="13">
        <f>"4062617625"</f>
      </c>
      <c r="G675" s="13">
        <f>"9784062617628"</f>
      </c>
      <c r="H675" s="11">
        <v>0</v>
      </c>
      <c r="I675" s="11">
        <v>0</v>
      </c>
      <c r="J675" s="7" t="s">
        <v>3179</v>
      </c>
      <c r="K675" s="5" t="s">
        <v>3180</v>
      </c>
      <c r="L675" s="16"/>
      <c r="M675" s="16"/>
      <c r="N675" s="16"/>
      <c r="O675" s="15"/>
      <c r="P675" s="8">
        <v>45137</v>
      </c>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4" t="s">
        <v>3164</v>
      </c>
      <c r="AY675" s="5" t="s">
        <v>3205</v>
      </c>
      <c r="AZ675" s="5" t="s">
        <v>38</v>
      </c>
      <c r="BA675" s="12"/>
      <c r="BB675" s="12"/>
      <c r="BC675" s="12"/>
      <c r="BD675" s="11">
        <v>0</v>
      </c>
      <c r="BE675" s="11">
        <v>1</v>
      </c>
    </row>
    <row x14ac:dyDescent="0.25" r="676" customHeight="1" ht="17.25">
      <c r="A676" s="11">
        <v>53483643</v>
      </c>
      <c r="B676" s="4" t="s">
        <v>3206</v>
      </c>
      <c r="C676" s="5" t="s">
        <v>3207</v>
      </c>
      <c r="D676" s="5" t="s">
        <v>3208</v>
      </c>
      <c r="E676" s="12"/>
      <c r="F676" s="13">
        <f>"1484259971"</f>
      </c>
      <c r="G676" s="13">
        <f>"9781484259979"</f>
      </c>
      <c r="H676" s="11">
        <v>0</v>
      </c>
      <c r="I676" s="14">
        <v>4.2</v>
      </c>
      <c r="J676" s="7" t="s">
        <v>3209</v>
      </c>
      <c r="K676" s="5" t="s">
        <v>60</v>
      </c>
      <c r="L676" s="11">
        <v>809</v>
      </c>
      <c r="M676" s="11">
        <v>2020</v>
      </c>
      <c r="N676" s="16"/>
      <c r="O676" s="15"/>
      <c r="P676" s="8">
        <v>45136</v>
      </c>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4" t="s">
        <v>3164</v>
      </c>
      <c r="AY676" s="5" t="s">
        <v>3210</v>
      </c>
      <c r="AZ676" s="5" t="s">
        <v>38</v>
      </c>
      <c r="BA676" s="12"/>
      <c r="BB676" s="12"/>
      <c r="BC676" s="12"/>
      <c r="BD676" s="11">
        <v>0</v>
      </c>
      <c r="BE676" s="11">
        <v>1</v>
      </c>
    </row>
    <row x14ac:dyDescent="0.25" r="677" customHeight="1" ht="17.25">
      <c r="A677" s="11">
        <v>53210289</v>
      </c>
      <c r="B677" s="4" t="s">
        <v>3211</v>
      </c>
      <c r="C677" s="5" t="s">
        <v>3212</v>
      </c>
      <c r="D677" s="5" t="s">
        <v>3213</v>
      </c>
      <c r="E677" s="5" t="s">
        <v>3214</v>
      </c>
      <c r="F677" s="13">
        <f>"1119696135"</f>
      </c>
      <c r="G677" s="13">
        <f>"9781119696131"</f>
      </c>
      <c r="H677" s="11">
        <v>0</v>
      </c>
      <c r="I677" s="14">
        <v>4.71</v>
      </c>
      <c r="J677" s="7" t="s">
        <v>3215</v>
      </c>
      <c r="K677" s="5" t="s">
        <v>60</v>
      </c>
      <c r="L677" s="11">
        <v>608</v>
      </c>
      <c r="M677" s="11">
        <v>2021</v>
      </c>
      <c r="N677" s="16"/>
      <c r="O677" s="15"/>
      <c r="P677" s="8">
        <v>45132</v>
      </c>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4" t="s">
        <v>3216</v>
      </c>
      <c r="AY677" s="5" t="s">
        <v>3217</v>
      </c>
      <c r="AZ677" s="5" t="s">
        <v>38</v>
      </c>
      <c r="BA677" s="12"/>
      <c r="BB677" s="12"/>
      <c r="BC677" s="12"/>
      <c r="BD677" s="11">
        <v>0</v>
      </c>
      <c r="BE677" s="11">
        <v>1</v>
      </c>
    </row>
    <row x14ac:dyDescent="0.25" r="678" customHeight="1" ht="17.25">
      <c r="A678" s="11">
        <v>32191717</v>
      </c>
      <c r="B678" s="4" t="s">
        <v>3218</v>
      </c>
      <c r="C678" s="5" t="s">
        <v>3219</v>
      </c>
      <c r="D678" s="5" t="s">
        <v>3220</v>
      </c>
      <c r="E678" s="5" t="s">
        <v>3221</v>
      </c>
      <c r="F678" s="13">
        <f>"1631492985"</f>
      </c>
      <c r="G678" s="13">
        <f>"9781631492983"</f>
      </c>
      <c r="H678" s="11">
        <v>0</v>
      </c>
      <c r="I678" s="14">
        <v>3.88</v>
      </c>
      <c r="J678" s="7" t="s">
        <v>988</v>
      </c>
      <c r="K678" s="5" t="s">
        <v>72</v>
      </c>
      <c r="L678" s="11">
        <v>464</v>
      </c>
      <c r="M678" s="11">
        <v>2017</v>
      </c>
      <c r="N678" s="16"/>
      <c r="O678" s="15"/>
      <c r="P678" s="8">
        <v>45113</v>
      </c>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4" t="s">
        <v>3164</v>
      </c>
      <c r="AY678" s="5" t="s">
        <v>3222</v>
      </c>
      <c r="AZ678" s="5" t="s">
        <v>38</v>
      </c>
      <c r="BA678" s="12"/>
      <c r="BB678" s="12"/>
      <c r="BC678" s="12"/>
      <c r="BD678" s="11">
        <v>0</v>
      </c>
      <c r="BE678" s="11">
        <v>1</v>
      </c>
    </row>
    <row x14ac:dyDescent="0.25" r="679" customHeight="1" ht="15.75">
      <c r="A679" s="11">
        <v>59612919</v>
      </c>
      <c r="B679" s="4" t="s">
        <v>3223</v>
      </c>
      <c r="C679" s="5" t="s">
        <v>3224</v>
      </c>
      <c r="D679" s="5" t="s">
        <v>3225</v>
      </c>
      <c r="E679" s="12"/>
      <c r="F679" s="13">
        <f>""</f>
      </c>
      <c r="G679" s="13">
        <f>"9789874803528"</f>
      </c>
      <c r="H679" s="11">
        <v>0</v>
      </c>
      <c r="I679" s="14">
        <v>3.85</v>
      </c>
      <c r="J679" s="7" t="s">
        <v>3226</v>
      </c>
      <c r="K679" s="5" t="s">
        <v>60</v>
      </c>
      <c r="L679" s="11">
        <v>182</v>
      </c>
      <c r="M679" s="11">
        <v>2021</v>
      </c>
      <c r="N679" s="16"/>
      <c r="O679" s="15"/>
      <c r="P679" s="8">
        <v>45114</v>
      </c>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4" t="s">
        <v>2460</v>
      </c>
      <c r="AY679" s="5" t="s">
        <v>3227</v>
      </c>
      <c r="AZ679" s="5" t="s">
        <v>38</v>
      </c>
      <c r="BA679" s="12"/>
      <c r="BB679" s="12"/>
      <c r="BC679" s="12"/>
      <c r="BD679" s="11">
        <v>0</v>
      </c>
      <c r="BE679" s="11">
        <v>1</v>
      </c>
    </row>
    <row x14ac:dyDescent="0.25" r="680" customHeight="1" ht="15.75">
      <c r="A680" s="11">
        <v>119029466</v>
      </c>
      <c r="B680" s="4" t="s">
        <v>3228</v>
      </c>
      <c r="C680" s="5" t="s">
        <v>3229</v>
      </c>
      <c r="D680" s="5" t="s">
        <v>3230</v>
      </c>
      <c r="E680" s="5" t="s">
        <v>3231</v>
      </c>
      <c r="F680" s="13">
        <f>"1681376946"</f>
      </c>
      <c r="G680" s="13">
        <f>"9781681376943"</f>
      </c>
      <c r="H680" s="11">
        <v>0</v>
      </c>
      <c r="I680" s="14">
        <v>3.95</v>
      </c>
      <c r="J680" s="7" t="s">
        <v>108</v>
      </c>
      <c r="K680" s="5" t="s">
        <v>60</v>
      </c>
      <c r="L680" s="11">
        <v>240</v>
      </c>
      <c r="M680" s="11">
        <v>2023</v>
      </c>
      <c r="N680" s="16"/>
      <c r="O680" s="15"/>
      <c r="P680" s="8">
        <v>45102</v>
      </c>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4" t="s">
        <v>2460</v>
      </c>
      <c r="AY680" s="5" t="s">
        <v>3232</v>
      </c>
      <c r="AZ680" s="5" t="s">
        <v>38</v>
      </c>
      <c r="BA680" s="12"/>
      <c r="BB680" s="12"/>
      <c r="BC680" s="12"/>
      <c r="BD680" s="11">
        <v>0</v>
      </c>
      <c r="BE680" s="11">
        <v>1</v>
      </c>
    </row>
    <row x14ac:dyDescent="0.25" r="681" customHeight="1" ht="17.25">
      <c r="A681" s="11">
        <v>44669663</v>
      </c>
      <c r="B681" s="4" t="s">
        <v>3233</v>
      </c>
      <c r="C681" s="5" t="s">
        <v>669</v>
      </c>
      <c r="D681" s="5" t="s">
        <v>670</v>
      </c>
      <c r="E681" s="12"/>
      <c r="F681" s="13">
        <f>"1786827611"</f>
      </c>
      <c r="G681" s="13">
        <f>"9781786827616"</f>
      </c>
      <c r="H681" s="11">
        <v>0</v>
      </c>
      <c r="I681" s="14">
        <v>4.08</v>
      </c>
      <c r="J681" s="7" t="s">
        <v>3234</v>
      </c>
      <c r="K681" s="5" t="s">
        <v>60</v>
      </c>
      <c r="L681" s="11">
        <v>64</v>
      </c>
      <c r="M681" s="11">
        <v>2019</v>
      </c>
      <c r="N681" s="11">
        <v>2019</v>
      </c>
      <c r="O681" s="15"/>
      <c r="P681" s="8">
        <v>45095</v>
      </c>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4" t="s">
        <v>679</v>
      </c>
      <c r="AY681" s="5" t="s">
        <v>3235</v>
      </c>
      <c r="AZ681" s="5" t="s">
        <v>38</v>
      </c>
      <c r="BA681" s="12"/>
      <c r="BB681" s="12"/>
      <c r="BC681" s="12"/>
      <c r="BD681" s="11">
        <v>0</v>
      </c>
      <c r="BE681" s="11">
        <v>1</v>
      </c>
    </row>
    <row x14ac:dyDescent="0.25" r="682" customHeight="1" ht="15.75">
      <c r="A682" s="11">
        <v>119023489</v>
      </c>
      <c r="B682" s="4" t="s">
        <v>3236</v>
      </c>
      <c r="C682" s="5" t="s">
        <v>3237</v>
      </c>
      <c r="D682" s="5" t="s">
        <v>3238</v>
      </c>
      <c r="E682" s="12"/>
      <c r="F682" s="13">
        <f>"1681377284"</f>
      </c>
      <c r="G682" s="13">
        <f>"9781681377285"</f>
      </c>
      <c r="H682" s="11">
        <v>0</v>
      </c>
      <c r="I682" s="14">
        <v>3.78</v>
      </c>
      <c r="J682" s="7" t="s">
        <v>701</v>
      </c>
      <c r="K682" s="5" t="s">
        <v>60</v>
      </c>
      <c r="L682" s="11">
        <v>224</v>
      </c>
      <c r="M682" s="11">
        <v>2023</v>
      </c>
      <c r="N682" s="11">
        <v>2021</v>
      </c>
      <c r="O682" s="15"/>
      <c r="P682" s="8">
        <v>45102</v>
      </c>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4" t="s">
        <v>2460</v>
      </c>
      <c r="AY682" s="5" t="s">
        <v>3239</v>
      </c>
      <c r="AZ682" s="5" t="s">
        <v>38</v>
      </c>
      <c r="BA682" s="12"/>
      <c r="BB682" s="12"/>
      <c r="BC682" s="12"/>
      <c r="BD682" s="11">
        <v>0</v>
      </c>
      <c r="BE682" s="11">
        <v>1</v>
      </c>
    </row>
    <row x14ac:dyDescent="0.25" r="683" customHeight="1" ht="15.75">
      <c r="A683" s="11">
        <v>55504502</v>
      </c>
      <c r="B683" s="4" t="s">
        <v>3240</v>
      </c>
      <c r="C683" s="5" t="s">
        <v>744</v>
      </c>
      <c r="D683" s="5" t="s">
        <v>745</v>
      </c>
      <c r="E683" s="12"/>
      <c r="F683" s="13">
        <f>"0802148506"</f>
      </c>
      <c r="G683" s="13">
        <f>"9780802148506"</f>
      </c>
      <c r="H683" s="11">
        <v>4</v>
      </c>
      <c r="I683" s="14">
        <v>4.31</v>
      </c>
      <c r="J683" s="7" t="s">
        <v>66</v>
      </c>
      <c r="K683" s="5" t="s">
        <v>60</v>
      </c>
      <c r="L683" s="11">
        <v>430</v>
      </c>
      <c r="M683" s="11">
        <v>2020</v>
      </c>
      <c r="N683" s="11">
        <v>2020</v>
      </c>
      <c r="O683" s="9">
        <v>44925</v>
      </c>
      <c r="P683" s="9">
        <v>44914</v>
      </c>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4" t="s">
        <v>3241</v>
      </c>
      <c r="AY683" s="5" t="s">
        <v>3242</v>
      </c>
      <c r="AZ683" s="5" t="s">
        <v>38</v>
      </c>
      <c r="BA683" s="12"/>
      <c r="BB683" s="12"/>
      <c r="BC683" s="12"/>
      <c r="BD683" s="11">
        <v>1</v>
      </c>
      <c r="BE683" s="11">
        <v>1</v>
      </c>
    </row>
    <row x14ac:dyDescent="0.25" r="684" customHeight="1" ht="17.25">
      <c r="A684" s="11">
        <v>33395084</v>
      </c>
      <c r="B684" s="4" t="s">
        <v>3243</v>
      </c>
      <c r="C684" s="5" t="s">
        <v>698</v>
      </c>
      <c r="D684" s="5" t="s">
        <v>699</v>
      </c>
      <c r="E684" s="5" t="s">
        <v>3244</v>
      </c>
      <c r="F684" s="13">
        <f>"0997366648"</f>
      </c>
      <c r="G684" s="13">
        <f>"9780997366648"</f>
      </c>
      <c r="H684" s="11">
        <v>0</v>
      </c>
      <c r="I684" s="14">
        <v>4.04</v>
      </c>
      <c r="J684" s="7" t="s">
        <v>3245</v>
      </c>
      <c r="K684" s="5" t="s">
        <v>60</v>
      </c>
      <c r="L684" s="11">
        <v>232</v>
      </c>
      <c r="M684" s="11">
        <v>2017</v>
      </c>
      <c r="N684" s="11">
        <v>2017</v>
      </c>
      <c r="O684" s="15"/>
      <c r="P684" s="8">
        <v>45081</v>
      </c>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4" t="s">
        <v>3246</v>
      </c>
      <c r="AY684" s="5" t="s">
        <v>3247</v>
      </c>
      <c r="AZ684" s="5" t="s">
        <v>38</v>
      </c>
      <c r="BA684" s="12"/>
      <c r="BB684" s="12"/>
      <c r="BC684" s="12"/>
      <c r="BD684" s="11">
        <v>0</v>
      </c>
      <c r="BE684" s="11">
        <v>1</v>
      </c>
    </row>
    <row x14ac:dyDescent="0.25" r="685" customHeight="1" ht="17.25">
      <c r="A685" s="11">
        <v>2871390</v>
      </c>
      <c r="B685" s="4" t="s">
        <v>3248</v>
      </c>
      <c r="C685" s="5" t="s">
        <v>3249</v>
      </c>
      <c r="D685" s="5" t="s">
        <v>3250</v>
      </c>
      <c r="E685" s="5" t="s">
        <v>3251</v>
      </c>
      <c r="F685" s="13">
        <f>"1590172884"</f>
      </c>
      <c r="G685" s="13">
        <f>"9781590172889"</f>
      </c>
      <c r="H685" s="11">
        <v>0</v>
      </c>
      <c r="I685" s="14">
        <v>4.07</v>
      </c>
      <c r="J685" s="7" t="s">
        <v>701</v>
      </c>
      <c r="K685" s="5" t="s">
        <v>60</v>
      </c>
      <c r="L685" s="11">
        <v>346</v>
      </c>
      <c r="M685" s="11">
        <v>2008</v>
      </c>
      <c r="N685" s="11">
        <v>2008</v>
      </c>
      <c r="O685" s="15"/>
      <c r="P685" s="8">
        <v>45078</v>
      </c>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4" t="s">
        <v>3252</v>
      </c>
      <c r="AY685" s="5" t="s">
        <v>3253</v>
      </c>
      <c r="AZ685" s="5" t="s">
        <v>24</v>
      </c>
      <c r="BA685" s="12"/>
      <c r="BB685" s="12"/>
      <c r="BC685" s="12"/>
      <c r="BD685" s="11">
        <v>1</v>
      </c>
      <c r="BE685" s="11">
        <v>1</v>
      </c>
    </row>
    <row x14ac:dyDescent="0.25" r="686" customHeight="1" ht="17.25">
      <c r="A686" s="11">
        <v>45573014</v>
      </c>
      <c r="B686" s="4" t="s">
        <v>3254</v>
      </c>
      <c r="C686" s="5" t="s">
        <v>3255</v>
      </c>
      <c r="D686" s="5" t="s">
        <v>3256</v>
      </c>
      <c r="E686" s="12"/>
      <c r="F686" s="13">
        <f>""</f>
      </c>
      <c r="G686" s="13">
        <f>"9789874696236"</f>
      </c>
      <c r="H686" s="11">
        <v>0</v>
      </c>
      <c r="I686" s="14">
        <v>4.06</v>
      </c>
      <c r="J686" s="7" t="s">
        <v>3257</v>
      </c>
      <c r="K686" s="5" t="s">
        <v>60</v>
      </c>
      <c r="L686" s="11">
        <v>153</v>
      </c>
      <c r="M686" s="11">
        <v>2019</v>
      </c>
      <c r="N686" s="11">
        <v>2019</v>
      </c>
      <c r="O686" s="15"/>
      <c r="P686" s="8">
        <v>44814</v>
      </c>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4" t="s">
        <v>3258</v>
      </c>
      <c r="AY686" s="5" t="s">
        <v>3259</v>
      </c>
      <c r="AZ686" s="5" t="s">
        <v>38</v>
      </c>
      <c r="BA686" s="12"/>
      <c r="BB686" s="12"/>
      <c r="BC686" s="12"/>
      <c r="BD686" s="11">
        <v>0</v>
      </c>
      <c r="BE686" s="11">
        <v>1</v>
      </c>
    </row>
    <row x14ac:dyDescent="0.25" r="687" customHeight="1" ht="17.25">
      <c r="A687" s="11">
        <v>56921681</v>
      </c>
      <c r="B687" s="4" t="s">
        <v>3260</v>
      </c>
      <c r="C687" s="5" t="s">
        <v>3261</v>
      </c>
      <c r="D687" s="5" t="s">
        <v>3262</v>
      </c>
      <c r="E687" s="5" t="s">
        <v>3263</v>
      </c>
      <c r="F687" s="13">
        <f>"9502813901"</f>
      </c>
      <c r="G687" s="13">
        <f>"9789502813905"</f>
      </c>
      <c r="H687" s="11">
        <v>0</v>
      </c>
      <c r="I687" s="14">
        <v>4.24</v>
      </c>
      <c r="J687" s="7" t="s">
        <v>3264</v>
      </c>
      <c r="K687" s="5" t="s">
        <v>60</v>
      </c>
      <c r="L687" s="11">
        <v>480</v>
      </c>
      <c r="M687" s="11">
        <v>2021</v>
      </c>
      <c r="N687" s="11">
        <v>2020</v>
      </c>
      <c r="O687" s="15"/>
      <c r="P687" s="8">
        <v>44814</v>
      </c>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4" t="s">
        <v>3265</v>
      </c>
      <c r="AY687" s="5" t="s">
        <v>3266</v>
      </c>
      <c r="AZ687" s="5" t="s">
        <v>38</v>
      </c>
      <c r="BA687" s="12"/>
      <c r="BB687" s="12"/>
      <c r="BC687" s="12"/>
      <c r="BD687" s="11">
        <v>0</v>
      </c>
      <c r="BE687" s="11">
        <v>1</v>
      </c>
    </row>
    <row x14ac:dyDescent="0.25" r="688" customHeight="1" ht="17.25">
      <c r="A688" s="11">
        <v>56591449</v>
      </c>
      <c r="B688" s="4" t="s">
        <v>3267</v>
      </c>
      <c r="C688" s="5" t="s">
        <v>3268</v>
      </c>
      <c r="D688" s="5" t="s">
        <v>3269</v>
      </c>
      <c r="E688" s="12"/>
      <c r="F688" s="13">
        <f>"8433999168"</f>
      </c>
      <c r="G688" s="13">
        <f>"9788433999160"</f>
      </c>
      <c r="H688" s="11">
        <v>0</v>
      </c>
      <c r="I688" s="14">
        <v>4.39</v>
      </c>
      <c r="J688" s="7" t="s">
        <v>1710</v>
      </c>
      <c r="K688" s="5" t="s">
        <v>60</v>
      </c>
      <c r="L688" s="11">
        <v>832</v>
      </c>
      <c r="M688" s="11">
        <v>2021</v>
      </c>
      <c r="N688" s="11">
        <v>2021</v>
      </c>
      <c r="O688" s="15"/>
      <c r="P688" s="8">
        <v>44814</v>
      </c>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4" t="s">
        <v>3258</v>
      </c>
      <c r="AY688" s="5" t="s">
        <v>3270</v>
      </c>
      <c r="AZ688" s="5" t="s">
        <v>38</v>
      </c>
      <c r="BA688" s="12"/>
      <c r="BB688" s="12"/>
      <c r="BC688" s="12"/>
      <c r="BD688" s="11">
        <v>0</v>
      </c>
      <c r="BE688" s="11">
        <v>1</v>
      </c>
    </row>
    <row x14ac:dyDescent="0.25" r="689" customHeight="1" ht="17.25">
      <c r="A689" s="11">
        <v>37420</v>
      </c>
      <c r="B689" s="4" t="s">
        <v>3271</v>
      </c>
      <c r="C689" s="5" t="s">
        <v>3272</v>
      </c>
      <c r="D689" s="5" t="s">
        <v>3273</v>
      </c>
      <c r="E689" s="12"/>
      <c r="F689" s="13">
        <f>"0020518609"</f>
      </c>
      <c r="G689" s="13">
        <f>"9780020518600"</f>
      </c>
      <c r="H689" s="11">
        <v>0</v>
      </c>
      <c r="I689" s="14">
        <v>4.17</v>
      </c>
      <c r="J689" s="7" t="s">
        <v>3274</v>
      </c>
      <c r="K689" s="5" t="s">
        <v>60</v>
      </c>
      <c r="L689" s="11">
        <v>499</v>
      </c>
      <c r="M689" s="11">
        <v>1987</v>
      </c>
      <c r="N689" s="11">
        <v>1938</v>
      </c>
      <c r="O689" s="15"/>
      <c r="P689" s="8">
        <v>44814</v>
      </c>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4" t="s">
        <v>3258</v>
      </c>
      <c r="AY689" s="5" t="s">
        <v>3275</v>
      </c>
      <c r="AZ689" s="5" t="s">
        <v>38</v>
      </c>
      <c r="BA689" s="12"/>
      <c r="BB689" s="12"/>
      <c r="BC689" s="12"/>
      <c r="BD689" s="11">
        <v>0</v>
      </c>
      <c r="BE689" s="11">
        <v>1</v>
      </c>
    </row>
    <row x14ac:dyDescent="0.25" r="690" customHeight="1" ht="17.25">
      <c r="A690" s="11">
        <v>34122265</v>
      </c>
      <c r="B690" s="4" t="s">
        <v>3276</v>
      </c>
      <c r="C690" s="5" t="s">
        <v>3277</v>
      </c>
      <c r="D690" s="5" t="s">
        <v>3278</v>
      </c>
      <c r="E690" s="12"/>
      <c r="F690" s="13">
        <f>"0195390180"</f>
      </c>
      <c r="G690" s="13">
        <f>"9780195390186"</f>
      </c>
      <c r="H690" s="11">
        <v>0</v>
      </c>
      <c r="I690" s="14">
        <v>4.41</v>
      </c>
      <c r="J690" s="7" t="s">
        <v>245</v>
      </c>
      <c r="K690" s="5" t="s">
        <v>60</v>
      </c>
      <c r="L690" s="11">
        <v>272</v>
      </c>
      <c r="M690" s="11">
        <v>2017</v>
      </c>
      <c r="N690" s="11">
        <v>2017</v>
      </c>
      <c r="O690" s="15"/>
      <c r="P690" s="8">
        <v>44814</v>
      </c>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4" t="s">
        <v>3164</v>
      </c>
      <c r="AY690" s="5" t="s">
        <v>3279</v>
      </c>
      <c r="AZ690" s="5" t="s">
        <v>38</v>
      </c>
      <c r="BA690" s="12"/>
      <c r="BB690" s="12"/>
      <c r="BC690" s="12"/>
      <c r="BD690" s="11">
        <v>0</v>
      </c>
      <c r="BE690" s="11">
        <v>1</v>
      </c>
    </row>
    <row x14ac:dyDescent="0.25" r="691" customHeight="1" ht="17.25">
      <c r="A691" s="11">
        <v>51009761</v>
      </c>
      <c r="B691" s="4" t="s">
        <v>3280</v>
      </c>
      <c r="C691" s="5" t="s">
        <v>3281</v>
      </c>
      <c r="D691" s="5" t="s">
        <v>3282</v>
      </c>
      <c r="E691" s="12"/>
      <c r="F691" s="13">
        <f>"1556595999"</f>
      </c>
      <c r="G691" s="13">
        <f>"9781556595998"</f>
      </c>
      <c r="H691" s="11">
        <v>0</v>
      </c>
      <c r="I691" s="14">
        <v>4.14</v>
      </c>
      <c r="J691" s="7" t="s">
        <v>676</v>
      </c>
      <c r="K691" s="5" t="s">
        <v>60</v>
      </c>
      <c r="L691" s="11">
        <v>116</v>
      </c>
      <c r="M691" s="11">
        <v>2020</v>
      </c>
      <c r="N691" s="11">
        <v>2021</v>
      </c>
      <c r="O691" s="15"/>
      <c r="P691" s="8">
        <v>44220</v>
      </c>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4" t="s">
        <v>3186</v>
      </c>
      <c r="AY691" s="5" t="s">
        <v>3283</v>
      </c>
      <c r="AZ691" s="5" t="s">
        <v>38</v>
      </c>
      <c r="BA691" s="12"/>
      <c r="BB691" s="12"/>
      <c r="BC691" s="12"/>
      <c r="BD691" s="11">
        <v>0</v>
      </c>
      <c r="BE691" s="11">
        <v>1</v>
      </c>
    </row>
    <row x14ac:dyDescent="0.25" r="692" customHeight="1" ht="17.25">
      <c r="A692" s="11">
        <v>53492676</v>
      </c>
      <c r="B692" s="4" t="s">
        <v>3284</v>
      </c>
      <c r="C692" s="5" t="s">
        <v>3285</v>
      </c>
      <c r="D692" s="5" t="s">
        <v>3286</v>
      </c>
      <c r="E692" s="12"/>
      <c r="F692" s="13">
        <f>"1951142292"</f>
      </c>
      <c r="G692" s="13">
        <f>"9781951142292"</f>
      </c>
      <c r="H692" s="11">
        <v>4</v>
      </c>
      <c r="I692" s="14">
        <v>4.1</v>
      </c>
      <c r="J692" s="7" t="s">
        <v>1006</v>
      </c>
      <c r="K692" s="5" t="s">
        <v>60</v>
      </c>
      <c r="L692" s="11">
        <v>296</v>
      </c>
      <c r="M692" s="11">
        <v>2021</v>
      </c>
      <c r="N692" s="11">
        <v>2020</v>
      </c>
      <c r="O692" s="8">
        <v>44228</v>
      </c>
      <c r="P692" s="8">
        <v>44219</v>
      </c>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11">
        <v>0</v>
      </c>
      <c r="AY692" s="5" t="s">
        <v>3287</v>
      </c>
      <c r="AZ692" s="5" t="s">
        <v>158</v>
      </c>
      <c r="BA692" s="12"/>
      <c r="BB692" s="12"/>
      <c r="BC692" s="12"/>
      <c r="BD692" s="11">
        <v>1</v>
      </c>
      <c r="BE692" s="11">
        <v>1</v>
      </c>
    </row>
    <row x14ac:dyDescent="0.25" r="693" customHeight="1" ht="17.25">
      <c r="A693" s="11">
        <v>38526823</v>
      </c>
      <c r="B693" s="4" t="s">
        <v>3288</v>
      </c>
      <c r="C693" s="5" t="s">
        <v>3289</v>
      </c>
      <c r="D693" s="5" t="s">
        <v>3290</v>
      </c>
      <c r="E693" s="12"/>
      <c r="F693" s="13">
        <f>"0802128556"</f>
      </c>
      <c r="G693" s="13">
        <f>"9780802128553"</f>
      </c>
      <c r="H693" s="11">
        <v>2</v>
      </c>
      <c r="I693" s="14">
        <v>3.48</v>
      </c>
      <c r="J693" s="7" t="s">
        <v>66</v>
      </c>
      <c r="K693" s="5" t="s">
        <v>60</v>
      </c>
      <c r="L693" s="11">
        <v>224</v>
      </c>
      <c r="M693" s="11">
        <v>2018</v>
      </c>
      <c r="N693" s="11">
        <v>2017</v>
      </c>
      <c r="O693" s="8">
        <v>43919</v>
      </c>
      <c r="P693" s="8">
        <v>43864</v>
      </c>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11">
        <v>0</v>
      </c>
      <c r="AY693" s="5" t="s">
        <v>3291</v>
      </c>
      <c r="AZ693" s="5" t="s">
        <v>158</v>
      </c>
      <c r="BA693" s="12"/>
      <c r="BB693" s="12"/>
      <c r="BC693" s="12"/>
      <c r="BD693" s="11">
        <v>1</v>
      </c>
      <c r="BE693" s="11">
        <v>1</v>
      </c>
    </row>
    <row x14ac:dyDescent="0.25" r="694" customHeight="1" ht="17.25">
      <c r="A694" s="11">
        <v>34419228</v>
      </c>
      <c r="B694" s="4" t="s">
        <v>3292</v>
      </c>
      <c r="C694" s="5" t="s">
        <v>3293</v>
      </c>
      <c r="D694" s="5" t="s">
        <v>3294</v>
      </c>
      <c r="E694" s="12"/>
      <c r="F694" s="13">
        <f>"0143131702"</f>
      </c>
      <c r="G694" s="13">
        <f>"9780143131700"</f>
      </c>
      <c r="H694" s="11">
        <v>5</v>
      </c>
      <c r="I694" s="14">
        <v>4.27</v>
      </c>
      <c r="J694" s="7" t="s">
        <v>491</v>
      </c>
      <c r="K694" s="5" t="s">
        <v>60</v>
      </c>
      <c r="L694" s="11">
        <v>96</v>
      </c>
      <c r="M694" s="11">
        <v>2017</v>
      </c>
      <c r="N694" s="11">
        <v>2017</v>
      </c>
      <c r="O694" s="15"/>
      <c r="P694" s="8">
        <v>42874</v>
      </c>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4" t="s">
        <v>3295</v>
      </c>
      <c r="AY694" s="5" t="s">
        <v>3296</v>
      </c>
      <c r="AZ694" s="5" t="s">
        <v>158</v>
      </c>
      <c r="BA694" s="12"/>
      <c r="BB694" s="12"/>
      <c r="BC694" s="12"/>
      <c r="BD694" s="11">
        <v>1</v>
      </c>
      <c r="BE694" s="11">
        <v>1</v>
      </c>
    </row>
    <row x14ac:dyDescent="0.25" r="695" customHeight="1" ht="17.25">
      <c r="A695" s="11">
        <v>45889905</v>
      </c>
      <c r="B695" s="4" t="s">
        <v>3297</v>
      </c>
      <c r="C695" s="5" t="s">
        <v>3298</v>
      </c>
      <c r="D695" s="5" t="s">
        <v>3299</v>
      </c>
      <c r="E695" s="12"/>
      <c r="F695" s="13">
        <f>"0143134280"</f>
      </c>
      <c r="G695" s="13">
        <f>"9780143134282"</f>
      </c>
      <c r="H695" s="11">
        <v>0</v>
      </c>
      <c r="I695" s="14">
        <v>3.33</v>
      </c>
      <c r="J695" s="7" t="s">
        <v>491</v>
      </c>
      <c r="K695" s="5" t="s">
        <v>60</v>
      </c>
      <c r="L695" s="11">
        <v>240</v>
      </c>
      <c r="M695" s="11">
        <v>2020</v>
      </c>
      <c r="N695" s="11">
        <v>2020</v>
      </c>
      <c r="O695" s="15"/>
      <c r="P695" s="8">
        <v>43921</v>
      </c>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4" t="s">
        <v>3258</v>
      </c>
      <c r="AY695" s="5" t="s">
        <v>3300</v>
      </c>
      <c r="AZ695" s="5" t="s">
        <v>38</v>
      </c>
      <c r="BA695" s="12"/>
      <c r="BB695" s="12"/>
      <c r="BC695" s="12"/>
      <c r="BD695" s="11">
        <v>0</v>
      </c>
      <c r="BE695" s="11">
        <v>1</v>
      </c>
    </row>
    <row x14ac:dyDescent="0.25" r="696" customHeight="1" ht="15.75">
      <c r="A696" s="11">
        <v>44438256</v>
      </c>
      <c r="B696" s="4" t="s">
        <v>3301</v>
      </c>
      <c r="C696" s="5" t="s">
        <v>3302</v>
      </c>
      <c r="D696" s="5" t="s">
        <v>3303</v>
      </c>
      <c r="E696" s="12"/>
      <c r="F696" s="13">
        <f>"9876704818"</f>
      </c>
      <c r="G696" s="13">
        <f>"9789876704816"</f>
      </c>
      <c r="H696" s="11">
        <v>0</v>
      </c>
      <c r="I696" s="14">
        <v>4.44</v>
      </c>
      <c r="J696" s="7" t="s">
        <v>3304</v>
      </c>
      <c r="K696" s="5" t="s">
        <v>60</v>
      </c>
      <c r="L696" s="11">
        <v>224</v>
      </c>
      <c r="M696" s="11">
        <v>2019</v>
      </c>
      <c r="N696" s="11">
        <v>2019</v>
      </c>
      <c r="O696" s="15"/>
      <c r="P696" s="8">
        <v>43976</v>
      </c>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4" t="s">
        <v>2460</v>
      </c>
      <c r="AY696" s="5" t="s">
        <v>3305</v>
      </c>
      <c r="AZ696" s="5" t="s">
        <v>38</v>
      </c>
      <c r="BA696" s="12"/>
      <c r="BB696" s="12"/>
      <c r="BC696" s="12"/>
      <c r="BD696" s="11">
        <v>0</v>
      </c>
      <c r="BE696" s="11">
        <v>1</v>
      </c>
    </row>
    <row x14ac:dyDescent="0.25" r="697" customHeight="1" ht="17.25">
      <c r="A697" s="11">
        <v>60776294</v>
      </c>
      <c r="B697" s="4" t="s">
        <v>3306</v>
      </c>
      <c r="C697" s="5" t="s">
        <v>1174</v>
      </c>
      <c r="D697" s="5" t="s">
        <v>1175</v>
      </c>
      <c r="E697" s="12"/>
      <c r="F697" s="13">
        <f>"9566045263"</f>
      </c>
      <c r="G697" s="13">
        <f>"9789566045267"</f>
      </c>
      <c r="H697" s="11">
        <v>4</v>
      </c>
      <c r="I697" s="14">
        <v>4.34</v>
      </c>
      <c r="J697" s="7" t="s">
        <v>1710</v>
      </c>
      <c r="K697" s="5" t="s">
        <v>60</v>
      </c>
      <c r="L697" s="11">
        <v>680</v>
      </c>
      <c r="M697" s="11">
        <v>2019</v>
      </c>
      <c r="N697" s="11">
        <v>2019</v>
      </c>
      <c r="O697" s="8">
        <v>44019</v>
      </c>
      <c r="P697" s="8">
        <v>43950</v>
      </c>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4" t="s">
        <v>717</v>
      </c>
      <c r="AY697" s="5" t="s">
        <v>3307</v>
      </c>
      <c r="AZ697" s="5" t="s">
        <v>158</v>
      </c>
      <c r="BA697" s="5" t="s">
        <v>3308</v>
      </c>
      <c r="BB697" s="12"/>
      <c r="BC697" s="12"/>
      <c r="BD697" s="11">
        <v>1</v>
      </c>
      <c r="BE697" s="11">
        <v>1</v>
      </c>
    </row>
    <row x14ac:dyDescent="0.25" r="698" customHeight="1" ht="17.25">
      <c r="A698" s="11">
        <v>30104969</v>
      </c>
      <c r="B698" s="4" t="s">
        <v>3309</v>
      </c>
      <c r="C698" s="5" t="s">
        <v>3293</v>
      </c>
      <c r="D698" s="5" t="s">
        <v>3294</v>
      </c>
      <c r="E698" s="12"/>
      <c r="F698" s="13">
        <f>""</f>
      </c>
      <c r="G698" s="13">
        <f>"9781943977178"</f>
      </c>
      <c r="H698" s="11">
        <v>0</v>
      </c>
      <c r="I698" s="14">
        <v>4.17</v>
      </c>
      <c r="J698" s="7" t="s">
        <v>3310</v>
      </c>
      <c r="K698" s="5" t="s">
        <v>60</v>
      </c>
      <c r="L698" s="11">
        <v>42</v>
      </c>
      <c r="M698" s="11">
        <v>2016</v>
      </c>
      <c r="N698" s="11">
        <v>2016</v>
      </c>
      <c r="O698" s="15"/>
      <c r="P698" s="8">
        <v>42874</v>
      </c>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4" t="s">
        <v>3295</v>
      </c>
      <c r="AY698" s="5" t="s">
        <v>3311</v>
      </c>
      <c r="AZ698" s="5" t="s">
        <v>158</v>
      </c>
      <c r="BA698" s="12"/>
      <c r="BB698" s="12"/>
      <c r="BC698" s="12"/>
      <c r="BD698" s="11">
        <v>2</v>
      </c>
      <c r="BE698" s="11">
        <v>1</v>
      </c>
    </row>
    <row x14ac:dyDescent="0.25" r="699" customHeight="1" ht="17.25">
      <c r="A699" s="11">
        <v>128403310</v>
      </c>
      <c r="B699" s="4" t="s">
        <v>3312</v>
      </c>
      <c r="C699" s="5" t="s">
        <v>3313</v>
      </c>
      <c r="D699" s="5" t="s">
        <v>3314</v>
      </c>
      <c r="E699" s="12"/>
      <c r="F699" s="13">
        <f>""</f>
      </c>
      <c r="G699" s="13">
        <f>""</f>
      </c>
      <c r="H699" s="11">
        <v>0</v>
      </c>
      <c r="I699" s="11">
        <v>5</v>
      </c>
      <c r="J699" s="7" t="s">
        <v>3315</v>
      </c>
      <c r="K699" s="5" t="s">
        <v>72</v>
      </c>
      <c r="L699" s="11">
        <v>130</v>
      </c>
      <c r="M699" s="11">
        <v>1963</v>
      </c>
      <c r="N699" s="11">
        <v>1963</v>
      </c>
      <c r="O699" s="15"/>
      <c r="P699" s="8">
        <v>45160</v>
      </c>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4" t="s">
        <v>3164</v>
      </c>
      <c r="AY699" s="5" t="s">
        <v>3316</v>
      </c>
      <c r="AZ699" s="5" t="s">
        <v>38</v>
      </c>
      <c r="BA699" s="12"/>
      <c r="BB699" s="12"/>
      <c r="BC699" s="12"/>
      <c r="BD699" s="11">
        <v>0</v>
      </c>
      <c r="BE699" s="11">
        <v>1</v>
      </c>
    </row>
    <row x14ac:dyDescent="0.25" r="700" customHeight="1" ht="17.25">
      <c r="A700" s="11">
        <v>93642</v>
      </c>
      <c r="B700" s="4" t="s">
        <v>3317</v>
      </c>
      <c r="C700" s="5" t="s">
        <v>1285</v>
      </c>
      <c r="D700" s="5" t="s">
        <v>1286</v>
      </c>
      <c r="E700" s="12"/>
      <c r="F700" s="13">
        <f>"9500425785"</f>
      </c>
      <c r="G700" s="13">
        <f>"9789500425780"</f>
      </c>
      <c r="H700" s="11">
        <v>0</v>
      </c>
      <c r="I700" s="14">
        <v>4.13</v>
      </c>
      <c r="J700" s="7" t="s">
        <v>3318</v>
      </c>
      <c r="K700" s="1"/>
      <c r="L700" s="11">
        <v>59</v>
      </c>
      <c r="M700" s="11">
        <v>2008</v>
      </c>
      <c r="N700" s="11">
        <v>1983</v>
      </c>
      <c r="O700" s="15"/>
      <c r="P700" s="8">
        <v>45159</v>
      </c>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4" t="s">
        <v>690</v>
      </c>
      <c r="AY700" s="5" t="s">
        <v>3319</v>
      </c>
      <c r="AZ700" s="5" t="s">
        <v>38</v>
      </c>
      <c r="BA700" s="12"/>
      <c r="BB700" s="12"/>
      <c r="BC700" s="5" t="s">
        <v>2462</v>
      </c>
      <c r="BD700" s="11">
        <v>0</v>
      </c>
      <c r="BE700" s="11">
        <v>1</v>
      </c>
    </row>
    <row x14ac:dyDescent="0.25" r="701" customHeight="1" ht="17.25">
      <c r="A701" s="11">
        <v>4286863</v>
      </c>
      <c r="B701" s="4" t="s">
        <v>3320</v>
      </c>
      <c r="C701" s="5" t="s">
        <v>3321</v>
      </c>
      <c r="D701" s="5" t="s">
        <v>3322</v>
      </c>
      <c r="E701" s="5" t="s">
        <v>3321</v>
      </c>
      <c r="F701" s="13">
        <f>"0810983206"</f>
      </c>
      <c r="G701" s="13">
        <f>"9780810983205"</f>
      </c>
      <c r="H701" s="11">
        <v>0</v>
      </c>
      <c r="I701" s="14">
        <v>4.13</v>
      </c>
      <c r="J701" s="7" t="s">
        <v>3323</v>
      </c>
      <c r="K701" s="5" t="s">
        <v>72</v>
      </c>
      <c r="L701" s="11">
        <v>160</v>
      </c>
      <c r="M701" s="11">
        <v>2008</v>
      </c>
      <c r="N701" s="11">
        <v>2006</v>
      </c>
      <c r="O701" s="15"/>
      <c r="P701" s="8">
        <v>45161</v>
      </c>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4" t="s">
        <v>3171</v>
      </c>
      <c r="AY701" s="5" t="s">
        <v>3324</v>
      </c>
      <c r="AZ701" s="5" t="s">
        <v>38</v>
      </c>
      <c r="BA701" s="12"/>
      <c r="BB701" s="12"/>
      <c r="BC701" s="12"/>
      <c r="BD701" s="11">
        <v>0</v>
      </c>
      <c r="BE701" s="11">
        <v>1</v>
      </c>
    </row>
    <row x14ac:dyDescent="0.25" r="702" customHeight="1" ht="15.75">
      <c r="A702" s="11">
        <v>58857140</v>
      </c>
      <c r="B702" s="4" t="s">
        <v>3325</v>
      </c>
      <c r="C702" s="5" t="s">
        <v>3326</v>
      </c>
      <c r="D702" s="5" t="s">
        <v>3327</v>
      </c>
      <c r="E702" s="5" t="s">
        <v>3328</v>
      </c>
      <c r="F702" s="13">
        <f>"0062511408"</f>
      </c>
      <c r="G702" s="13">
        <f>"9780062511409"</f>
      </c>
      <c r="H702" s="11">
        <v>0</v>
      </c>
      <c r="I702" s="14">
        <v>3.9</v>
      </c>
      <c r="J702" s="7" t="s">
        <v>3329</v>
      </c>
      <c r="K702" s="5" t="s">
        <v>60</v>
      </c>
      <c r="L702" s="11">
        <v>190</v>
      </c>
      <c r="M702" s="11">
        <v>2018</v>
      </c>
      <c r="N702" s="11">
        <v>1988</v>
      </c>
      <c r="O702" s="15"/>
      <c r="P702" s="8">
        <v>45160</v>
      </c>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4" t="s">
        <v>2460</v>
      </c>
      <c r="AY702" s="5" t="s">
        <v>3330</v>
      </c>
      <c r="AZ702" s="5" t="s">
        <v>38</v>
      </c>
      <c r="BA702" s="12"/>
      <c r="BB702" s="12"/>
      <c r="BC702" s="12"/>
      <c r="BD702" s="11">
        <v>0</v>
      </c>
      <c r="BE702" s="11">
        <v>1</v>
      </c>
    </row>
    <row x14ac:dyDescent="0.25" r="703" customHeight="1" ht="17.25">
      <c r="A703" s="11">
        <v>9429356</v>
      </c>
      <c r="B703" s="4" t="s">
        <v>3331</v>
      </c>
      <c r="C703" s="5" t="s">
        <v>3332</v>
      </c>
      <c r="D703" s="5" t="s">
        <v>3333</v>
      </c>
      <c r="E703" s="12"/>
      <c r="F703" s="13">
        <f>"1935536036"</f>
      </c>
      <c r="G703" s="13">
        <f>"9781935536031"</f>
      </c>
      <c r="H703" s="11">
        <v>0</v>
      </c>
      <c r="I703" s="14">
        <v>4.56</v>
      </c>
      <c r="J703" s="7" t="s">
        <v>3334</v>
      </c>
      <c r="K703" s="5" t="s">
        <v>60</v>
      </c>
      <c r="L703" s="11">
        <v>92</v>
      </c>
      <c r="M703" s="11">
        <v>2010</v>
      </c>
      <c r="N703" s="11">
        <v>2010</v>
      </c>
      <c r="O703" s="15"/>
      <c r="P703" s="8">
        <v>45143</v>
      </c>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4" t="s">
        <v>3186</v>
      </c>
      <c r="AY703" s="5" t="s">
        <v>3335</v>
      </c>
      <c r="AZ703" s="5" t="s">
        <v>38</v>
      </c>
      <c r="BA703" s="12"/>
      <c r="BB703" s="12"/>
      <c r="BC703" s="12"/>
      <c r="BD703" s="11">
        <v>0</v>
      </c>
      <c r="BE703" s="11">
        <v>1</v>
      </c>
    </row>
    <row x14ac:dyDescent="0.25" r="704" customHeight="1" ht="17.25">
      <c r="A704" s="11">
        <v>11778691</v>
      </c>
      <c r="B704" s="4" t="s">
        <v>3336</v>
      </c>
      <c r="C704" s="5" t="s">
        <v>3337</v>
      </c>
      <c r="D704" s="5" t="s">
        <v>3338</v>
      </c>
      <c r="E704" s="12"/>
      <c r="F704" s="13">
        <f>"193441462X"</f>
      </c>
      <c r="G704" s="13">
        <f>"9781934414620"</f>
      </c>
      <c r="H704" s="11">
        <v>0</v>
      </c>
      <c r="I704" s="14">
        <v>4.3</v>
      </c>
      <c r="J704" s="7" t="s">
        <v>3339</v>
      </c>
      <c r="K704" s="5" t="s">
        <v>60</v>
      </c>
      <c r="L704" s="11">
        <v>120</v>
      </c>
      <c r="M704" s="11">
        <v>2011</v>
      </c>
      <c r="N704" s="11">
        <v>2011</v>
      </c>
      <c r="O704" s="15"/>
      <c r="P704" s="8">
        <v>45143</v>
      </c>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4" t="s">
        <v>3186</v>
      </c>
      <c r="AY704" s="5" t="s">
        <v>3340</v>
      </c>
      <c r="AZ704" s="5" t="s">
        <v>38</v>
      </c>
      <c r="BA704" s="12"/>
      <c r="BB704" s="12"/>
      <c r="BC704" s="12"/>
      <c r="BD704" s="11">
        <v>0</v>
      </c>
      <c r="BE704" s="11">
        <v>1</v>
      </c>
    </row>
    <row x14ac:dyDescent="0.25" r="705" customHeight="1" ht="17.25">
      <c r="A705" s="11">
        <v>4828010</v>
      </c>
      <c r="B705" s="4" t="s">
        <v>3341</v>
      </c>
      <c r="C705" s="5" t="s">
        <v>3342</v>
      </c>
      <c r="D705" s="5" t="s">
        <v>3343</v>
      </c>
      <c r="E705" s="12"/>
      <c r="F705" s="13">
        <f>"0979458218"</f>
      </c>
      <c r="G705" s="13">
        <f>"9780979458217"</f>
      </c>
      <c r="H705" s="11">
        <v>0</v>
      </c>
      <c r="I705" s="14">
        <v>4.23</v>
      </c>
      <c r="J705" s="7" t="s">
        <v>3344</v>
      </c>
      <c r="K705" s="5" t="s">
        <v>60</v>
      </c>
      <c r="L705" s="11">
        <v>78</v>
      </c>
      <c r="M705" s="11">
        <v>2008</v>
      </c>
      <c r="N705" s="11">
        <v>2008</v>
      </c>
      <c r="O705" s="15"/>
      <c r="P705" s="8">
        <v>45143</v>
      </c>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4" t="s">
        <v>3186</v>
      </c>
      <c r="AY705" s="5" t="s">
        <v>3345</v>
      </c>
      <c r="AZ705" s="5" t="s">
        <v>38</v>
      </c>
      <c r="BA705" s="12"/>
      <c r="BB705" s="12"/>
      <c r="BC705" s="12"/>
      <c r="BD705" s="11">
        <v>0</v>
      </c>
      <c r="BE705" s="11">
        <v>1</v>
      </c>
    </row>
    <row x14ac:dyDescent="0.25" r="706" customHeight="1" ht="17.25">
      <c r="A706" s="11">
        <v>13356852</v>
      </c>
      <c r="B706" s="4" t="s">
        <v>3346</v>
      </c>
      <c r="C706" s="5" t="s">
        <v>3347</v>
      </c>
      <c r="D706" s="5" t="s">
        <v>3348</v>
      </c>
      <c r="E706" s="12"/>
      <c r="F706" s="13">
        <f>"1934103241"</f>
      </c>
      <c r="G706" s="13">
        <f>"9781934103241"</f>
      </c>
      <c r="H706" s="11">
        <v>0</v>
      </c>
      <c r="I706" s="14">
        <v>4.28</v>
      </c>
      <c r="J706" s="7" t="s">
        <v>3349</v>
      </c>
      <c r="K706" s="5" t="s">
        <v>60</v>
      </c>
      <c r="L706" s="11">
        <v>96</v>
      </c>
      <c r="M706" s="11">
        <v>2012</v>
      </c>
      <c r="N706" s="11">
        <v>2012</v>
      </c>
      <c r="O706" s="15"/>
      <c r="P706" s="8">
        <v>45143</v>
      </c>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4" t="s">
        <v>3186</v>
      </c>
      <c r="AY706" s="5" t="s">
        <v>3350</v>
      </c>
      <c r="AZ706" s="5" t="s">
        <v>38</v>
      </c>
      <c r="BA706" s="12"/>
      <c r="BB706" s="12"/>
      <c r="BC706" s="12"/>
      <c r="BD706" s="11">
        <v>0</v>
      </c>
      <c r="BE706" s="11">
        <v>1</v>
      </c>
    </row>
    <row x14ac:dyDescent="0.25" r="707" customHeight="1" ht="17.25">
      <c r="A707" s="11">
        <v>9481372</v>
      </c>
      <c r="B707" s="4" t="s">
        <v>3351</v>
      </c>
      <c r="C707" s="5" t="s">
        <v>3352</v>
      </c>
      <c r="D707" s="5" t="s">
        <v>3353</v>
      </c>
      <c r="E707" s="12"/>
      <c r="F707" s="13">
        <f>"1934828092"</f>
      </c>
      <c r="G707" s="13">
        <f>"9781934828090"</f>
      </c>
      <c r="H707" s="11">
        <v>0</v>
      </c>
      <c r="I707" s="14">
        <v>4.44</v>
      </c>
      <c r="J707" s="7" t="s">
        <v>3354</v>
      </c>
      <c r="K707" s="5" t="s">
        <v>60</v>
      </c>
      <c r="L707" s="11">
        <v>67</v>
      </c>
      <c r="M707" s="11">
        <v>2010</v>
      </c>
      <c r="N707" s="11">
        <v>2010</v>
      </c>
      <c r="O707" s="15"/>
      <c r="P707" s="8">
        <v>45143</v>
      </c>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4" t="s">
        <v>3186</v>
      </c>
      <c r="AY707" s="5" t="s">
        <v>3355</v>
      </c>
      <c r="AZ707" s="5" t="s">
        <v>38</v>
      </c>
      <c r="BA707" s="12"/>
      <c r="BB707" s="12"/>
      <c r="BC707" s="12"/>
      <c r="BD707" s="11">
        <v>0</v>
      </c>
      <c r="BE707" s="11">
        <v>1</v>
      </c>
    </row>
    <row x14ac:dyDescent="0.25" r="708" customHeight="1" ht="17.25">
      <c r="A708" s="11">
        <v>23048744</v>
      </c>
      <c r="B708" s="4" t="s">
        <v>3356</v>
      </c>
      <c r="C708" s="5" t="s">
        <v>3357</v>
      </c>
      <c r="D708" s="5" t="s">
        <v>3358</v>
      </c>
      <c r="E708" s="12"/>
      <c r="F708" s="13">
        <f>"0745685447"</f>
      </c>
      <c r="G708" s="13">
        <f>"9780745685441"</f>
      </c>
      <c r="H708" s="11">
        <v>0</v>
      </c>
      <c r="I708" s="14">
        <v>3.99</v>
      </c>
      <c r="J708" s="7" t="s">
        <v>2721</v>
      </c>
      <c r="K708" s="5" t="s">
        <v>72</v>
      </c>
      <c r="L708" s="11">
        <v>200</v>
      </c>
      <c r="M708" s="11">
        <v>2015</v>
      </c>
      <c r="N708" s="11">
        <v>2014</v>
      </c>
      <c r="O708" s="15"/>
      <c r="P708" s="8">
        <v>45143</v>
      </c>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4" t="s">
        <v>3359</v>
      </c>
      <c r="AY708" s="5" t="s">
        <v>3360</v>
      </c>
      <c r="AZ708" s="5" t="s">
        <v>38</v>
      </c>
      <c r="BA708" s="12"/>
      <c r="BB708" s="12"/>
      <c r="BC708" s="12"/>
      <c r="BD708" s="11">
        <v>1</v>
      </c>
      <c r="BE708" s="11">
        <v>1</v>
      </c>
    </row>
    <row x14ac:dyDescent="0.25" r="709" customHeight="1" ht="17.25">
      <c r="A709" s="11">
        <v>11146839</v>
      </c>
      <c r="B709" s="4" t="s">
        <v>3361</v>
      </c>
      <c r="C709" s="5" t="s">
        <v>3362</v>
      </c>
      <c r="D709" s="5" t="s">
        <v>3363</v>
      </c>
      <c r="E709" s="12"/>
      <c r="F709" s="13">
        <f>"0983121931"</f>
      </c>
      <c r="G709" s="13">
        <f>"9780983121930"</f>
      </c>
      <c r="H709" s="11">
        <v>0</v>
      </c>
      <c r="I709" s="11">
        <v>5</v>
      </c>
      <c r="J709" s="7" t="s">
        <v>3364</v>
      </c>
      <c r="K709" s="5" t="s">
        <v>60</v>
      </c>
      <c r="L709" s="11">
        <v>104</v>
      </c>
      <c r="M709" s="11">
        <v>2011</v>
      </c>
      <c r="N709" s="11">
        <v>2011</v>
      </c>
      <c r="O709" s="15"/>
      <c r="P709" s="8">
        <v>45143</v>
      </c>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4" t="s">
        <v>3186</v>
      </c>
      <c r="AY709" s="5" t="s">
        <v>3365</v>
      </c>
      <c r="AZ709" s="5" t="s">
        <v>38</v>
      </c>
      <c r="BA709" s="12"/>
      <c r="BB709" s="12"/>
      <c r="BC709" s="12"/>
      <c r="BD709" s="11">
        <v>0</v>
      </c>
      <c r="BE709" s="11">
        <v>1</v>
      </c>
    </row>
    <row x14ac:dyDescent="0.25" r="710" customHeight="1" ht="17.25">
      <c r="A710" s="11">
        <v>7231024</v>
      </c>
      <c r="B710" s="4" t="s">
        <v>3366</v>
      </c>
      <c r="C710" s="5" t="s">
        <v>3367</v>
      </c>
      <c r="D710" s="5" t="s">
        <v>3368</v>
      </c>
      <c r="E710" s="12"/>
      <c r="F710" s="13">
        <f>"0195305310"</f>
      </c>
      <c r="G710" s="13">
        <f>"9780195305319"</f>
      </c>
      <c r="H710" s="11">
        <v>0</v>
      </c>
      <c r="I710" s="14">
        <v>4.01</v>
      </c>
      <c r="J710" s="7" t="s">
        <v>245</v>
      </c>
      <c r="K710" s="5" t="s">
        <v>72</v>
      </c>
      <c r="L710" s="11">
        <v>209</v>
      </c>
      <c r="M710" s="11">
        <v>2010</v>
      </c>
      <c r="N710" s="11">
        <v>2010</v>
      </c>
      <c r="O710" s="15"/>
      <c r="P710" s="8">
        <v>45143</v>
      </c>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4" t="s">
        <v>3369</v>
      </c>
      <c r="AY710" s="5" t="s">
        <v>3370</v>
      </c>
      <c r="AZ710" s="5" t="s">
        <v>38</v>
      </c>
      <c r="BA710" s="12"/>
      <c r="BB710" s="12"/>
      <c r="BC710" s="12"/>
      <c r="BD710" s="11">
        <v>0</v>
      </c>
      <c r="BE710" s="11">
        <v>1</v>
      </c>
    </row>
    <row x14ac:dyDescent="0.25" r="711" customHeight="1" ht="17.25">
      <c r="A711" s="11">
        <v>15020163</v>
      </c>
      <c r="B711" s="4" t="s">
        <v>3371</v>
      </c>
      <c r="C711" s="5" t="s">
        <v>3372</v>
      </c>
      <c r="D711" s="5" t="s">
        <v>3373</v>
      </c>
      <c r="E711" s="12"/>
      <c r="F711" s="13">
        <f>"0984151397"</f>
      </c>
      <c r="G711" s="13">
        <f>"9780984151394"</f>
      </c>
      <c r="H711" s="11">
        <v>0</v>
      </c>
      <c r="I711" s="14">
        <v>4.4</v>
      </c>
      <c r="J711" s="7" t="s">
        <v>3364</v>
      </c>
      <c r="K711" s="5" t="s">
        <v>60</v>
      </c>
      <c r="L711" s="11">
        <v>66</v>
      </c>
      <c r="M711" s="11">
        <v>2010</v>
      </c>
      <c r="N711" s="11">
        <v>2010</v>
      </c>
      <c r="O711" s="15"/>
      <c r="P711" s="8">
        <v>45143</v>
      </c>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4" t="s">
        <v>3186</v>
      </c>
      <c r="AY711" s="5" t="s">
        <v>3374</v>
      </c>
      <c r="AZ711" s="5" t="s">
        <v>38</v>
      </c>
      <c r="BA711" s="12"/>
      <c r="BB711" s="12"/>
      <c r="BC711" s="12"/>
      <c r="BD711" s="11">
        <v>0</v>
      </c>
      <c r="BE711" s="11">
        <v>1</v>
      </c>
    </row>
    <row x14ac:dyDescent="0.25" r="712" customHeight="1" ht="17.25">
      <c r="A712" s="11">
        <v>64467729</v>
      </c>
      <c r="B712" s="4" t="s">
        <v>3375</v>
      </c>
      <c r="C712" s="5" t="s">
        <v>3376</v>
      </c>
      <c r="D712" s="5" t="s">
        <v>3377</v>
      </c>
      <c r="E712" s="12"/>
      <c r="F712" s="13">
        <f>"9879395905"</f>
      </c>
      <c r="G712" s="13">
        <f>"9789879395905"</f>
      </c>
      <c r="H712" s="11">
        <v>0</v>
      </c>
      <c r="I712" s="11">
        <v>0</v>
      </c>
      <c r="J712" s="7" t="s">
        <v>3378</v>
      </c>
      <c r="K712" s="5" t="s">
        <v>60</v>
      </c>
      <c r="L712" s="16"/>
      <c r="M712" s="11">
        <v>2013</v>
      </c>
      <c r="N712" s="16"/>
      <c r="O712" s="15"/>
      <c r="P712" s="8">
        <v>45143</v>
      </c>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4" t="s">
        <v>3164</v>
      </c>
      <c r="AY712" s="5" t="s">
        <v>3379</v>
      </c>
      <c r="AZ712" s="5" t="s">
        <v>38</v>
      </c>
      <c r="BA712" s="12"/>
      <c r="BB712" s="12"/>
      <c r="BC712" s="12"/>
      <c r="BD712" s="11">
        <v>0</v>
      </c>
      <c r="BE712" s="11">
        <v>1</v>
      </c>
    </row>
    <row x14ac:dyDescent="0.25" r="713" customHeight="1" ht="17.25">
      <c r="A713" s="11">
        <v>13509974</v>
      </c>
      <c r="B713" s="4" t="s">
        <v>3380</v>
      </c>
      <c r="C713" s="5" t="s">
        <v>3381</v>
      </c>
      <c r="D713" s="5" t="s">
        <v>3382</v>
      </c>
      <c r="E713" s="12"/>
      <c r="F713" s="13">
        <f>"1934103276"</f>
      </c>
      <c r="G713" s="13">
        <f>"9781934103272"</f>
      </c>
      <c r="H713" s="11">
        <v>0</v>
      </c>
      <c r="I713" s="14">
        <v>4.14</v>
      </c>
      <c r="J713" s="7" t="s">
        <v>3349</v>
      </c>
      <c r="K713" s="5" t="s">
        <v>60</v>
      </c>
      <c r="L713" s="11">
        <v>114</v>
      </c>
      <c r="M713" s="11">
        <v>2012</v>
      </c>
      <c r="N713" s="11">
        <v>2012</v>
      </c>
      <c r="O713" s="15"/>
      <c r="P713" s="8">
        <v>45143</v>
      </c>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4" t="s">
        <v>3186</v>
      </c>
      <c r="AY713" s="5" t="s">
        <v>3383</v>
      </c>
      <c r="AZ713" s="5" t="s">
        <v>38</v>
      </c>
      <c r="BA713" s="12"/>
      <c r="BB713" s="12"/>
      <c r="BC713" s="12"/>
      <c r="BD713" s="11">
        <v>1</v>
      </c>
      <c r="BE713" s="11">
        <v>1</v>
      </c>
    </row>
    <row x14ac:dyDescent="0.25" r="714" customHeight="1" ht="17.25">
      <c r="A714" s="11">
        <v>10361330</v>
      </c>
      <c r="B714" s="4" t="s">
        <v>3384</v>
      </c>
      <c r="C714" s="5" t="s">
        <v>3385</v>
      </c>
      <c r="D714" s="5" t="s">
        <v>3386</v>
      </c>
      <c r="E714" s="12"/>
      <c r="F714" s="13">
        <f>"1118008189"</f>
      </c>
      <c r="G714" s="13">
        <f>"9781118008188"</f>
      </c>
      <c r="H714" s="11">
        <v>0</v>
      </c>
      <c r="I714" s="14">
        <v>4.32</v>
      </c>
      <c r="J714" s="7" t="s">
        <v>2644</v>
      </c>
      <c r="K714" s="5" t="s">
        <v>60</v>
      </c>
      <c r="L714" s="11">
        <v>514</v>
      </c>
      <c r="M714" s="11">
        <v>2011</v>
      </c>
      <c r="N714" s="11">
        <v>2011</v>
      </c>
      <c r="O714" s="15"/>
      <c r="P714" s="8">
        <v>45132</v>
      </c>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4" t="s">
        <v>3164</v>
      </c>
      <c r="AY714" s="5" t="s">
        <v>3387</v>
      </c>
      <c r="AZ714" s="5" t="s">
        <v>38</v>
      </c>
      <c r="BA714" s="12"/>
      <c r="BB714" s="12"/>
      <c r="BC714" s="12"/>
      <c r="BD714" s="11">
        <v>0</v>
      </c>
      <c r="BE714" s="11">
        <v>1</v>
      </c>
    </row>
    <row x14ac:dyDescent="0.25" r="715" customHeight="1" ht="17.25">
      <c r="A715" s="11">
        <v>46213396</v>
      </c>
      <c r="B715" s="4" t="s">
        <v>3388</v>
      </c>
      <c r="C715" s="5" t="s">
        <v>3389</v>
      </c>
      <c r="D715" s="5" t="s">
        <v>3390</v>
      </c>
      <c r="E715" s="5" t="s">
        <v>3391</v>
      </c>
      <c r="F715" s="13">
        <f>"1617293563"</f>
      </c>
      <c r="G715" s="13">
        <f>"9781617293566"</f>
      </c>
      <c r="H715" s="11">
        <v>0</v>
      </c>
      <c r="I715" s="14">
        <v>4.36</v>
      </c>
      <c r="J715" s="7" t="s">
        <v>3392</v>
      </c>
      <c r="K715" s="5" t="s">
        <v>60</v>
      </c>
      <c r="L715" s="11">
        <v>592</v>
      </c>
      <c r="M715" s="11">
        <v>2018</v>
      </c>
      <c r="N715" s="11">
        <v>2014</v>
      </c>
      <c r="O715" s="15"/>
      <c r="P715" s="8">
        <v>45136</v>
      </c>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4" t="s">
        <v>3216</v>
      </c>
      <c r="AY715" s="5" t="s">
        <v>3393</v>
      </c>
      <c r="AZ715" s="5" t="s">
        <v>38</v>
      </c>
      <c r="BA715" s="12"/>
      <c r="BB715" s="12"/>
      <c r="BC715" s="12"/>
      <c r="BD715" s="11">
        <v>1</v>
      </c>
      <c r="BE715" s="11">
        <v>1</v>
      </c>
    </row>
    <row x14ac:dyDescent="0.25" r="716" customHeight="1" ht="17.25">
      <c r="A716" s="11">
        <v>25707092</v>
      </c>
      <c r="B716" s="4" t="s">
        <v>3394</v>
      </c>
      <c r="C716" s="5" t="s">
        <v>3395</v>
      </c>
      <c r="D716" s="5" t="s">
        <v>3396</v>
      </c>
      <c r="E716" s="12"/>
      <c r="F716" s="13">
        <f>"0984782850"</f>
      </c>
      <c r="G716" s="13">
        <f>"9780984782857"</f>
      </c>
      <c r="H716" s="11">
        <v>0</v>
      </c>
      <c r="I716" s="14">
        <v>4.34</v>
      </c>
      <c r="J716" s="7" t="s">
        <v>3397</v>
      </c>
      <c r="K716" s="5" t="s">
        <v>60</v>
      </c>
      <c r="L716" s="11">
        <v>687</v>
      </c>
      <c r="M716" s="11">
        <v>2015</v>
      </c>
      <c r="N716" s="11">
        <v>2008</v>
      </c>
      <c r="O716" s="15"/>
      <c r="P716" s="8">
        <v>45132</v>
      </c>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4" t="s">
        <v>3216</v>
      </c>
      <c r="AY716" s="5" t="s">
        <v>3398</v>
      </c>
      <c r="AZ716" s="5" t="s">
        <v>38</v>
      </c>
      <c r="BA716" s="12"/>
      <c r="BB716" s="12"/>
      <c r="BC716" s="12"/>
      <c r="BD716" s="11">
        <v>0</v>
      </c>
      <c r="BE716" s="11">
        <v>1</v>
      </c>
    </row>
    <row x14ac:dyDescent="0.25" r="717" customHeight="1" ht="17.25">
      <c r="A717" s="11">
        <v>7976610</v>
      </c>
      <c r="B717" s="4" t="s">
        <v>3399</v>
      </c>
      <c r="C717" s="5" t="s">
        <v>3400</v>
      </c>
      <c r="D717" s="5" t="s">
        <v>3401</v>
      </c>
      <c r="E717" s="5" t="s">
        <v>3402</v>
      </c>
      <c r="F717" s="13">
        <f>"098416670X"</f>
      </c>
      <c r="G717" s="13">
        <f>"9780984166701"</f>
      </c>
      <c r="H717" s="11">
        <v>0</v>
      </c>
      <c r="I717" s="11">
        <v>0</v>
      </c>
      <c r="J717" s="7" t="s">
        <v>3403</v>
      </c>
      <c r="K717" s="5" t="s">
        <v>72</v>
      </c>
      <c r="L717" s="11">
        <v>240</v>
      </c>
      <c r="M717" s="11">
        <v>2010</v>
      </c>
      <c r="N717" s="16"/>
      <c r="O717" s="15"/>
      <c r="P717" s="8">
        <v>45136</v>
      </c>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4" t="s">
        <v>3164</v>
      </c>
      <c r="AY717" s="5" t="s">
        <v>3404</v>
      </c>
      <c r="AZ717" s="5" t="s">
        <v>38</v>
      </c>
      <c r="BA717" s="12"/>
      <c r="BB717" s="12"/>
      <c r="BC717" s="12"/>
      <c r="BD717" s="11">
        <v>0</v>
      </c>
      <c r="BE717" s="11">
        <v>1</v>
      </c>
    </row>
    <row x14ac:dyDescent="0.25" r="718" customHeight="1" ht="17.25">
      <c r="A718" s="11">
        <v>9654606</v>
      </c>
      <c r="B718" s="4" t="s">
        <v>3405</v>
      </c>
      <c r="C718" s="5" t="s">
        <v>3406</v>
      </c>
      <c r="D718" s="5" t="s">
        <v>3407</v>
      </c>
      <c r="E718" s="12"/>
      <c r="F718" s="13">
        <f>"0517526441"</f>
      </c>
      <c r="G718" s="13">
        <f>"9780517526446"</f>
      </c>
      <c r="H718" s="11">
        <v>0</v>
      </c>
      <c r="I718" s="14">
        <v>4.25</v>
      </c>
      <c r="J718" s="7" t="s">
        <v>3408</v>
      </c>
      <c r="K718" s="5" t="s">
        <v>60</v>
      </c>
      <c r="L718" s="11">
        <v>72</v>
      </c>
      <c r="M718" s="11">
        <v>1976</v>
      </c>
      <c r="N718" s="11">
        <v>1976</v>
      </c>
      <c r="O718" s="15"/>
      <c r="P718" s="8">
        <v>45137</v>
      </c>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4" t="s">
        <v>3171</v>
      </c>
      <c r="AY718" s="5" t="s">
        <v>3409</v>
      </c>
      <c r="AZ718" s="5" t="s">
        <v>38</v>
      </c>
      <c r="BA718" s="12"/>
      <c r="BB718" s="12"/>
      <c r="BC718" s="12"/>
      <c r="BD718" s="11">
        <v>0</v>
      </c>
      <c r="BE718" s="11">
        <v>1</v>
      </c>
    </row>
    <row x14ac:dyDescent="0.25" r="719" customHeight="1" ht="17.25">
      <c r="A719" s="11">
        <v>28598594</v>
      </c>
      <c r="B719" s="4" t="s">
        <v>3410</v>
      </c>
      <c r="C719" s="5" t="s">
        <v>3411</v>
      </c>
      <c r="D719" s="5" t="s">
        <v>3412</v>
      </c>
      <c r="E719" s="5" t="s">
        <v>3413</v>
      </c>
      <c r="F719" s="13">
        <f>"9509217697"</f>
      </c>
      <c r="G719" s="13">
        <f>"9789509217690"</f>
      </c>
      <c r="H719" s="11">
        <v>0</v>
      </c>
      <c r="I719" s="11">
        <v>4</v>
      </c>
      <c r="J719" s="7" t="s">
        <v>3414</v>
      </c>
      <c r="K719" s="5" t="s">
        <v>60</v>
      </c>
      <c r="L719" s="11">
        <v>376</v>
      </c>
      <c r="M719" s="11">
        <v>2004</v>
      </c>
      <c r="N719" s="11">
        <v>2004</v>
      </c>
      <c r="O719" s="15"/>
      <c r="P719" s="8">
        <v>45132</v>
      </c>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4" t="s">
        <v>3164</v>
      </c>
      <c r="AY719" s="5" t="s">
        <v>3415</v>
      </c>
      <c r="AZ719" s="5" t="s">
        <v>38</v>
      </c>
      <c r="BA719" s="12"/>
      <c r="BB719" s="12"/>
      <c r="BC719" s="12"/>
      <c r="BD719" s="11">
        <v>0</v>
      </c>
      <c r="BE719" s="11">
        <v>1</v>
      </c>
    </row>
    <row x14ac:dyDescent="0.25" r="720" customHeight="1" ht="15.75">
      <c r="A720" s="11">
        <v>1359361</v>
      </c>
      <c r="B720" s="4" t="s">
        <v>3416</v>
      </c>
      <c r="C720" s="5" t="s">
        <v>3417</v>
      </c>
      <c r="D720" s="5" t="s">
        <v>3418</v>
      </c>
      <c r="E720" s="5" t="s">
        <v>3419</v>
      </c>
      <c r="F720" s="13">
        <f>"8478884459"</f>
      </c>
      <c r="G720" s="13">
        <f>"9788478884452"</f>
      </c>
      <c r="H720" s="11">
        <v>0</v>
      </c>
      <c r="I720" s="14">
        <v>4.47</v>
      </c>
      <c r="J720" s="7" t="s">
        <v>3420</v>
      </c>
      <c r="K720" s="5" t="s">
        <v>72</v>
      </c>
      <c r="L720" s="11">
        <v>254</v>
      </c>
      <c r="M720" s="11">
        <v>1999</v>
      </c>
      <c r="N720" s="11">
        <v>1997</v>
      </c>
      <c r="O720" s="15"/>
      <c r="P720" s="8">
        <v>45116</v>
      </c>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4" t="s">
        <v>2460</v>
      </c>
      <c r="AY720" s="5" t="s">
        <v>3421</v>
      </c>
      <c r="AZ720" s="5" t="s">
        <v>38</v>
      </c>
      <c r="BA720" s="12"/>
      <c r="BB720" s="12"/>
      <c r="BC720" s="12"/>
      <c r="BD720" s="11">
        <v>0</v>
      </c>
      <c r="BE720" s="11">
        <v>1</v>
      </c>
    </row>
    <row x14ac:dyDescent="0.25" r="721" customHeight="1" ht="17.25">
      <c r="A721" s="11">
        <v>23722003</v>
      </c>
      <c r="B721" s="4" t="s">
        <v>3422</v>
      </c>
      <c r="C721" s="5" t="s">
        <v>3423</v>
      </c>
      <c r="D721" s="5" t="s">
        <v>3424</v>
      </c>
      <c r="E721" s="5" t="s">
        <v>3425</v>
      </c>
      <c r="F721" s="13">
        <f>"1472595688"</f>
      </c>
      <c r="G721" s="13">
        <f>"9781472595683"</f>
      </c>
      <c r="H721" s="11">
        <v>0</v>
      </c>
      <c r="I721" s="14">
        <v>3.56</v>
      </c>
      <c r="J721" s="7" t="s">
        <v>1499</v>
      </c>
      <c r="K721" s="5" t="s">
        <v>60</v>
      </c>
      <c r="L721" s="11">
        <v>456</v>
      </c>
      <c r="M721" s="11">
        <v>2015</v>
      </c>
      <c r="N721" s="11">
        <v>2011</v>
      </c>
      <c r="O721" s="15"/>
      <c r="P721" s="8">
        <v>45132</v>
      </c>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4" t="s">
        <v>3164</v>
      </c>
      <c r="AY721" s="5" t="s">
        <v>3426</v>
      </c>
      <c r="AZ721" s="5" t="s">
        <v>38</v>
      </c>
      <c r="BA721" s="12"/>
      <c r="BB721" s="12"/>
      <c r="BC721" s="12"/>
      <c r="BD721" s="11">
        <v>0</v>
      </c>
      <c r="BE721" s="11">
        <v>1</v>
      </c>
    </row>
    <row x14ac:dyDescent="0.25" r="722" customHeight="1" ht="17.25">
      <c r="A722" s="11">
        <v>56234572</v>
      </c>
      <c r="B722" s="4" t="s">
        <v>3427</v>
      </c>
      <c r="C722" s="5" t="s">
        <v>3428</v>
      </c>
      <c r="D722" s="5" t="s">
        <v>3429</v>
      </c>
      <c r="E722" s="5" t="s">
        <v>3430</v>
      </c>
      <c r="F722" s="13">
        <f>"0440322278"</f>
      </c>
      <c r="G722" s="13">
        <f>"9780440322276"</f>
      </c>
      <c r="H722" s="11">
        <v>0</v>
      </c>
      <c r="I722" s="11">
        <v>4</v>
      </c>
      <c r="J722" s="7" t="s">
        <v>3431</v>
      </c>
      <c r="K722" s="5" t="s">
        <v>346</v>
      </c>
      <c r="L722" s="11">
        <v>287</v>
      </c>
      <c r="M722" s="11">
        <v>1980</v>
      </c>
      <c r="N722" s="11">
        <v>1965</v>
      </c>
      <c r="O722" s="15"/>
      <c r="P722" s="8">
        <v>45129</v>
      </c>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4" t="s">
        <v>3258</v>
      </c>
      <c r="AY722" s="5" t="s">
        <v>3432</v>
      </c>
      <c r="AZ722" s="5" t="s">
        <v>38</v>
      </c>
      <c r="BA722" s="12"/>
      <c r="BB722" s="12"/>
      <c r="BC722" s="12"/>
      <c r="BD722" s="11">
        <v>0</v>
      </c>
      <c r="BE722" s="11">
        <v>1</v>
      </c>
    </row>
    <row x14ac:dyDescent="0.25" r="723" customHeight="1" ht="17.25">
      <c r="A723" s="11">
        <v>15793627</v>
      </c>
      <c r="B723" s="4" t="s">
        <v>3433</v>
      </c>
      <c r="C723" s="5" t="s">
        <v>3434</v>
      </c>
      <c r="D723" s="5" t="s">
        <v>3435</v>
      </c>
      <c r="E723" s="12"/>
      <c r="F723" s="13">
        <f>"0374533652"</f>
      </c>
      <c r="G723" s="13">
        <f>"9780374533656"</f>
      </c>
      <c r="H723" s="11">
        <v>0</v>
      </c>
      <c r="I723" s="14">
        <v>3.93</v>
      </c>
      <c r="J723" s="7" t="s">
        <v>120</v>
      </c>
      <c r="K723" s="5" t="s">
        <v>60</v>
      </c>
      <c r="L723" s="11">
        <v>256</v>
      </c>
      <c r="M723" s="11">
        <v>2013</v>
      </c>
      <c r="N723" s="11">
        <v>2012</v>
      </c>
      <c r="O723" s="15"/>
      <c r="P723" s="8">
        <v>45116</v>
      </c>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4" t="s">
        <v>3436</v>
      </c>
      <c r="AY723" s="5" t="s">
        <v>3437</v>
      </c>
      <c r="AZ723" s="5" t="s">
        <v>38</v>
      </c>
      <c r="BA723" s="12"/>
      <c r="BB723" s="12"/>
      <c r="BC723" s="12"/>
      <c r="BD723" s="11">
        <v>1</v>
      </c>
      <c r="BE723" s="11">
        <v>1</v>
      </c>
    </row>
    <row x14ac:dyDescent="0.25" r="724" customHeight="1" ht="17.25">
      <c r="A724" s="11">
        <v>24612000</v>
      </c>
      <c r="B724" s="4" t="s">
        <v>3438</v>
      </c>
      <c r="C724" s="5" t="s">
        <v>3439</v>
      </c>
      <c r="D724" s="5" t="s">
        <v>3440</v>
      </c>
      <c r="E724" s="5" t="s">
        <v>3441</v>
      </c>
      <c r="F724" s="13">
        <f>"0143107771"</f>
      </c>
      <c r="G724" s="13">
        <f>"9780143107774"</f>
      </c>
      <c r="H724" s="11">
        <v>0</v>
      </c>
      <c r="I724" s="14">
        <v>4.41</v>
      </c>
      <c r="J724" s="7" t="s">
        <v>263</v>
      </c>
      <c r="K724" s="5" t="s">
        <v>60</v>
      </c>
      <c r="L724" s="11">
        <v>1312</v>
      </c>
      <c r="M724" s="11">
        <v>2015</v>
      </c>
      <c r="N724" s="11">
        <v>2015</v>
      </c>
      <c r="O724" s="15"/>
      <c r="P724" s="8">
        <v>45129</v>
      </c>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4" t="s">
        <v>3154</v>
      </c>
      <c r="AY724" s="5" t="s">
        <v>3442</v>
      </c>
      <c r="AZ724" s="5" t="s">
        <v>38</v>
      </c>
      <c r="BA724" s="12"/>
      <c r="BB724" s="12"/>
      <c r="BC724" s="12"/>
      <c r="BD724" s="11">
        <v>0</v>
      </c>
      <c r="BE724" s="11">
        <v>1</v>
      </c>
    </row>
    <row x14ac:dyDescent="0.25" r="725" customHeight="1" ht="17.25">
      <c r="A725" s="11">
        <v>21487480</v>
      </c>
      <c r="B725" s="4" t="s">
        <v>3443</v>
      </c>
      <c r="C725" s="5" t="s">
        <v>3444</v>
      </c>
      <c r="D725" s="5" t="s">
        <v>3445</v>
      </c>
      <c r="E725" s="12"/>
      <c r="F725" s="13">
        <f>"1593275854"</f>
      </c>
      <c r="G725" s="13">
        <f>"9781593275853"</f>
      </c>
      <c r="H725" s="11">
        <v>0</v>
      </c>
      <c r="I725" s="14">
        <v>4.09</v>
      </c>
      <c r="J725" s="7" t="s">
        <v>3446</v>
      </c>
      <c r="K725" s="5" t="s">
        <v>60</v>
      </c>
      <c r="L725" s="11">
        <v>192</v>
      </c>
      <c r="M725" s="11">
        <v>2014</v>
      </c>
      <c r="N725" s="11">
        <v>2014</v>
      </c>
      <c r="O725" s="15"/>
      <c r="P725" s="8">
        <v>45114</v>
      </c>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4" t="s">
        <v>3164</v>
      </c>
      <c r="AY725" s="5" t="s">
        <v>3447</v>
      </c>
      <c r="AZ725" s="5" t="s">
        <v>38</v>
      </c>
      <c r="BA725" s="12"/>
      <c r="BB725" s="12"/>
      <c r="BC725" s="12"/>
      <c r="BD725" s="11">
        <v>0</v>
      </c>
      <c r="BE725" s="11">
        <v>1</v>
      </c>
    </row>
    <row x14ac:dyDescent="0.25" r="726" customHeight="1" ht="17.25">
      <c r="A726" s="11">
        <v>6464937</v>
      </c>
      <c r="B726" s="4" t="s">
        <v>3448</v>
      </c>
      <c r="C726" s="5" t="s">
        <v>3449</v>
      </c>
      <c r="D726" s="5" t="s">
        <v>3450</v>
      </c>
      <c r="E726" s="12"/>
      <c r="F726" s="13">
        <f>"0307269760"</f>
      </c>
      <c r="G726" s="13">
        <f>"9780307269768"</f>
      </c>
      <c r="H726" s="11">
        <v>0</v>
      </c>
      <c r="I726" s="14">
        <v>3.83</v>
      </c>
      <c r="J726" s="7" t="s">
        <v>1765</v>
      </c>
      <c r="K726" s="5" t="s">
        <v>72</v>
      </c>
      <c r="L726" s="11">
        <v>304</v>
      </c>
      <c r="M726" s="11">
        <v>2009</v>
      </c>
      <c r="N726" s="11">
        <v>2009</v>
      </c>
      <c r="O726" s="15"/>
      <c r="P726" s="8">
        <v>45114</v>
      </c>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4" t="s">
        <v>3258</v>
      </c>
      <c r="AY726" s="5" t="s">
        <v>3451</v>
      </c>
      <c r="AZ726" s="5" t="s">
        <v>38</v>
      </c>
      <c r="BA726" s="12"/>
      <c r="BB726" s="12"/>
      <c r="BC726" s="12"/>
      <c r="BD726" s="11">
        <v>0</v>
      </c>
      <c r="BE726" s="11">
        <v>1</v>
      </c>
    </row>
    <row x14ac:dyDescent="0.25" r="727" customHeight="1" ht="17.25">
      <c r="A727" s="11">
        <v>7723</v>
      </c>
      <c r="B727" s="4" t="s">
        <v>3452</v>
      </c>
      <c r="C727" s="5" t="s">
        <v>195</v>
      </c>
      <c r="D727" s="5" t="s">
        <v>196</v>
      </c>
      <c r="E727" s="5" t="s">
        <v>3453</v>
      </c>
      <c r="F727" s="13">
        <f>"1593080298"</f>
      </c>
      <c r="G727" s="13">
        <f>"9781593080297"</f>
      </c>
      <c r="H727" s="11">
        <v>0</v>
      </c>
      <c r="I727" s="14">
        <v>4.04</v>
      </c>
      <c r="J727" s="7" t="s">
        <v>3454</v>
      </c>
      <c r="K727" s="5" t="s">
        <v>60</v>
      </c>
      <c r="L727" s="11">
        <v>224</v>
      </c>
      <c r="M727" s="11">
        <v>2003</v>
      </c>
      <c r="N727" s="11">
        <v>1915</v>
      </c>
      <c r="O727" s="15"/>
      <c r="P727" s="8">
        <v>45114</v>
      </c>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4" t="s">
        <v>3258</v>
      </c>
      <c r="AY727" s="5" t="s">
        <v>3455</v>
      </c>
      <c r="AZ727" s="5" t="s">
        <v>38</v>
      </c>
      <c r="BA727" s="12"/>
      <c r="BB727" s="12"/>
      <c r="BC727" s="12"/>
      <c r="BD727" s="11">
        <v>0</v>
      </c>
      <c r="BE727" s="11">
        <v>1</v>
      </c>
    </row>
    <row x14ac:dyDescent="0.25" r="728" customHeight="1" ht="17.25">
      <c r="A728" s="11">
        <v>1696944</v>
      </c>
      <c r="B728" s="4" t="s">
        <v>3456</v>
      </c>
      <c r="C728" s="5" t="s">
        <v>3457</v>
      </c>
      <c r="D728" s="5" t="s">
        <v>3458</v>
      </c>
      <c r="E728" s="5" t="s">
        <v>3459</v>
      </c>
      <c r="F728" s="13">
        <f>"8437615518"</f>
      </c>
      <c r="G728" s="13">
        <f>"9788437615516"</f>
      </c>
      <c r="H728" s="11">
        <v>0</v>
      </c>
      <c r="I728" s="14">
        <v>3.78</v>
      </c>
      <c r="J728" s="7" t="s">
        <v>3460</v>
      </c>
      <c r="K728" s="5" t="s">
        <v>60</v>
      </c>
      <c r="L728" s="11">
        <v>336</v>
      </c>
      <c r="M728" s="11">
        <v>1997</v>
      </c>
      <c r="N728" s="11">
        <v>1970</v>
      </c>
      <c r="O728" s="15"/>
      <c r="P728" s="8">
        <v>45114</v>
      </c>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4" t="s">
        <v>3258</v>
      </c>
      <c r="AY728" s="5" t="s">
        <v>3461</v>
      </c>
      <c r="AZ728" s="5" t="s">
        <v>38</v>
      </c>
      <c r="BA728" s="12"/>
      <c r="BB728" s="12"/>
      <c r="BC728" s="12"/>
      <c r="BD728" s="11">
        <v>0</v>
      </c>
      <c r="BE728" s="11">
        <v>1</v>
      </c>
    </row>
    <row x14ac:dyDescent="0.25" r="729" customHeight="1" ht="17.25">
      <c r="A729" s="11">
        <v>7573234</v>
      </c>
      <c r="B729" s="4" t="s">
        <v>3462</v>
      </c>
      <c r="C729" s="5" t="s">
        <v>3463</v>
      </c>
      <c r="D729" s="5" t="s">
        <v>3464</v>
      </c>
      <c r="E729" s="12"/>
      <c r="F729" s="13">
        <f>"1555975607"</f>
      </c>
      <c r="G729" s="13">
        <f>"9781555975609"</f>
      </c>
      <c r="H729" s="11">
        <v>0</v>
      </c>
      <c r="I729" s="14">
        <v>3.85</v>
      </c>
      <c r="J729" s="7" t="s">
        <v>1001</v>
      </c>
      <c r="K729" s="5" t="s">
        <v>60</v>
      </c>
      <c r="L729" s="11">
        <v>199</v>
      </c>
      <c r="M729" s="11">
        <v>2010</v>
      </c>
      <c r="N729" s="11">
        <v>2010</v>
      </c>
      <c r="O729" s="15"/>
      <c r="P729" s="8">
        <v>45114</v>
      </c>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4" t="s">
        <v>3164</v>
      </c>
      <c r="AY729" s="5" t="s">
        <v>3465</v>
      </c>
      <c r="AZ729" s="5" t="s">
        <v>38</v>
      </c>
      <c r="BA729" s="12"/>
      <c r="BB729" s="12"/>
      <c r="BC729" s="12"/>
      <c r="BD729" s="11">
        <v>0</v>
      </c>
      <c r="BE729" s="11">
        <v>1</v>
      </c>
    </row>
    <row x14ac:dyDescent="0.25" r="730" customHeight="1" ht="17.25">
      <c r="A730" s="11">
        <v>1115957</v>
      </c>
      <c r="B730" s="4" t="s">
        <v>3466</v>
      </c>
      <c r="C730" s="5" t="s">
        <v>3467</v>
      </c>
      <c r="D730" s="5" t="s">
        <v>3468</v>
      </c>
      <c r="E730" s="12"/>
      <c r="F730" s="13">
        <f>"8432230138"</f>
      </c>
      <c r="G730" s="13">
        <f>"9788432230134"</f>
      </c>
      <c r="H730" s="11">
        <v>0</v>
      </c>
      <c r="I730" s="14">
        <v>4.3</v>
      </c>
      <c r="J730" s="7" t="s">
        <v>3469</v>
      </c>
      <c r="K730" s="5" t="s">
        <v>60</v>
      </c>
      <c r="L730" s="11">
        <v>295</v>
      </c>
      <c r="M730" s="11">
        <v>1983</v>
      </c>
      <c r="N730" s="11">
        <v>1966</v>
      </c>
      <c r="O730" s="15"/>
      <c r="P730" s="8">
        <v>45114</v>
      </c>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4" t="s">
        <v>3258</v>
      </c>
      <c r="AY730" s="5" t="s">
        <v>3470</v>
      </c>
      <c r="AZ730" s="5" t="s">
        <v>38</v>
      </c>
      <c r="BA730" s="12"/>
      <c r="BB730" s="12"/>
      <c r="BC730" s="12"/>
      <c r="BD730" s="11">
        <v>0</v>
      </c>
      <c r="BE730" s="11">
        <v>1</v>
      </c>
    </row>
    <row x14ac:dyDescent="0.25" r="731" customHeight="1" ht="17.25">
      <c r="A731" s="11">
        <v>24611714</v>
      </c>
      <c r="B731" s="4" t="s">
        <v>3471</v>
      </c>
      <c r="C731" s="5" t="s">
        <v>3472</v>
      </c>
      <c r="D731" s="5" t="s">
        <v>3473</v>
      </c>
      <c r="E731" s="12"/>
      <c r="F731" s="13">
        <f>"159463405X"</f>
      </c>
      <c r="G731" s="13">
        <f>"9781594634055"</f>
      </c>
      <c r="H731" s="11">
        <v>0</v>
      </c>
      <c r="I731" s="14">
        <v>3.72</v>
      </c>
      <c r="J731" s="7" t="s">
        <v>418</v>
      </c>
      <c r="K731" s="5" t="s">
        <v>60</v>
      </c>
      <c r="L731" s="11">
        <v>304</v>
      </c>
      <c r="M731" s="11">
        <v>2016</v>
      </c>
      <c r="N731" s="11">
        <v>2015</v>
      </c>
      <c r="O731" s="15"/>
      <c r="P731" s="8">
        <v>45114</v>
      </c>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4" t="s">
        <v>3258</v>
      </c>
      <c r="AY731" s="5" t="s">
        <v>3474</v>
      </c>
      <c r="AZ731" s="5" t="s">
        <v>38</v>
      </c>
      <c r="BA731" s="12"/>
      <c r="BB731" s="12"/>
      <c r="BC731" s="12"/>
      <c r="BD731" s="11">
        <v>0</v>
      </c>
      <c r="BE731" s="11">
        <v>1</v>
      </c>
    </row>
    <row x14ac:dyDescent="0.25" r="732" customHeight="1" ht="17.25">
      <c r="A732" s="11">
        <v>17891140</v>
      </c>
      <c r="B732" s="4" t="s">
        <v>3475</v>
      </c>
      <c r="C732" s="5" t="s">
        <v>3476</v>
      </c>
      <c r="D732" s="5" t="s">
        <v>3477</v>
      </c>
      <c r="E732" s="12"/>
      <c r="F732" s="13">
        <f>"0988863200"</f>
      </c>
      <c r="G732" s="13">
        <f>"9780988863200"</f>
      </c>
      <c r="H732" s="11">
        <v>0</v>
      </c>
      <c r="I732" s="11">
        <v>4</v>
      </c>
      <c r="J732" s="7" t="s">
        <v>3478</v>
      </c>
      <c r="K732" s="5" t="s">
        <v>60</v>
      </c>
      <c r="L732" s="11">
        <v>184</v>
      </c>
      <c r="M732" s="11">
        <v>2013</v>
      </c>
      <c r="N732" s="11">
        <v>2013</v>
      </c>
      <c r="O732" s="15"/>
      <c r="P732" s="8">
        <v>45114</v>
      </c>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4" t="s">
        <v>3258</v>
      </c>
      <c r="AY732" s="5" t="s">
        <v>3479</v>
      </c>
      <c r="AZ732" s="5" t="s">
        <v>38</v>
      </c>
      <c r="BA732" s="12"/>
      <c r="BB732" s="12"/>
      <c r="BC732" s="12"/>
      <c r="BD732" s="11">
        <v>0</v>
      </c>
      <c r="BE732" s="11">
        <v>1</v>
      </c>
    </row>
    <row x14ac:dyDescent="0.25" r="733" customHeight="1" ht="15.75">
      <c r="A733" s="11">
        <v>69528158</v>
      </c>
      <c r="B733" s="4" t="s">
        <v>3480</v>
      </c>
      <c r="C733" s="5" t="s">
        <v>3481</v>
      </c>
      <c r="D733" s="5" t="s">
        <v>3482</v>
      </c>
      <c r="E733" s="12"/>
      <c r="F733" s="13">
        <f>"8473293584"</f>
      </c>
      <c r="G733" s="13">
        <f>"9788473293587"</f>
      </c>
      <c r="H733" s="11">
        <v>0</v>
      </c>
      <c r="I733" s="14">
        <v>3.79</v>
      </c>
      <c r="J733" s="7" t="s">
        <v>3483</v>
      </c>
      <c r="K733" s="5" t="s">
        <v>60</v>
      </c>
      <c r="L733" s="11">
        <v>224</v>
      </c>
      <c r="M733" s="11">
        <v>2022</v>
      </c>
      <c r="N733" s="11">
        <v>1986</v>
      </c>
      <c r="O733" s="15"/>
      <c r="P733" s="8">
        <v>45114</v>
      </c>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4" t="s">
        <v>2460</v>
      </c>
      <c r="AY733" s="5" t="s">
        <v>3484</v>
      </c>
      <c r="AZ733" s="5" t="s">
        <v>38</v>
      </c>
      <c r="BA733" s="12"/>
      <c r="BB733" s="12"/>
      <c r="BC733" s="12"/>
      <c r="BD733" s="11">
        <v>0</v>
      </c>
      <c r="BE733" s="11">
        <v>1</v>
      </c>
    </row>
    <row x14ac:dyDescent="0.25" r="734" customHeight="1" ht="15.75">
      <c r="A734" s="11">
        <v>125351784</v>
      </c>
      <c r="B734" s="4" t="s">
        <v>3485</v>
      </c>
      <c r="C734" s="5" t="s">
        <v>3486</v>
      </c>
      <c r="D734" s="5" t="s">
        <v>3487</v>
      </c>
      <c r="E734" s="12"/>
      <c r="F734" s="13">
        <f>""</f>
      </c>
      <c r="G734" s="13">
        <f>""</f>
      </c>
      <c r="H734" s="11">
        <v>0</v>
      </c>
      <c r="I734" s="14">
        <v>4.26</v>
      </c>
      <c r="J734" s="7" t="s">
        <v>59</v>
      </c>
      <c r="K734" s="5" t="s">
        <v>60</v>
      </c>
      <c r="L734" s="16"/>
      <c r="M734" s="11">
        <v>1980</v>
      </c>
      <c r="N734" s="11">
        <v>1965</v>
      </c>
      <c r="O734" s="15"/>
      <c r="P734" s="8">
        <v>45114</v>
      </c>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4" t="s">
        <v>3488</v>
      </c>
      <c r="AY734" s="5" t="s">
        <v>3489</v>
      </c>
      <c r="AZ734" s="5" t="s">
        <v>38</v>
      </c>
      <c r="BA734" s="12"/>
      <c r="BB734" s="12"/>
      <c r="BC734" s="12"/>
      <c r="BD734" s="11">
        <v>1</v>
      </c>
      <c r="BE734" s="11">
        <v>1</v>
      </c>
    </row>
    <row x14ac:dyDescent="0.25" r="735" customHeight="1" ht="15.75">
      <c r="A735" s="11">
        <v>596522</v>
      </c>
      <c r="B735" s="4" t="s">
        <v>3490</v>
      </c>
      <c r="C735" s="5" t="s">
        <v>3486</v>
      </c>
      <c r="D735" s="5" t="s">
        <v>3487</v>
      </c>
      <c r="E735" s="12"/>
      <c r="F735" s="13">
        <f>"1564780147"</f>
      </c>
      <c r="G735" s="13">
        <f>"9781564780140"</f>
      </c>
      <c r="H735" s="11">
        <v>0</v>
      </c>
      <c r="I735" s="14">
        <v>4.43</v>
      </c>
      <c r="J735" s="7" t="s">
        <v>59</v>
      </c>
      <c r="K735" s="5" t="s">
        <v>60</v>
      </c>
      <c r="L735" s="11">
        <v>580</v>
      </c>
      <c r="M735" s="11">
        <v>1993</v>
      </c>
      <c r="N735" s="11">
        <v>1965</v>
      </c>
      <c r="O735" s="15"/>
      <c r="P735" s="8">
        <v>45114</v>
      </c>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4" t="s">
        <v>2460</v>
      </c>
      <c r="AY735" s="5" t="s">
        <v>3491</v>
      </c>
      <c r="AZ735" s="5" t="s">
        <v>38</v>
      </c>
      <c r="BA735" s="12"/>
      <c r="BB735" s="12"/>
      <c r="BC735" s="12"/>
      <c r="BD735" s="11">
        <v>0</v>
      </c>
      <c r="BE735" s="11">
        <v>1</v>
      </c>
    </row>
    <row x14ac:dyDescent="0.25" r="736" customHeight="1" ht="17.25">
      <c r="A736" s="11">
        <v>22757500</v>
      </c>
      <c r="B736" s="4" t="s">
        <v>3492</v>
      </c>
      <c r="C736" s="5" t="s">
        <v>3493</v>
      </c>
      <c r="D736" s="5" t="s">
        <v>3494</v>
      </c>
      <c r="E736" s="5" t="s">
        <v>3495</v>
      </c>
      <c r="F736" s="13">
        <f>"0983265992"</f>
      </c>
      <c r="G736" s="13">
        <f>"9780983265993"</f>
      </c>
      <c r="H736" s="11">
        <v>0</v>
      </c>
      <c r="I736" s="14">
        <v>3.5</v>
      </c>
      <c r="J736" s="7" t="s">
        <v>3496</v>
      </c>
      <c r="K736" s="5" t="s">
        <v>3497</v>
      </c>
      <c r="L736" s="11">
        <v>172</v>
      </c>
      <c r="M736" s="11">
        <v>2011</v>
      </c>
      <c r="N736" s="11">
        <v>2011</v>
      </c>
      <c r="O736" s="15"/>
      <c r="P736" s="8">
        <v>45113</v>
      </c>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4" t="s">
        <v>3164</v>
      </c>
      <c r="AY736" s="5" t="s">
        <v>3498</v>
      </c>
      <c r="AZ736" s="5" t="s">
        <v>38</v>
      </c>
      <c r="BA736" s="12"/>
      <c r="BB736" s="12"/>
      <c r="BC736" s="12"/>
      <c r="BD736" s="11">
        <v>0</v>
      </c>
      <c r="BE736" s="11">
        <v>1</v>
      </c>
    </row>
    <row x14ac:dyDescent="0.25" r="737" customHeight="1" ht="17.25">
      <c r="A737" s="11">
        <v>1536</v>
      </c>
      <c r="B737" s="4" t="s">
        <v>3499</v>
      </c>
      <c r="C737" s="5" t="s">
        <v>633</v>
      </c>
      <c r="D737" s="5" t="s">
        <v>634</v>
      </c>
      <c r="E737" s="5" t="s">
        <v>3500</v>
      </c>
      <c r="F737" s="13">
        <f>"0226307867"</f>
      </c>
      <c r="G737" s="13">
        <f>"9780226307862"</f>
      </c>
      <c r="H737" s="11">
        <v>0</v>
      </c>
      <c r="I737" s="14">
        <v>4.14</v>
      </c>
      <c r="J737" s="7" t="s">
        <v>255</v>
      </c>
      <c r="K737" s="5" t="s">
        <v>60</v>
      </c>
      <c r="L737" s="11">
        <v>254</v>
      </c>
      <c r="M737" s="11">
        <v>1969</v>
      </c>
      <c r="N737" s="11">
        <v>-450</v>
      </c>
      <c r="O737" s="15"/>
      <c r="P737" s="8">
        <v>45113</v>
      </c>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4" t="s">
        <v>3501</v>
      </c>
      <c r="AY737" s="5" t="s">
        <v>3502</v>
      </c>
      <c r="AZ737" s="5" t="s">
        <v>38</v>
      </c>
      <c r="BA737" s="12"/>
      <c r="BB737" s="12"/>
      <c r="BC737" s="12"/>
      <c r="BD737" s="11">
        <v>0</v>
      </c>
      <c r="BE737" s="11">
        <v>1</v>
      </c>
    </row>
    <row x14ac:dyDescent="0.25" r="738" customHeight="1" ht="17.25">
      <c r="A738" s="11">
        <v>12988752</v>
      </c>
      <c r="B738" s="4" t="s">
        <v>3503</v>
      </c>
      <c r="C738" s="5" t="s">
        <v>3504</v>
      </c>
      <c r="D738" s="5" t="s">
        <v>3505</v>
      </c>
      <c r="E738" s="5" t="s">
        <v>3506</v>
      </c>
      <c r="F738" s="13">
        <f>"1936628074"</f>
      </c>
      <c r="G738" s="13">
        <f>"9781936628070"</f>
      </c>
      <c r="H738" s="11">
        <v>0</v>
      </c>
      <c r="I738" s="14">
        <v>4.56</v>
      </c>
      <c r="J738" s="7" t="s">
        <v>3507</v>
      </c>
      <c r="K738" s="1"/>
      <c r="L738" s="11">
        <v>316</v>
      </c>
      <c r="M738" s="16"/>
      <c r="N738" s="11">
        <v>2011</v>
      </c>
      <c r="O738" s="15"/>
      <c r="P738" s="8">
        <v>45113</v>
      </c>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4" t="s">
        <v>3186</v>
      </c>
      <c r="AY738" s="5" t="s">
        <v>3508</v>
      </c>
      <c r="AZ738" s="5" t="s">
        <v>38</v>
      </c>
      <c r="BA738" s="12"/>
      <c r="BB738" s="12"/>
      <c r="BC738" s="12"/>
      <c r="BD738" s="11">
        <v>0</v>
      </c>
      <c r="BE738" s="11">
        <v>1</v>
      </c>
    </row>
    <row x14ac:dyDescent="0.25" r="739" customHeight="1" ht="17.25">
      <c r="A739" s="11">
        <v>9982697</v>
      </c>
      <c r="B739" s="4" t="s">
        <v>3509</v>
      </c>
      <c r="C739" s="5" t="s">
        <v>3510</v>
      </c>
      <c r="D739" s="5" t="s">
        <v>3511</v>
      </c>
      <c r="E739" s="12"/>
      <c r="F739" s="13">
        <f>"0071748032"</f>
      </c>
      <c r="G739" s="13">
        <f>"9780071748032"</f>
      </c>
      <c r="H739" s="11">
        <v>0</v>
      </c>
      <c r="I739" s="14">
        <v>3.77</v>
      </c>
      <c r="J739" s="7" t="s">
        <v>1330</v>
      </c>
      <c r="K739" s="5" t="s">
        <v>60</v>
      </c>
      <c r="L739" s="11">
        <v>208</v>
      </c>
      <c r="M739" s="11">
        <v>2010</v>
      </c>
      <c r="N739" s="11">
        <v>2009</v>
      </c>
      <c r="O739" s="15"/>
      <c r="P739" s="8">
        <v>45113</v>
      </c>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4" t="s">
        <v>3164</v>
      </c>
      <c r="AY739" s="5" t="s">
        <v>3512</v>
      </c>
      <c r="AZ739" s="5" t="s">
        <v>38</v>
      </c>
      <c r="BA739" s="12"/>
      <c r="BB739" s="12"/>
      <c r="BC739" s="12"/>
      <c r="BD739" s="11">
        <v>0</v>
      </c>
      <c r="BE739" s="11">
        <v>1</v>
      </c>
    </row>
    <row x14ac:dyDescent="0.25" r="740" customHeight="1" ht="17.25">
      <c r="A740" s="11">
        <v>6202980</v>
      </c>
      <c r="B740" s="4" t="s">
        <v>3513</v>
      </c>
      <c r="C740" s="5" t="s">
        <v>3514</v>
      </c>
      <c r="D740" s="5" t="s">
        <v>3515</v>
      </c>
      <c r="E740" s="12"/>
      <c r="F740" s="13">
        <f>"1934103063"</f>
      </c>
      <c r="G740" s="13">
        <f>"9781934103067"</f>
      </c>
      <c r="H740" s="11">
        <v>0</v>
      </c>
      <c r="I740" s="14">
        <v>4.27</v>
      </c>
      <c r="J740" s="7" t="s">
        <v>3349</v>
      </c>
      <c r="K740" s="5" t="s">
        <v>60</v>
      </c>
      <c r="L740" s="11">
        <v>96</v>
      </c>
      <c r="M740" s="11">
        <v>2009</v>
      </c>
      <c r="N740" s="11">
        <v>2009</v>
      </c>
      <c r="O740" s="15"/>
      <c r="P740" s="8">
        <v>45113</v>
      </c>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4" t="s">
        <v>3186</v>
      </c>
      <c r="AY740" s="5" t="s">
        <v>3516</v>
      </c>
      <c r="AZ740" s="5" t="s">
        <v>38</v>
      </c>
      <c r="BA740" s="12"/>
      <c r="BB740" s="12"/>
      <c r="BC740" s="12"/>
      <c r="BD740" s="11">
        <v>0</v>
      </c>
      <c r="BE740" s="11">
        <v>1</v>
      </c>
    </row>
    <row x14ac:dyDescent="0.25" r="741" customHeight="1" ht="17.25">
      <c r="A741" s="11">
        <v>11733140</v>
      </c>
      <c r="B741" s="4" t="s">
        <v>3517</v>
      </c>
      <c r="C741" s="5" t="s">
        <v>3518</v>
      </c>
      <c r="D741" s="5" t="s">
        <v>3519</v>
      </c>
      <c r="E741" s="12"/>
      <c r="F741" s="13">
        <f>"1934414557"</f>
      </c>
      <c r="G741" s="13">
        <f>"9781934414552"</f>
      </c>
      <c r="H741" s="11">
        <v>0</v>
      </c>
      <c r="I741" s="14">
        <v>4.33</v>
      </c>
      <c r="J741" s="7" t="s">
        <v>3339</v>
      </c>
      <c r="K741" s="5" t="s">
        <v>60</v>
      </c>
      <c r="L741" s="11">
        <v>125</v>
      </c>
      <c r="M741" s="11">
        <v>2011</v>
      </c>
      <c r="N741" s="11">
        <v>2011</v>
      </c>
      <c r="O741" s="15"/>
      <c r="P741" s="8">
        <v>45113</v>
      </c>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4" t="s">
        <v>3186</v>
      </c>
      <c r="AY741" s="5" t="s">
        <v>3520</v>
      </c>
      <c r="AZ741" s="5" t="s">
        <v>38</v>
      </c>
      <c r="BA741" s="12"/>
      <c r="BB741" s="12"/>
      <c r="BC741" s="12"/>
      <c r="BD741" s="11">
        <v>0</v>
      </c>
      <c r="BE741" s="11">
        <v>1</v>
      </c>
    </row>
    <row x14ac:dyDescent="0.25" r="742" customHeight="1" ht="17.25">
      <c r="A742" s="11">
        <v>18378020</v>
      </c>
      <c r="B742" s="4" t="s">
        <v>3521</v>
      </c>
      <c r="C742" s="5" t="s">
        <v>3522</v>
      </c>
      <c r="D742" s="5" t="s">
        <v>3523</v>
      </c>
      <c r="E742" s="12"/>
      <c r="F742" s="13">
        <f>"0393348970"</f>
      </c>
      <c r="G742" s="13">
        <f>"9780393348972"</f>
      </c>
      <c r="H742" s="11">
        <v>0</v>
      </c>
      <c r="I742" s="14">
        <v>3.65</v>
      </c>
      <c r="J742" s="7" t="s">
        <v>144</v>
      </c>
      <c r="K742" s="5" t="s">
        <v>60</v>
      </c>
      <c r="L742" s="11">
        <v>240</v>
      </c>
      <c r="M742" s="11">
        <v>2014</v>
      </c>
      <c r="N742" s="11">
        <v>2013</v>
      </c>
      <c r="O742" s="15"/>
      <c r="P742" s="8">
        <v>45113</v>
      </c>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4" t="s">
        <v>3186</v>
      </c>
      <c r="AY742" s="5" t="s">
        <v>3524</v>
      </c>
      <c r="AZ742" s="5" t="s">
        <v>38</v>
      </c>
      <c r="BA742" s="12"/>
      <c r="BB742" s="12"/>
      <c r="BC742" s="12"/>
      <c r="BD742" s="11">
        <v>0</v>
      </c>
      <c r="BE742" s="11">
        <v>1</v>
      </c>
    </row>
    <row x14ac:dyDescent="0.25" r="743" customHeight="1" ht="17.25">
      <c r="A743" s="11">
        <v>50882242</v>
      </c>
      <c r="B743" s="4" t="s">
        <v>3525</v>
      </c>
      <c r="C743" s="5" t="s">
        <v>3526</v>
      </c>
      <c r="D743" s="5" t="s">
        <v>3527</v>
      </c>
      <c r="E743" s="12"/>
      <c r="F743" s="13">
        <f>"1529308070"</f>
      </c>
      <c r="G743" s="13">
        <f>"9781529308075"</f>
      </c>
      <c r="H743" s="11">
        <v>0</v>
      </c>
      <c r="I743" s="14">
        <v>4.16</v>
      </c>
      <c r="J743" s="7" t="s">
        <v>3528</v>
      </c>
      <c r="K743" s="5" t="s">
        <v>90</v>
      </c>
      <c r="L743" s="11">
        <v>304</v>
      </c>
      <c r="M743" s="11">
        <v>2020</v>
      </c>
      <c r="N743" s="11">
        <v>2009</v>
      </c>
      <c r="O743" s="15"/>
      <c r="P743" s="8">
        <v>45113</v>
      </c>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4" t="s">
        <v>3216</v>
      </c>
      <c r="AY743" s="5" t="s">
        <v>3529</v>
      </c>
      <c r="AZ743" s="5" t="s">
        <v>38</v>
      </c>
      <c r="BA743" s="12"/>
      <c r="BB743" s="12"/>
      <c r="BC743" s="12"/>
      <c r="BD743" s="11">
        <v>0</v>
      </c>
      <c r="BE743" s="11">
        <v>1</v>
      </c>
    </row>
    <row x14ac:dyDescent="0.25" r="744" customHeight="1" ht="17.25">
      <c r="A744" s="11">
        <v>54959652</v>
      </c>
      <c r="B744" s="4" t="s">
        <v>3530</v>
      </c>
      <c r="C744" s="5" t="s">
        <v>3531</v>
      </c>
      <c r="D744" s="5" t="s">
        <v>3532</v>
      </c>
      <c r="E744" s="12"/>
      <c r="F744" s="13">
        <f>"1786630559"</f>
      </c>
      <c r="G744" s="13">
        <f>"9781786630551"</f>
      </c>
      <c r="H744" s="11">
        <v>0</v>
      </c>
      <c r="I744" s="14">
        <v>3.84</v>
      </c>
      <c r="J744" s="7" t="s">
        <v>2001</v>
      </c>
      <c r="K744" s="5" t="s">
        <v>90</v>
      </c>
      <c r="L744" s="11">
        <v>352</v>
      </c>
      <c r="M744" s="11">
        <v>2017</v>
      </c>
      <c r="N744" s="11">
        <v>2009</v>
      </c>
      <c r="O744" s="15"/>
      <c r="P744" s="8">
        <v>45113</v>
      </c>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4" t="s">
        <v>3164</v>
      </c>
      <c r="AY744" s="5" t="s">
        <v>3533</v>
      </c>
      <c r="AZ744" s="5" t="s">
        <v>38</v>
      </c>
      <c r="BA744" s="12"/>
      <c r="BB744" s="12"/>
      <c r="BC744" s="12"/>
      <c r="BD744" s="11">
        <v>0</v>
      </c>
      <c r="BE744" s="11">
        <v>1</v>
      </c>
    </row>
    <row x14ac:dyDescent="0.25" r="745" customHeight="1" ht="17.25">
      <c r="A745" s="11">
        <v>24905392</v>
      </c>
      <c r="B745" s="4" t="s">
        <v>3534</v>
      </c>
      <c r="C745" s="5" t="s">
        <v>3535</v>
      </c>
      <c r="D745" s="5" t="s">
        <v>3536</v>
      </c>
      <c r="E745" s="5" t="s">
        <v>3537</v>
      </c>
      <c r="F745" s="13">
        <f>"1452142327"</f>
      </c>
      <c r="G745" s="13">
        <f>"9781452142326"</f>
      </c>
      <c r="H745" s="11">
        <v>0</v>
      </c>
      <c r="I745" s="14">
        <v>4.07</v>
      </c>
      <c r="J745" s="7" t="s">
        <v>2416</v>
      </c>
      <c r="K745" s="5" t="s">
        <v>72</v>
      </c>
      <c r="L745" s="11">
        <v>216</v>
      </c>
      <c r="M745" s="11">
        <v>2015</v>
      </c>
      <c r="N745" s="11">
        <v>2015</v>
      </c>
      <c r="O745" s="15"/>
      <c r="P745" s="8">
        <v>45113</v>
      </c>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4" t="s">
        <v>3164</v>
      </c>
      <c r="AY745" s="5" t="s">
        <v>3538</v>
      </c>
      <c r="AZ745" s="5" t="s">
        <v>38</v>
      </c>
      <c r="BA745" s="12"/>
      <c r="BB745" s="12"/>
      <c r="BC745" s="12"/>
      <c r="BD745" s="11">
        <v>0</v>
      </c>
      <c r="BE745" s="11">
        <v>1</v>
      </c>
    </row>
    <row x14ac:dyDescent="0.25" r="746" customHeight="1" ht="17.25">
      <c r="A746" s="11">
        <v>11079798</v>
      </c>
      <c r="B746" s="4" t="s">
        <v>3539</v>
      </c>
      <c r="C746" s="5" t="s">
        <v>3540</v>
      </c>
      <c r="D746" s="5" t="s">
        <v>3541</v>
      </c>
      <c r="E746" s="12"/>
      <c r="F746" s="13">
        <f>""</f>
      </c>
      <c r="G746" s="13">
        <f>""</f>
      </c>
      <c r="H746" s="11">
        <v>0</v>
      </c>
      <c r="I746" s="14">
        <v>4.18</v>
      </c>
      <c r="J746" s="7" t="s">
        <v>3542</v>
      </c>
      <c r="K746" s="5" t="s">
        <v>60</v>
      </c>
      <c r="L746" s="16"/>
      <c r="M746" s="11">
        <v>1959</v>
      </c>
      <c r="N746" s="11">
        <v>1959</v>
      </c>
      <c r="O746" s="15"/>
      <c r="P746" s="8">
        <v>44814</v>
      </c>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4" t="s">
        <v>3164</v>
      </c>
      <c r="AY746" s="5" t="s">
        <v>3543</v>
      </c>
      <c r="AZ746" s="5" t="s">
        <v>38</v>
      </c>
      <c r="BA746" s="12"/>
      <c r="BB746" s="12"/>
      <c r="BC746" s="12"/>
      <c r="BD746" s="11">
        <v>0</v>
      </c>
      <c r="BE746" s="11">
        <v>1</v>
      </c>
    </row>
    <row x14ac:dyDescent="0.25" r="747" customHeight="1" ht="17.25">
      <c r="A747" s="11">
        <v>26522</v>
      </c>
      <c r="B747" s="4" t="s">
        <v>3544</v>
      </c>
      <c r="C747" s="5" t="s">
        <v>508</v>
      </c>
      <c r="D747" s="5" t="s">
        <v>509</v>
      </c>
      <c r="E747" s="5" t="s">
        <v>3545</v>
      </c>
      <c r="F747" s="13">
        <f>"0393093123"</f>
      </c>
      <c r="G747" s="13">
        <f>"9780393093124"</f>
      </c>
      <c r="H747" s="11">
        <v>0</v>
      </c>
      <c r="I747" s="14">
        <v>3.99</v>
      </c>
      <c r="J747" s="7" t="s">
        <v>3546</v>
      </c>
      <c r="K747" s="5" t="s">
        <v>60</v>
      </c>
      <c r="L747" s="11">
        <v>126</v>
      </c>
      <c r="M747" s="11">
        <v>1974</v>
      </c>
      <c r="N747" s="11">
        <v>2010</v>
      </c>
      <c r="O747" s="15"/>
      <c r="P747" s="8">
        <v>45083</v>
      </c>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4" t="s">
        <v>3547</v>
      </c>
      <c r="AY747" s="5" t="s">
        <v>3548</v>
      </c>
      <c r="AZ747" s="5" t="s">
        <v>24</v>
      </c>
      <c r="BA747" s="12"/>
      <c r="BB747" s="12"/>
      <c r="BC747" s="12"/>
      <c r="BD747" s="11">
        <v>1</v>
      </c>
      <c r="BE747" s="11">
        <v>1</v>
      </c>
    </row>
    <row x14ac:dyDescent="0.25" r="748" customHeight="1" ht="17.25">
      <c r="A748" s="11">
        <v>15862122</v>
      </c>
      <c r="B748" s="4" t="s">
        <v>3549</v>
      </c>
      <c r="C748" s="5" t="s">
        <v>3550</v>
      </c>
      <c r="D748" s="5" t="s">
        <v>3551</v>
      </c>
      <c r="E748" s="5" t="s">
        <v>3552</v>
      </c>
      <c r="F748" s="13">
        <f>"0738735795"</f>
      </c>
      <c r="G748" s="13">
        <f>"9780738735795"</f>
      </c>
      <c r="H748" s="11">
        <v>0</v>
      </c>
      <c r="I748" s="14">
        <v>3.96</v>
      </c>
      <c r="J748" s="7" t="s">
        <v>646</v>
      </c>
      <c r="K748" s="5" t="s">
        <v>60</v>
      </c>
      <c r="L748" s="11">
        <v>216</v>
      </c>
      <c r="M748" s="11">
        <v>2013</v>
      </c>
      <c r="N748" s="16"/>
      <c r="O748" s="15"/>
      <c r="P748" s="8">
        <v>44814</v>
      </c>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4" t="s">
        <v>3265</v>
      </c>
      <c r="AY748" s="5" t="s">
        <v>3553</v>
      </c>
      <c r="AZ748" s="5" t="s">
        <v>38</v>
      </c>
      <c r="BA748" s="12"/>
      <c r="BB748" s="12"/>
      <c r="BC748" s="12"/>
      <c r="BD748" s="11">
        <v>0</v>
      </c>
      <c r="BE748" s="11">
        <v>1</v>
      </c>
    </row>
    <row x14ac:dyDescent="0.25" r="749" customHeight="1" ht="17.25">
      <c r="A749" s="11">
        <v>21947208</v>
      </c>
      <c r="B749" s="4" t="s">
        <v>3554</v>
      </c>
      <c r="C749" s="5" t="s">
        <v>565</v>
      </c>
      <c r="D749" s="5" t="s">
        <v>566</v>
      </c>
      <c r="E749" s="5" t="s">
        <v>3555</v>
      </c>
      <c r="F749" s="13">
        <f>""</f>
      </c>
      <c r="G749" s="13">
        <f>""</f>
      </c>
      <c r="H749" s="11">
        <v>0</v>
      </c>
      <c r="I749" s="14">
        <v>4.21</v>
      </c>
      <c r="J749" s="7" t="s">
        <v>294</v>
      </c>
      <c r="K749" s="5" t="s">
        <v>60</v>
      </c>
      <c r="L749" s="11">
        <v>585</v>
      </c>
      <c r="M749" s="11">
        <v>1962</v>
      </c>
      <c r="N749" s="11">
        <v>1934</v>
      </c>
      <c r="O749" s="15"/>
      <c r="P749" s="8">
        <v>45113</v>
      </c>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4" t="s">
        <v>3164</v>
      </c>
      <c r="AY749" s="5" t="s">
        <v>3556</v>
      </c>
      <c r="AZ749" s="5" t="s">
        <v>38</v>
      </c>
      <c r="BA749" s="12"/>
      <c r="BB749" s="12"/>
      <c r="BC749" s="12"/>
      <c r="BD749" s="11">
        <v>0</v>
      </c>
      <c r="BE749" s="11">
        <v>1</v>
      </c>
    </row>
    <row x14ac:dyDescent="0.25" r="750" customHeight="1" ht="17.25">
      <c r="A750" s="11">
        <v>9670447</v>
      </c>
      <c r="B750" s="4" t="s">
        <v>3557</v>
      </c>
      <c r="C750" s="5" t="s">
        <v>3558</v>
      </c>
      <c r="D750" s="5" t="s">
        <v>3559</v>
      </c>
      <c r="E750" s="12"/>
      <c r="F750" s="13">
        <f>"0738719552"</f>
      </c>
      <c r="G750" s="13">
        <f>"9780738719559"</f>
      </c>
      <c r="H750" s="11">
        <v>0</v>
      </c>
      <c r="I750" s="14">
        <v>4.09</v>
      </c>
      <c r="J750" s="7" t="s">
        <v>646</v>
      </c>
      <c r="K750" s="5" t="s">
        <v>60</v>
      </c>
      <c r="L750" s="11">
        <v>360</v>
      </c>
      <c r="M750" s="11">
        <v>2010</v>
      </c>
      <c r="N750" s="11">
        <v>2010</v>
      </c>
      <c r="O750" s="15"/>
      <c r="P750" s="8">
        <v>44814</v>
      </c>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4" t="s">
        <v>3265</v>
      </c>
      <c r="AY750" s="5" t="s">
        <v>3560</v>
      </c>
      <c r="AZ750" s="5" t="s">
        <v>38</v>
      </c>
      <c r="BA750" s="12"/>
      <c r="BB750" s="12"/>
      <c r="BC750" s="12"/>
      <c r="BD750" s="11">
        <v>0</v>
      </c>
      <c r="BE750" s="11">
        <v>1</v>
      </c>
    </row>
    <row x14ac:dyDescent="0.25" r="751" customHeight="1" ht="17.25">
      <c r="A751" s="11">
        <v>8202582</v>
      </c>
      <c r="B751" s="4" t="s">
        <v>3561</v>
      </c>
      <c r="C751" s="5" t="s">
        <v>3562</v>
      </c>
      <c r="D751" s="5" t="s">
        <v>3563</v>
      </c>
      <c r="E751" s="12"/>
      <c r="F751" s="13">
        <f>"1905857810"</f>
      </c>
      <c r="G751" s="13">
        <f>"9781905857814"</f>
      </c>
      <c r="H751" s="11">
        <v>0</v>
      </c>
      <c r="I751" s="14">
        <v>4.21</v>
      </c>
      <c r="J751" s="7" t="s">
        <v>3564</v>
      </c>
      <c r="K751" s="5" t="s">
        <v>60</v>
      </c>
      <c r="L751" s="11">
        <v>256</v>
      </c>
      <c r="M751" s="11">
        <v>2008</v>
      </c>
      <c r="N751" s="11">
        <v>2008</v>
      </c>
      <c r="O751" s="15"/>
      <c r="P751" s="8">
        <v>44814</v>
      </c>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4" t="s">
        <v>3565</v>
      </c>
      <c r="AY751" s="5" t="s">
        <v>3566</v>
      </c>
      <c r="AZ751" s="5" t="s">
        <v>158</v>
      </c>
      <c r="BA751" s="12"/>
      <c r="BB751" s="12"/>
      <c r="BC751" s="12"/>
      <c r="BD751" s="11">
        <v>1</v>
      </c>
      <c r="BE751" s="11">
        <v>1</v>
      </c>
    </row>
    <row x14ac:dyDescent="0.25" r="752" customHeight="1" ht="17.25">
      <c r="A752" s="11">
        <v>8014963</v>
      </c>
      <c r="B752" s="4" t="s">
        <v>3567</v>
      </c>
      <c r="C752" s="5" t="s">
        <v>3568</v>
      </c>
      <c r="D752" s="5" t="s">
        <v>3569</v>
      </c>
      <c r="E752" s="12"/>
      <c r="F752" s="13">
        <f>"2940411042"</f>
      </c>
      <c r="G752" s="13">
        <f>"9782940411047"</f>
      </c>
      <c r="H752" s="11">
        <v>0</v>
      </c>
      <c r="I752" s="14">
        <v>3.79</v>
      </c>
      <c r="J752" s="7" t="s">
        <v>163</v>
      </c>
      <c r="K752" s="5" t="s">
        <v>60</v>
      </c>
      <c r="L752" s="11">
        <v>288</v>
      </c>
      <c r="M752" s="11">
        <v>2010</v>
      </c>
      <c r="N752" s="11">
        <v>2009</v>
      </c>
      <c r="O752" s="15"/>
      <c r="P752" s="8">
        <v>44814</v>
      </c>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4" t="s">
        <v>3216</v>
      </c>
      <c r="AY752" s="5" t="s">
        <v>3570</v>
      </c>
      <c r="AZ752" s="5" t="s">
        <v>38</v>
      </c>
      <c r="BA752" s="12"/>
      <c r="BB752" s="12"/>
      <c r="BC752" s="12"/>
      <c r="BD752" s="11">
        <v>0</v>
      </c>
      <c r="BE752" s="11">
        <v>1</v>
      </c>
    </row>
    <row x14ac:dyDescent="0.25" r="753" customHeight="1" ht="15.75">
      <c r="A753" s="11">
        <v>26145543</v>
      </c>
      <c r="B753" s="4" t="s">
        <v>3571</v>
      </c>
      <c r="C753" s="5" t="s">
        <v>3572</v>
      </c>
      <c r="D753" s="5" t="s">
        <v>3573</v>
      </c>
      <c r="E753" s="5" t="s">
        <v>3574</v>
      </c>
      <c r="F753" s="13">
        <f>"0374534144"</f>
      </c>
      <c r="G753" s="13">
        <f>"9780374534141"</f>
      </c>
      <c r="H753" s="11">
        <v>0</v>
      </c>
      <c r="I753" s="14">
        <v>4.09</v>
      </c>
      <c r="J753" s="7" t="s">
        <v>120</v>
      </c>
      <c r="K753" s="5" t="s">
        <v>60</v>
      </c>
      <c r="L753" s="11">
        <v>442</v>
      </c>
      <c r="M753" s="11">
        <v>2013</v>
      </c>
      <c r="N753" s="11">
        <v>2009</v>
      </c>
      <c r="O753" s="15"/>
      <c r="P753" s="8">
        <v>44814</v>
      </c>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4" t="s">
        <v>2460</v>
      </c>
      <c r="AY753" s="5" t="s">
        <v>3575</v>
      </c>
      <c r="AZ753" s="5" t="s">
        <v>38</v>
      </c>
      <c r="BA753" s="12"/>
      <c r="BB753" s="12"/>
      <c r="BC753" s="12"/>
      <c r="BD753" s="11">
        <v>0</v>
      </c>
      <c r="BE753" s="11">
        <v>1</v>
      </c>
    </row>
    <row x14ac:dyDescent="0.25" r="754" customHeight="1" ht="17.25">
      <c r="A754" s="11">
        <v>36863631</v>
      </c>
      <c r="B754" s="4" t="s">
        <v>3576</v>
      </c>
      <c r="C754" s="5" t="s">
        <v>3577</v>
      </c>
      <c r="D754" s="5" t="s">
        <v>3578</v>
      </c>
      <c r="E754" s="12"/>
      <c r="F754" s="13">
        <f>"0135166306"</f>
      </c>
      <c r="G754" s="13">
        <f>"9780135166307"</f>
      </c>
      <c r="H754" s="11">
        <v>0</v>
      </c>
      <c r="I754" s="14">
        <v>4.18</v>
      </c>
      <c r="J754" s="7" t="s">
        <v>3579</v>
      </c>
      <c r="K754" s="5" t="s">
        <v>60</v>
      </c>
      <c r="L754" s="11">
        <v>928</v>
      </c>
      <c r="M754" s="11">
        <v>2018</v>
      </c>
      <c r="N754" s="11">
        <v>2007</v>
      </c>
      <c r="O754" s="15"/>
      <c r="P754" s="8">
        <v>44814</v>
      </c>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4" t="s">
        <v>3216</v>
      </c>
      <c r="AY754" s="5" t="s">
        <v>3580</v>
      </c>
      <c r="AZ754" s="5" t="s">
        <v>38</v>
      </c>
      <c r="BA754" s="12"/>
      <c r="BB754" s="12"/>
      <c r="BC754" s="12"/>
      <c r="BD754" s="11">
        <v>0</v>
      </c>
      <c r="BE754" s="11">
        <v>1</v>
      </c>
    </row>
    <row x14ac:dyDescent="0.25" r="755" customHeight="1" ht="17.25">
      <c r="A755" s="11">
        <v>20007152</v>
      </c>
      <c r="B755" s="4" t="s">
        <v>3581</v>
      </c>
      <c r="C755" s="5" t="s">
        <v>705</v>
      </c>
      <c r="D755" s="5" t="s">
        <v>706</v>
      </c>
      <c r="E755" s="12"/>
      <c r="F755" s="13">
        <f>""</f>
      </c>
      <c r="G755" s="13">
        <f>""</f>
      </c>
      <c r="H755" s="11">
        <v>0</v>
      </c>
      <c r="I755" s="11">
        <v>4</v>
      </c>
      <c r="J755" s="7" t="s">
        <v>1061</v>
      </c>
      <c r="K755" s="5" t="s">
        <v>60</v>
      </c>
      <c r="L755" s="11">
        <v>288</v>
      </c>
      <c r="M755" s="11">
        <v>2008</v>
      </c>
      <c r="N755" s="11">
        <v>1990</v>
      </c>
      <c r="O755" s="15"/>
      <c r="P755" s="8">
        <v>44814</v>
      </c>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4" t="s">
        <v>3258</v>
      </c>
      <c r="AY755" s="5" t="s">
        <v>3582</v>
      </c>
      <c r="AZ755" s="5" t="s">
        <v>38</v>
      </c>
      <c r="BA755" s="12"/>
      <c r="BB755" s="12"/>
      <c r="BC755" s="12"/>
      <c r="BD755" s="11">
        <v>0</v>
      </c>
      <c r="BE755" s="11">
        <v>1</v>
      </c>
    </row>
    <row x14ac:dyDescent="0.25" r="756" customHeight="1" ht="17.25">
      <c r="A756" s="11">
        <v>9321125</v>
      </c>
      <c r="B756" s="4" t="s">
        <v>3583</v>
      </c>
      <c r="C756" s="5" t="s">
        <v>3584</v>
      </c>
      <c r="D756" s="5" t="s">
        <v>3585</v>
      </c>
      <c r="E756" s="5" t="s">
        <v>3586</v>
      </c>
      <c r="F756" s="13">
        <f>"3836514486"</f>
      </c>
      <c r="G756" s="13">
        <f>"9783836514484"</f>
      </c>
      <c r="H756" s="11">
        <v>0</v>
      </c>
      <c r="I756" s="14">
        <v>4.43</v>
      </c>
      <c r="J756" s="7" t="s">
        <v>2293</v>
      </c>
      <c r="K756" s="5" t="s">
        <v>72</v>
      </c>
      <c r="L756" s="11">
        <v>807</v>
      </c>
      <c r="M756" s="11">
        <v>2010</v>
      </c>
      <c r="N756" s="11">
        <v>2010</v>
      </c>
      <c r="O756" s="15"/>
      <c r="P756" s="8">
        <v>44814</v>
      </c>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4" t="s">
        <v>3587</v>
      </c>
      <c r="AY756" s="5" t="s">
        <v>3588</v>
      </c>
      <c r="AZ756" s="5" t="s">
        <v>38</v>
      </c>
      <c r="BA756" s="12"/>
      <c r="BB756" s="12"/>
      <c r="BC756" s="12"/>
      <c r="BD756" s="11">
        <v>0</v>
      </c>
      <c r="BE756" s="11">
        <v>1</v>
      </c>
    </row>
    <row x14ac:dyDescent="0.25" r="757" customHeight="1" ht="17.25">
      <c r="A757" s="11">
        <v>33533956</v>
      </c>
      <c r="B757" s="4" t="s">
        <v>3589</v>
      </c>
      <c r="C757" s="5" t="s">
        <v>1174</v>
      </c>
      <c r="D757" s="5" t="s">
        <v>1175</v>
      </c>
      <c r="E757" s="12"/>
      <c r="F757" s="13">
        <f>"8433998242"</f>
      </c>
      <c r="G757" s="13">
        <f>"9788433998248"</f>
      </c>
      <c r="H757" s="11">
        <v>4</v>
      </c>
      <c r="I757" s="14">
        <v>3.83</v>
      </c>
      <c r="J757" s="7" t="s">
        <v>1710</v>
      </c>
      <c r="K757" s="5" t="s">
        <v>60</v>
      </c>
      <c r="L757" s="11">
        <v>232</v>
      </c>
      <c r="M757" s="11">
        <v>2017</v>
      </c>
      <c r="N757" s="11">
        <v>2009</v>
      </c>
      <c r="O757" s="8">
        <v>44138</v>
      </c>
      <c r="P757" s="8">
        <v>44103</v>
      </c>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4" t="s">
        <v>3590</v>
      </c>
      <c r="AY757" s="5" t="s">
        <v>3591</v>
      </c>
      <c r="AZ757" s="5" t="s">
        <v>158</v>
      </c>
      <c r="BA757" s="12"/>
      <c r="BB757" s="12"/>
      <c r="BC757" s="12"/>
      <c r="BD757" s="11">
        <v>1</v>
      </c>
      <c r="BE757" s="11">
        <v>1</v>
      </c>
    </row>
    <row x14ac:dyDescent="0.25" r="758" customHeight="1" ht="15.75">
      <c r="A758" s="11">
        <v>22945648</v>
      </c>
      <c r="B758" s="4" t="s">
        <v>3592</v>
      </c>
      <c r="C758" s="5" t="s">
        <v>3593</v>
      </c>
      <c r="D758" s="5" t="s">
        <v>3594</v>
      </c>
      <c r="E758" s="12"/>
      <c r="F758" s="13">
        <f>"1439172579"</f>
      </c>
      <c r="G758" s="13">
        <f>"9781439172575"</f>
      </c>
      <c r="H758" s="11">
        <v>0</v>
      </c>
      <c r="I758" s="14">
        <v>3.63</v>
      </c>
      <c r="J758" s="7" t="s">
        <v>132</v>
      </c>
      <c r="K758" s="5" t="s">
        <v>60</v>
      </c>
      <c r="L758" s="11">
        <v>276</v>
      </c>
      <c r="M758" s="11">
        <v>2015</v>
      </c>
      <c r="N758" s="11">
        <v>2015</v>
      </c>
      <c r="O758" s="15"/>
      <c r="P758" s="8">
        <v>44814</v>
      </c>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4" t="s">
        <v>2460</v>
      </c>
      <c r="AY758" s="5" t="s">
        <v>3595</v>
      </c>
      <c r="AZ758" s="5" t="s">
        <v>38</v>
      </c>
      <c r="BA758" s="12"/>
      <c r="BB758" s="12"/>
      <c r="BC758" s="12"/>
      <c r="BD758" s="11">
        <v>0</v>
      </c>
      <c r="BE758" s="11">
        <v>1</v>
      </c>
    </row>
    <row x14ac:dyDescent="0.25" r="759" customHeight="1" ht="15.75">
      <c r="A759" s="11">
        <v>43424859</v>
      </c>
      <c r="B759" s="4" t="s">
        <v>3596</v>
      </c>
      <c r="C759" s="5" t="s">
        <v>3597</v>
      </c>
      <c r="D759" s="5" t="s">
        <v>3598</v>
      </c>
      <c r="E759" s="5" t="s">
        <v>3599</v>
      </c>
      <c r="F759" s="13">
        <f>"1931883858"</f>
      </c>
      <c r="G759" s="13">
        <f>"9781931883856"</f>
      </c>
      <c r="H759" s="11">
        <v>4</v>
      </c>
      <c r="I759" s="14">
        <v>3.55</v>
      </c>
      <c r="J759" s="7" t="s">
        <v>3600</v>
      </c>
      <c r="K759" s="5" t="s">
        <v>60</v>
      </c>
      <c r="L759" s="11">
        <v>120</v>
      </c>
      <c r="M759" s="11">
        <v>2019</v>
      </c>
      <c r="N759" s="11">
        <v>2011</v>
      </c>
      <c r="O759" s="9">
        <v>44186</v>
      </c>
      <c r="P759" s="9">
        <v>44179</v>
      </c>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4" t="s">
        <v>3601</v>
      </c>
      <c r="AY759" s="5" t="s">
        <v>3602</v>
      </c>
      <c r="AZ759" s="5" t="s">
        <v>158</v>
      </c>
      <c r="BA759" s="12"/>
      <c r="BB759" s="12"/>
      <c r="BC759" s="12"/>
      <c r="BD759" s="11">
        <v>1</v>
      </c>
      <c r="BE759" s="11">
        <v>1</v>
      </c>
    </row>
    <row x14ac:dyDescent="0.25" r="760" customHeight="1" ht="15.75">
      <c r="A760" s="11">
        <v>21535546</v>
      </c>
      <c r="B760" s="4" t="s">
        <v>3603</v>
      </c>
      <c r="C760" s="5" t="s">
        <v>2520</v>
      </c>
      <c r="D760" s="5" t="s">
        <v>2521</v>
      </c>
      <c r="E760" s="5" t="s">
        <v>2522</v>
      </c>
      <c r="F760" s="13">
        <f>"1908276428"</f>
      </c>
      <c r="G760" s="13">
        <f>"9781908276421"</f>
      </c>
      <c r="H760" s="11">
        <v>4</v>
      </c>
      <c r="I760" s="14">
        <v>3.91</v>
      </c>
      <c r="J760" s="7" t="s">
        <v>1692</v>
      </c>
      <c r="K760" s="5" t="s">
        <v>60</v>
      </c>
      <c r="L760" s="11">
        <v>114</v>
      </c>
      <c r="M760" s="11">
        <v>2015</v>
      </c>
      <c r="N760" s="11">
        <v>2009</v>
      </c>
      <c r="O760" s="15"/>
      <c r="P760" s="8">
        <v>43901</v>
      </c>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4" t="s">
        <v>2460</v>
      </c>
      <c r="AY760" s="5" t="s">
        <v>3604</v>
      </c>
      <c r="AZ760" s="5" t="s">
        <v>38</v>
      </c>
      <c r="BA760" s="12"/>
      <c r="BB760" s="12"/>
      <c r="BC760" s="12"/>
      <c r="BD760" s="11">
        <v>1</v>
      </c>
      <c r="BE760" s="11">
        <v>1</v>
      </c>
    </row>
    <row x14ac:dyDescent="0.25" r="761" customHeight="1" ht="15.75">
      <c r="A761" s="11">
        <v>17841</v>
      </c>
      <c r="B761" s="4" t="s">
        <v>3605</v>
      </c>
      <c r="C761" s="5" t="s">
        <v>3076</v>
      </c>
      <c r="D761" s="5" t="s">
        <v>3077</v>
      </c>
      <c r="E761" s="5" t="s">
        <v>3606</v>
      </c>
      <c r="F761" s="13">
        <f>"015603297X"</f>
      </c>
      <c r="G761" s="13">
        <f>"9780156032971"</f>
      </c>
      <c r="H761" s="11">
        <v>0</v>
      </c>
      <c r="I761" s="14">
        <v>3.91</v>
      </c>
      <c r="J761" s="7" t="s">
        <v>434</v>
      </c>
      <c r="K761" s="5" t="s">
        <v>60</v>
      </c>
      <c r="L761" s="11">
        <v>623</v>
      </c>
      <c r="M761" s="11">
        <v>2007</v>
      </c>
      <c r="N761" s="11">
        <v>1988</v>
      </c>
      <c r="O761" s="15"/>
      <c r="P761" s="8">
        <v>43901</v>
      </c>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4" t="s">
        <v>2460</v>
      </c>
      <c r="AY761" s="5" t="s">
        <v>3607</v>
      </c>
      <c r="AZ761" s="5" t="s">
        <v>38</v>
      </c>
      <c r="BA761" s="12"/>
      <c r="BB761" s="12"/>
      <c r="BC761" s="12"/>
      <c r="BD761" s="11">
        <v>0</v>
      </c>
      <c r="BE761" s="11">
        <v>1</v>
      </c>
    </row>
    <row x14ac:dyDescent="0.25" r="762" customHeight="1" ht="17.25">
      <c r="A762" s="11">
        <v>25489317</v>
      </c>
      <c r="B762" s="4" t="s">
        <v>3608</v>
      </c>
      <c r="C762" s="5" t="s">
        <v>2945</v>
      </c>
      <c r="D762" s="5" t="s">
        <v>2946</v>
      </c>
      <c r="E762" s="12"/>
      <c r="F762" s="13">
        <f>"1784782475"</f>
      </c>
      <c r="G762" s="13">
        <f>"9781784782474"</f>
      </c>
      <c r="H762" s="11">
        <v>0</v>
      </c>
      <c r="I762" s="14">
        <v>4.18</v>
      </c>
      <c r="J762" s="7" t="s">
        <v>2001</v>
      </c>
      <c r="K762" s="5" t="s">
        <v>60</v>
      </c>
      <c r="L762" s="11">
        <v>193</v>
      </c>
      <c r="M762" s="11">
        <v>2016</v>
      </c>
      <c r="N762" s="11">
        <v>2009</v>
      </c>
      <c r="O762" s="15"/>
      <c r="P762" s="8">
        <v>42864</v>
      </c>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4" t="s">
        <v>3609</v>
      </c>
      <c r="AY762" s="5" t="s">
        <v>3610</v>
      </c>
      <c r="AZ762" s="5" t="s">
        <v>38</v>
      </c>
      <c r="BA762" s="12"/>
      <c r="BB762" s="12"/>
      <c r="BC762" s="12"/>
      <c r="BD762" s="11">
        <v>0</v>
      </c>
      <c r="BE762" s="11">
        <v>1</v>
      </c>
    </row>
    <row x14ac:dyDescent="0.25" r="763" customHeight="1" ht="17.25">
      <c r="A763" s="11">
        <v>23519696</v>
      </c>
      <c r="B763" s="4" t="s">
        <v>3611</v>
      </c>
      <c r="C763" s="5" t="s">
        <v>3612</v>
      </c>
      <c r="D763" s="5" t="s">
        <v>3613</v>
      </c>
      <c r="E763" s="12"/>
      <c r="F763" s="13">
        <f>"1781689210"</f>
      </c>
      <c r="G763" s="13">
        <f>"9781781689219"</f>
      </c>
      <c r="H763" s="11">
        <v>0</v>
      </c>
      <c r="I763" s="14">
        <v>4.22</v>
      </c>
      <c r="J763" s="7" t="s">
        <v>2001</v>
      </c>
      <c r="K763" s="5" t="s">
        <v>96</v>
      </c>
      <c r="L763" s="11">
        <v>272</v>
      </c>
      <c r="M763" s="11">
        <v>2015</v>
      </c>
      <c r="N763" s="11">
        <v>2015</v>
      </c>
      <c r="O763" s="15"/>
      <c r="P763" s="8">
        <v>43046</v>
      </c>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4" t="s">
        <v>3359</v>
      </c>
      <c r="AY763" s="5" t="s">
        <v>3614</v>
      </c>
      <c r="AZ763" s="5" t="s">
        <v>38</v>
      </c>
      <c r="BA763" s="12"/>
      <c r="BB763" s="12"/>
      <c r="BC763" s="12"/>
      <c r="BD763" s="11">
        <v>0</v>
      </c>
      <c r="BE763" s="11">
        <v>1</v>
      </c>
    </row>
    <row x14ac:dyDescent="0.25" r="764" customHeight="1" ht="15.75">
      <c r="A764" s="11">
        <v>22929602</v>
      </c>
      <c r="B764" s="4" t="s">
        <v>3615</v>
      </c>
      <c r="C764" s="5" t="s">
        <v>3616</v>
      </c>
      <c r="D764" s="5" t="s">
        <v>3617</v>
      </c>
      <c r="E764" s="12"/>
      <c r="F764" s="13">
        <f>"0374288224"</f>
      </c>
      <c r="G764" s="13">
        <f>"9780374288228"</f>
      </c>
      <c r="H764" s="11">
        <v>3</v>
      </c>
      <c r="I764" s="14">
        <v>3.77</v>
      </c>
      <c r="J764" s="7" t="s">
        <v>120</v>
      </c>
      <c r="K764" s="5" t="s">
        <v>72</v>
      </c>
      <c r="L764" s="11">
        <v>195</v>
      </c>
      <c r="M764" s="11">
        <v>2016</v>
      </c>
      <c r="N764" s="11">
        <v>2016</v>
      </c>
      <c r="O764" s="8">
        <v>42676</v>
      </c>
      <c r="P764" s="9">
        <v>42659</v>
      </c>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4" t="s">
        <v>2460</v>
      </c>
      <c r="AY764" s="5" t="s">
        <v>3618</v>
      </c>
      <c r="AZ764" s="5" t="s">
        <v>38</v>
      </c>
      <c r="BA764" s="12"/>
      <c r="BB764" s="12"/>
      <c r="BC764" s="12"/>
      <c r="BD764" s="11">
        <v>1</v>
      </c>
      <c r="BE764" s="11">
        <v>1</v>
      </c>
    </row>
    <row x14ac:dyDescent="0.25" r="765" customHeight="1" ht="17.25">
      <c r="A765" s="11">
        <v>28505023</v>
      </c>
      <c r="B765" s="4" t="s">
        <v>3619</v>
      </c>
      <c r="C765" s="5" t="s">
        <v>2609</v>
      </c>
      <c r="D765" s="5" t="s">
        <v>3620</v>
      </c>
      <c r="E765" s="12"/>
      <c r="F765" s="13">
        <f>"1501126342"</f>
      </c>
      <c r="G765" s="13">
        <f>"9781501126345"</f>
      </c>
      <c r="H765" s="11">
        <v>0</v>
      </c>
      <c r="I765" s="14">
        <v>4.36</v>
      </c>
      <c r="J765" s="7" t="s">
        <v>132</v>
      </c>
      <c r="K765" s="5" t="s">
        <v>72</v>
      </c>
      <c r="L765" s="11">
        <v>226</v>
      </c>
      <c r="M765" s="11">
        <v>2016</v>
      </c>
      <c r="N765" s="11">
        <v>2016</v>
      </c>
      <c r="O765" s="15"/>
      <c r="P765" s="8">
        <v>42621</v>
      </c>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4" t="s">
        <v>3191</v>
      </c>
      <c r="AY765" s="5" t="s">
        <v>3621</v>
      </c>
      <c r="AZ765" s="5" t="s">
        <v>38</v>
      </c>
      <c r="BA765" s="12"/>
      <c r="BB765" s="12"/>
      <c r="BC765" s="12"/>
      <c r="BD765" s="11">
        <v>0</v>
      </c>
      <c r="BE765" s="11">
        <v>1</v>
      </c>
    </row>
    <row x14ac:dyDescent="0.25" r="766" customHeight="1" ht="17.25">
      <c r="A766" s="11">
        <v>23493803</v>
      </c>
      <c r="B766" s="4" t="s">
        <v>3622</v>
      </c>
      <c r="C766" s="5" t="s">
        <v>3623</v>
      </c>
      <c r="D766" s="5" t="s">
        <v>3624</v>
      </c>
      <c r="E766" s="5" t="s">
        <v>3625</v>
      </c>
      <c r="F766" s="13">
        <f>"1940450640"</f>
      </c>
      <c r="G766" s="13">
        <f>"9781940450643"</f>
      </c>
      <c r="H766" s="11">
        <v>4</v>
      </c>
      <c r="I766" s="14">
        <v>3.42</v>
      </c>
      <c r="J766" s="7" t="s">
        <v>3626</v>
      </c>
      <c r="K766" s="5" t="s">
        <v>60</v>
      </c>
      <c r="L766" s="11">
        <v>160</v>
      </c>
      <c r="M766" s="11">
        <v>2015</v>
      </c>
      <c r="N766" s="11">
        <v>2015</v>
      </c>
      <c r="O766" s="8">
        <v>42631</v>
      </c>
      <c r="P766" s="8">
        <v>42627</v>
      </c>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11">
        <v>0</v>
      </c>
      <c r="AY766" s="5" t="s">
        <v>3627</v>
      </c>
      <c r="AZ766" s="5" t="s">
        <v>158</v>
      </c>
      <c r="BA766" s="5" t="s">
        <v>3628</v>
      </c>
      <c r="BB766" s="12"/>
      <c r="BC766" s="12"/>
      <c r="BD766" s="11">
        <v>1</v>
      </c>
      <c r="BE766" s="11">
        <v>1</v>
      </c>
    </row>
    <row x14ac:dyDescent="0.25" r="767" customHeight="1" ht="17.25">
      <c r="A767" s="11">
        <v>8559595</v>
      </c>
      <c r="B767" s="4" t="s">
        <v>3629</v>
      </c>
      <c r="C767" s="5" t="s">
        <v>3630</v>
      </c>
      <c r="D767" s="5" t="s">
        <v>3631</v>
      </c>
      <c r="E767" s="12"/>
      <c r="F767" s="13">
        <f>"1555975739"</f>
      </c>
      <c r="G767" s="13">
        <f>"9781555975739"</f>
      </c>
      <c r="H767" s="11">
        <v>0</v>
      </c>
      <c r="I767" s="14">
        <v>3.83</v>
      </c>
      <c r="J767" s="7" t="s">
        <v>1001</v>
      </c>
      <c r="K767" s="5" t="s">
        <v>60</v>
      </c>
      <c r="L767" s="11">
        <v>96</v>
      </c>
      <c r="M767" s="11">
        <v>2010</v>
      </c>
      <c r="N767" s="11">
        <v>2010</v>
      </c>
      <c r="O767" s="15"/>
      <c r="P767" s="8">
        <v>42559</v>
      </c>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4" t="s">
        <v>3186</v>
      </c>
      <c r="AY767" s="5" t="s">
        <v>3632</v>
      </c>
      <c r="AZ767" s="5" t="s">
        <v>38</v>
      </c>
      <c r="BA767" s="12"/>
      <c r="BB767" s="12"/>
      <c r="BC767" s="12"/>
      <c r="BD767" s="11">
        <v>0</v>
      </c>
      <c r="BE767" s="11">
        <v>1</v>
      </c>
    </row>
    <row x14ac:dyDescent="0.25" r="768" customHeight="1" ht="15.75">
      <c r="A768" s="11">
        <v>26154389</v>
      </c>
      <c r="B768" s="4" t="s">
        <v>3633</v>
      </c>
      <c r="C768" s="5" t="s">
        <v>3634</v>
      </c>
      <c r="D768" s="5" t="s">
        <v>3635</v>
      </c>
      <c r="E768" s="12"/>
      <c r="F768" s="13">
        <f>"1501135392"</f>
      </c>
      <c r="G768" s="13">
        <f>"9781501135392"</f>
      </c>
      <c r="H768" s="11">
        <v>1</v>
      </c>
      <c r="I768" s="14">
        <v>3.19</v>
      </c>
      <c r="J768" s="7" t="s">
        <v>132</v>
      </c>
      <c r="K768" s="5" t="s">
        <v>72</v>
      </c>
      <c r="L768" s="11">
        <v>274</v>
      </c>
      <c r="M768" s="11">
        <v>2016</v>
      </c>
      <c r="N768" s="11">
        <v>2016</v>
      </c>
      <c r="O768" s="8">
        <v>42511</v>
      </c>
      <c r="P768" s="8">
        <v>42498</v>
      </c>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4" t="s">
        <v>3636</v>
      </c>
      <c r="AY768" s="5" t="s">
        <v>3637</v>
      </c>
      <c r="AZ768" s="5" t="s">
        <v>38</v>
      </c>
      <c r="BA768" s="5" t="s">
        <v>3638</v>
      </c>
      <c r="BB768" s="12"/>
      <c r="BC768" s="12"/>
      <c r="BD768" s="11">
        <v>1</v>
      </c>
      <c r="BE768" s="11">
        <v>1</v>
      </c>
    </row>
    <row x14ac:dyDescent="0.25" r="769" customHeight="1" ht="17.25">
      <c r="A769" s="11">
        <v>23250284</v>
      </c>
      <c r="B769" s="4" t="s">
        <v>3639</v>
      </c>
      <c r="C769" s="5" t="s">
        <v>3293</v>
      </c>
      <c r="D769" s="5" t="s">
        <v>3294</v>
      </c>
      <c r="E769" s="12"/>
      <c r="F769" s="13">
        <f>"0989641546"</f>
      </c>
      <c r="G769" s="13">
        <f>"9780989641548"</f>
      </c>
      <c r="H769" s="11">
        <v>5</v>
      </c>
      <c r="I769" s="14">
        <v>3.9</v>
      </c>
      <c r="J769" s="7" t="s">
        <v>3640</v>
      </c>
      <c r="K769" s="5" t="s">
        <v>60</v>
      </c>
      <c r="L769" s="11">
        <v>46</v>
      </c>
      <c r="M769" s="11">
        <v>2014</v>
      </c>
      <c r="N769" s="11">
        <v>2014</v>
      </c>
      <c r="O769" s="15"/>
      <c r="P769" s="8">
        <v>42346</v>
      </c>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4" t="s">
        <v>3295</v>
      </c>
      <c r="AY769" s="5" t="s">
        <v>3641</v>
      </c>
      <c r="AZ769" s="5" t="s">
        <v>158</v>
      </c>
      <c r="BA769" s="12"/>
      <c r="BB769" s="12"/>
      <c r="BC769" s="12"/>
      <c r="BD769" s="11">
        <v>1</v>
      </c>
      <c r="BE769" s="11">
        <v>1</v>
      </c>
    </row>
    <row x14ac:dyDescent="0.25" r="770" customHeight="1" ht="15.75">
      <c r="A770" s="11">
        <v>13318584</v>
      </c>
      <c r="B770" s="4" t="s">
        <v>3642</v>
      </c>
      <c r="C770" s="5" t="s">
        <v>3643</v>
      </c>
      <c r="D770" s="5" t="s">
        <v>3644</v>
      </c>
      <c r="E770" s="12"/>
      <c r="F770" s="13">
        <f>"0547840179"</f>
      </c>
      <c r="G770" s="13">
        <f>"9780547840178"</f>
      </c>
      <c r="H770" s="11">
        <v>0</v>
      </c>
      <c r="I770" s="14">
        <v>3.96</v>
      </c>
      <c r="J770" s="7" t="s">
        <v>434</v>
      </c>
      <c r="K770" s="5" t="s">
        <v>60</v>
      </c>
      <c r="L770" s="11">
        <v>176</v>
      </c>
      <c r="M770" s="11">
        <v>2012</v>
      </c>
      <c r="N770" s="11">
        <v>2009</v>
      </c>
      <c r="O770" s="15"/>
      <c r="P770" s="8">
        <v>42375</v>
      </c>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4" t="s">
        <v>2460</v>
      </c>
      <c r="AY770" s="5" t="s">
        <v>3645</v>
      </c>
      <c r="AZ770" s="5" t="s">
        <v>38</v>
      </c>
      <c r="BA770" s="12"/>
      <c r="BB770" s="12"/>
      <c r="BC770" s="12"/>
      <c r="BD770" s="11">
        <v>0</v>
      </c>
      <c r="BE770" s="11">
        <v>1</v>
      </c>
    </row>
    <row x14ac:dyDescent="0.25" r="771" customHeight="1" ht="17.25">
      <c r="A771" s="11">
        <v>8545225</v>
      </c>
      <c r="B771" s="4" t="s">
        <v>3646</v>
      </c>
      <c r="C771" s="5" t="s">
        <v>3647</v>
      </c>
      <c r="D771" s="5" t="s">
        <v>3648</v>
      </c>
      <c r="E771" s="12"/>
      <c r="F771" s="13">
        <f>"0374532877"</f>
      </c>
      <c r="G771" s="13">
        <f>"9780374532871"</f>
      </c>
      <c r="H771" s="11">
        <v>0</v>
      </c>
      <c r="I771" s="14">
        <v>3.75</v>
      </c>
      <c r="J771" s="7" t="s">
        <v>120</v>
      </c>
      <c r="K771" s="5" t="s">
        <v>60</v>
      </c>
      <c r="L771" s="11">
        <v>431</v>
      </c>
      <c r="M771" s="11">
        <v>2010</v>
      </c>
      <c r="N771" s="11">
        <v>2010</v>
      </c>
      <c r="O771" s="8">
        <v>42864</v>
      </c>
      <c r="P771" s="8">
        <v>42557</v>
      </c>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4" t="s">
        <v>3649</v>
      </c>
      <c r="AY771" s="5" t="s">
        <v>3650</v>
      </c>
      <c r="AZ771" s="5" t="s">
        <v>158</v>
      </c>
      <c r="BA771" s="12"/>
      <c r="BB771" s="12"/>
      <c r="BC771" s="12"/>
      <c r="BD771" s="11">
        <v>1</v>
      </c>
      <c r="BE771" s="11">
        <v>1</v>
      </c>
    </row>
    <row x14ac:dyDescent="0.25" r="772" customHeight="1" ht="15.75">
      <c r="A772" s="11">
        <v>25622258</v>
      </c>
      <c r="B772" s="4" t="s">
        <v>3651</v>
      </c>
      <c r="C772" s="5" t="s">
        <v>3652</v>
      </c>
      <c r="D772" s="5" t="s">
        <v>3653</v>
      </c>
      <c r="E772" s="12"/>
      <c r="F772" s="13">
        <f>"0393351718"</f>
      </c>
      <c r="G772" s="13">
        <f>"9780393351712"</f>
      </c>
      <c r="H772" s="11">
        <v>0</v>
      </c>
      <c r="I772" s="14">
        <v>3.68</v>
      </c>
      <c r="J772" s="7" t="s">
        <v>144</v>
      </c>
      <c r="K772" s="5" t="s">
        <v>60</v>
      </c>
      <c r="L772" s="11">
        <v>530</v>
      </c>
      <c r="M772" s="11">
        <v>2015</v>
      </c>
      <c r="N772" s="11">
        <v>2014</v>
      </c>
      <c r="O772" s="15"/>
      <c r="P772" s="9">
        <v>42362</v>
      </c>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4" t="s">
        <v>3488</v>
      </c>
      <c r="AY772" s="5" t="s">
        <v>3654</v>
      </c>
      <c r="AZ772" s="5" t="s">
        <v>38</v>
      </c>
      <c r="BA772" s="12"/>
      <c r="BB772" s="12"/>
      <c r="BC772" s="12"/>
      <c r="BD772" s="11">
        <v>1</v>
      </c>
      <c r="BE772" s="11">
        <v>1</v>
      </c>
    </row>
    <row x14ac:dyDescent="0.25" r="773" customHeight="1" ht="15.75">
      <c r="A773" s="11">
        <v>17978434</v>
      </c>
      <c r="B773" s="4" t="s">
        <v>3655</v>
      </c>
      <c r="C773" s="5" t="s">
        <v>3656</v>
      </c>
      <c r="D773" s="5" t="s">
        <v>3657</v>
      </c>
      <c r="E773" s="5" t="s">
        <v>3656</v>
      </c>
      <c r="F773" s="13">
        <f>"0307745422"</f>
      </c>
      <c r="G773" s="13">
        <f>"9780307745422"</f>
      </c>
      <c r="H773" s="11">
        <v>0</v>
      </c>
      <c r="I773" s="14">
        <v>3.44</v>
      </c>
      <c r="J773" s="7" t="s">
        <v>114</v>
      </c>
      <c r="K773" s="5" t="s">
        <v>60</v>
      </c>
      <c r="L773" s="11">
        <v>224</v>
      </c>
      <c r="M773" s="11">
        <v>2014</v>
      </c>
      <c r="N773" s="11">
        <v>2011</v>
      </c>
      <c r="O773" s="15"/>
      <c r="P773" s="8">
        <v>42345</v>
      </c>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4" t="s">
        <v>2460</v>
      </c>
      <c r="AY773" s="5" t="s">
        <v>3658</v>
      </c>
      <c r="AZ773" s="5" t="s">
        <v>38</v>
      </c>
      <c r="BA773" s="12"/>
      <c r="BB773" s="12"/>
      <c r="BC773" s="12"/>
      <c r="BD773" s="11">
        <v>0</v>
      </c>
      <c r="BE773" s="11">
        <v>1</v>
      </c>
    </row>
    <row x14ac:dyDescent="0.25" r="774" customHeight="1" ht="17.25">
      <c r="A774" s="11">
        <v>12074805</v>
      </c>
      <c r="B774" s="4" t="s">
        <v>3659</v>
      </c>
      <c r="C774" s="5" t="s">
        <v>3660</v>
      </c>
      <c r="D774" s="5" t="s">
        <v>3661</v>
      </c>
      <c r="E774" s="12"/>
      <c r="F774" s="13">
        <f>"1849350884"</f>
      </c>
      <c r="G774" s="13">
        <f>"9781849350884"</f>
      </c>
      <c r="H774" s="11">
        <v>4</v>
      </c>
      <c r="I774" s="14">
        <v>3.95</v>
      </c>
      <c r="J774" s="7" t="s">
        <v>3662</v>
      </c>
      <c r="K774" s="5" t="s">
        <v>60</v>
      </c>
      <c r="L774" s="11">
        <v>212</v>
      </c>
      <c r="M774" s="11">
        <v>2012</v>
      </c>
      <c r="N774" s="11">
        <v>2012</v>
      </c>
      <c r="O774" s="15"/>
      <c r="P774" s="8">
        <v>41951</v>
      </c>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4" t="s">
        <v>3164</v>
      </c>
      <c r="AY774" s="5" t="s">
        <v>3663</v>
      </c>
      <c r="AZ774" s="5" t="s">
        <v>38</v>
      </c>
      <c r="BA774" s="12"/>
      <c r="BB774" s="12"/>
      <c r="BC774" s="12"/>
      <c r="BD774" s="11">
        <v>1</v>
      </c>
      <c r="BE774" s="11">
        <v>1</v>
      </c>
    </row>
    <row x14ac:dyDescent="0.25" r="775" customHeight="1" ht="15.75">
      <c r="A775" s="11">
        <v>18406708</v>
      </c>
      <c r="B775" s="4" t="s">
        <v>3664</v>
      </c>
      <c r="C775" s="5" t="s">
        <v>3665</v>
      </c>
      <c r="D775" s="5" t="s">
        <v>3666</v>
      </c>
      <c r="E775" s="5" t="s">
        <v>3667</v>
      </c>
      <c r="F775" s="13">
        <f>"193188336X"</f>
      </c>
      <c r="G775" s="13">
        <f>"9781931883368"</f>
      </c>
      <c r="H775" s="11">
        <v>2</v>
      </c>
      <c r="I775" s="14">
        <v>3.35</v>
      </c>
      <c r="J775" s="7" t="s">
        <v>3600</v>
      </c>
      <c r="K775" s="5" t="s">
        <v>60</v>
      </c>
      <c r="L775" s="11">
        <v>176</v>
      </c>
      <c r="M775" s="11">
        <v>2014</v>
      </c>
      <c r="N775" s="11">
        <v>2008</v>
      </c>
      <c r="O775" s="15"/>
      <c r="P775" s="8">
        <v>41951</v>
      </c>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4" t="s">
        <v>3601</v>
      </c>
      <c r="AY775" s="5" t="s">
        <v>3668</v>
      </c>
      <c r="AZ775" s="5" t="s">
        <v>158</v>
      </c>
      <c r="BA775" s="12"/>
      <c r="BB775" s="12"/>
      <c r="BC775" s="12"/>
      <c r="BD775" s="11">
        <v>1</v>
      </c>
      <c r="BE775" s="11">
        <v>1</v>
      </c>
    </row>
    <row x14ac:dyDescent="0.25" r="776" customHeight="1" ht="17.25">
      <c r="A776" s="11">
        <v>7389458</v>
      </c>
      <c r="B776" s="4" t="s">
        <v>3669</v>
      </c>
      <c r="C776" s="5" t="s">
        <v>3670</v>
      </c>
      <c r="D776" s="5" t="s">
        <v>3671</v>
      </c>
      <c r="E776" s="12"/>
      <c r="F776" s="13">
        <f>"0262232626"</f>
      </c>
      <c r="G776" s="13">
        <f>"9780262232623"</f>
      </c>
      <c r="H776" s="11">
        <v>0</v>
      </c>
      <c r="I776" s="14">
        <v>4.46</v>
      </c>
      <c r="J776" s="7" t="s">
        <v>2656</v>
      </c>
      <c r="K776" s="5" t="s">
        <v>72</v>
      </c>
      <c r="L776" s="11">
        <v>328</v>
      </c>
      <c r="M776" s="11">
        <v>2010</v>
      </c>
      <c r="N776" s="11">
        <v>2008</v>
      </c>
      <c r="O776" s="15"/>
      <c r="P776" s="8">
        <v>42158</v>
      </c>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4" t="s">
        <v>3164</v>
      </c>
      <c r="AY776" s="5" t="s">
        <v>3672</v>
      </c>
      <c r="AZ776" s="5" t="s">
        <v>38</v>
      </c>
      <c r="BA776" s="12"/>
      <c r="BB776" s="12"/>
      <c r="BC776" s="12"/>
      <c r="BD776" s="11">
        <v>0</v>
      </c>
      <c r="BE776" s="11">
        <v>1</v>
      </c>
    </row>
    <row x14ac:dyDescent="0.25" r="777" customHeight="1" ht="15.75">
      <c r="A777" s="11">
        <v>57308180</v>
      </c>
      <c r="B777" s="4" t="s">
        <v>3673</v>
      </c>
      <c r="C777" s="5" t="s">
        <v>3674</v>
      </c>
      <c r="D777" s="5" t="s">
        <v>3675</v>
      </c>
      <c r="E777" s="12"/>
      <c r="F777" s="13">
        <f>""</f>
      </c>
      <c r="G777" s="13">
        <f>""</f>
      </c>
      <c r="H777" s="11">
        <v>0</v>
      </c>
      <c r="I777" s="14">
        <v>3.86</v>
      </c>
      <c r="J777" s="7" t="s">
        <v>3676</v>
      </c>
      <c r="K777" s="5" t="s">
        <v>72</v>
      </c>
      <c r="L777" s="11">
        <v>236</v>
      </c>
      <c r="M777" s="11">
        <v>1988</v>
      </c>
      <c r="N777" s="11">
        <v>1818</v>
      </c>
      <c r="O777" s="8">
        <v>41704</v>
      </c>
      <c r="P777" s="8">
        <v>41658</v>
      </c>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4" t="s">
        <v>3601</v>
      </c>
      <c r="AY777" s="5" t="s">
        <v>3677</v>
      </c>
      <c r="AZ777" s="5" t="s">
        <v>158</v>
      </c>
      <c r="BA777" s="5" t="s">
        <v>3678</v>
      </c>
      <c r="BB777" s="12"/>
      <c r="BC777" s="12"/>
      <c r="BD777" s="11">
        <v>1</v>
      </c>
      <c r="BE777" s="11">
        <v>1</v>
      </c>
    </row>
    <row x14ac:dyDescent="0.25" r="778" customHeight="1" ht="17.25">
      <c r="A778" s="11">
        <v>18765</v>
      </c>
      <c r="B778" s="4" t="s">
        <v>3679</v>
      </c>
      <c r="C778" s="5" t="s">
        <v>565</v>
      </c>
      <c r="D778" s="5" t="s">
        <v>566</v>
      </c>
      <c r="E778" s="12"/>
      <c r="F778" s="13">
        <f>"067972477X"</f>
      </c>
      <c r="G778" s="13">
        <f>"9780679724773"</f>
      </c>
      <c r="H778" s="11">
        <v>0</v>
      </c>
      <c r="I778" s="14">
        <v>4.24</v>
      </c>
      <c r="J778" s="7" t="s">
        <v>114</v>
      </c>
      <c r="K778" s="5" t="s">
        <v>60</v>
      </c>
      <c r="L778" s="11">
        <v>468</v>
      </c>
      <c r="M778" s="11">
        <v>1989</v>
      </c>
      <c r="N778" s="11">
        <v>1934</v>
      </c>
      <c r="O778" s="8">
        <v>41651</v>
      </c>
      <c r="P778" s="9">
        <v>41620</v>
      </c>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4" t="s">
        <v>3501</v>
      </c>
      <c r="AY778" s="5" t="s">
        <v>3680</v>
      </c>
      <c r="AZ778" s="5" t="s">
        <v>38</v>
      </c>
      <c r="BA778" s="12"/>
      <c r="BB778" s="12"/>
      <c r="BC778" s="12"/>
      <c r="BD778" s="11">
        <v>1</v>
      </c>
      <c r="BE778" s="11">
        <v>1</v>
      </c>
    </row>
    <row x14ac:dyDescent="0.25" r="779" customHeight="1" ht="15.75">
      <c r="A779" s="11">
        <v>16000334</v>
      </c>
      <c r="B779" s="4" t="s">
        <v>3681</v>
      </c>
      <c r="C779" s="5" t="s">
        <v>3682</v>
      </c>
      <c r="D779" s="5" t="s">
        <v>3683</v>
      </c>
      <c r="E779" s="12"/>
      <c r="F779" s="13">
        <f>"1935639536"</f>
      </c>
      <c r="G779" s="13">
        <f>"9781935639534"</f>
      </c>
      <c r="H779" s="11">
        <v>4</v>
      </c>
      <c r="I779" s="14">
        <v>4.1</v>
      </c>
      <c r="J779" s="7" t="s">
        <v>1006</v>
      </c>
      <c r="K779" s="5" t="s">
        <v>60</v>
      </c>
      <c r="L779" s="11">
        <v>187</v>
      </c>
      <c r="M779" s="11">
        <v>2013</v>
      </c>
      <c r="N779" s="11">
        <v>2010</v>
      </c>
      <c r="O779" s="8">
        <v>41464</v>
      </c>
      <c r="P779" s="8">
        <v>41456</v>
      </c>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4" t="s">
        <v>3601</v>
      </c>
      <c r="AY779" s="5" t="s">
        <v>3684</v>
      </c>
      <c r="AZ779" s="5" t="s">
        <v>158</v>
      </c>
      <c r="BA779" s="12"/>
      <c r="BB779" s="12"/>
      <c r="BC779" s="12"/>
      <c r="BD779" s="11">
        <v>1</v>
      </c>
      <c r="BE779" s="11">
        <v>1</v>
      </c>
    </row>
    <row x14ac:dyDescent="0.25" r="780" customHeight="1" ht="15.75">
      <c r="A780" s="11">
        <v>4929</v>
      </c>
      <c r="B780" s="4" t="s">
        <v>3685</v>
      </c>
      <c r="C780" s="5" t="s">
        <v>3686</v>
      </c>
      <c r="D780" s="5" t="s">
        <v>3687</v>
      </c>
      <c r="E780" s="5" t="s">
        <v>3688</v>
      </c>
      <c r="F780" s="13">
        <f>"1400079276"</f>
      </c>
      <c r="G780" s="13">
        <f>"9781400079278"</f>
      </c>
      <c r="H780" s="11">
        <v>3</v>
      </c>
      <c r="I780" s="14">
        <v>4.13</v>
      </c>
      <c r="J780" s="7" t="s">
        <v>284</v>
      </c>
      <c r="K780" s="5" t="s">
        <v>60</v>
      </c>
      <c r="L780" s="11">
        <v>467</v>
      </c>
      <c r="M780" s="11">
        <v>2006</v>
      </c>
      <c r="N780" s="11">
        <v>2002</v>
      </c>
      <c r="O780" s="8">
        <v>41488</v>
      </c>
      <c r="P780" s="8">
        <v>41063</v>
      </c>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4" t="s">
        <v>3601</v>
      </c>
      <c r="AY780" s="5" t="s">
        <v>3689</v>
      </c>
      <c r="AZ780" s="5" t="s">
        <v>158</v>
      </c>
      <c r="BA780" s="5" t="s">
        <v>3690</v>
      </c>
      <c r="BB780" s="12"/>
      <c r="BC780" s="12"/>
      <c r="BD780" s="11">
        <v>1</v>
      </c>
      <c r="BE780" s="11">
        <v>1</v>
      </c>
    </row>
    <row x14ac:dyDescent="0.25" r="781" customHeight="1" ht="17.25">
      <c r="A781" s="11">
        <v>9811933</v>
      </c>
      <c r="B781" s="4" t="s">
        <v>3691</v>
      </c>
      <c r="C781" s="5" t="s">
        <v>3692</v>
      </c>
      <c r="D781" s="5" t="s">
        <v>3693</v>
      </c>
      <c r="E781" s="12"/>
      <c r="F781" s="13">
        <f>"0982206720"</f>
      </c>
      <c r="G781" s="13">
        <f>"9780982206720"</f>
      </c>
      <c r="H781" s="11">
        <v>3</v>
      </c>
      <c r="I781" s="14">
        <v>3.96</v>
      </c>
      <c r="J781" s="7" t="s">
        <v>3694</v>
      </c>
      <c r="K781" s="5" t="s">
        <v>60</v>
      </c>
      <c r="L781" s="11">
        <v>96</v>
      </c>
      <c r="M781" s="11">
        <v>2011</v>
      </c>
      <c r="N781" s="11">
        <v>2011</v>
      </c>
      <c r="O781" s="8">
        <v>41080</v>
      </c>
      <c r="P781" s="8">
        <v>41042</v>
      </c>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4" t="s">
        <v>3186</v>
      </c>
      <c r="AY781" s="5" t="s">
        <v>3695</v>
      </c>
      <c r="AZ781" s="5" t="s">
        <v>38</v>
      </c>
      <c r="BA781" s="12"/>
      <c r="BB781" s="12"/>
      <c r="BC781" s="12"/>
      <c r="BD781" s="11">
        <v>1</v>
      </c>
      <c r="BE781" s="11">
        <v>1</v>
      </c>
    </row>
    <row x14ac:dyDescent="0.25" r="782" customHeight="1" ht="17.25">
      <c r="A782" s="11">
        <v>36183745</v>
      </c>
      <c r="B782" s="4" t="s">
        <v>3696</v>
      </c>
      <c r="C782" s="5" t="s">
        <v>2049</v>
      </c>
      <c r="D782" s="5" t="s">
        <v>3697</v>
      </c>
      <c r="E782" s="12"/>
      <c r="F782" s="13">
        <f>"1606712926"</f>
      </c>
      <c r="G782" s="13">
        <f>"9781606712924"</f>
      </c>
      <c r="H782" s="11">
        <v>0</v>
      </c>
      <c r="I782" s="14">
        <v>3.88</v>
      </c>
      <c r="J782" s="7" t="s">
        <v>3698</v>
      </c>
      <c r="K782" s="5" t="s">
        <v>72</v>
      </c>
      <c r="L782" s="16"/>
      <c r="M782" s="11">
        <v>1993</v>
      </c>
      <c r="N782" s="11">
        <v>1993</v>
      </c>
      <c r="O782" s="15"/>
      <c r="P782" s="8">
        <v>45163</v>
      </c>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4" t="s">
        <v>2015</v>
      </c>
      <c r="AY782" s="5" t="s">
        <v>3699</v>
      </c>
      <c r="AZ782" s="5" t="s">
        <v>38</v>
      </c>
      <c r="BA782" s="12"/>
      <c r="BB782" s="12"/>
      <c r="BC782" s="5" t="s">
        <v>2462</v>
      </c>
      <c r="BD782" s="11">
        <v>0</v>
      </c>
      <c r="BE782" s="11">
        <v>1</v>
      </c>
    </row>
    <row x14ac:dyDescent="0.25" r="783" customHeight="1" ht="17.25">
      <c r="A783" s="11">
        <v>29330467</v>
      </c>
      <c r="B783" s="4" t="s">
        <v>3700</v>
      </c>
      <c r="C783" s="5" t="s">
        <v>3701</v>
      </c>
      <c r="D783" s="5" t="s">
        <v>3702</v>
      </c>
      <c r="E783" s="12"/>
      <c r="F783" s="13">
        <f>"1530107261"</f>
      </c>
      <c r="G783" s="13">
        <f>"9781530107261"</f>
      </c>
      <c r="H783" s="11">
        <v>0</v>
      </c>
      <c r="I783" s="14">
        <v>3.74</v>
      </c>
      <c r="J783" s="7" t="s">
        <v>3703</v>
      </c>
      <c r="K783" s="5" t="s">
        <v>60</v>
      </c>
      <c r="L783" s="11">
        <v>166</v>
      </c>
      <c r="M783" s="11">
        <v>2016</v>
      </c>
      <c r="N783" s="11">
        <v>1597</v>
      </c>
      <c r="O783" s="15"/>
      <c r="P783" s="8">
        <v>45163</v>
      </c>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4" t="s">
        <v>3154</v>
      </c>
      <c r="AY783" s="5" t="s">
        <v>3704</v>
      </c>
      <c r="AZ783" s="5" t="s">
        <v>38</v>
      </c>
      <c r="BA783" s="12"/>
      <c r="BB783" s="12"/>
      <c r="BC783" s="5" t="s">
        <v>2462</v>
      </c>
      <c r="BD783" s="11">
        <v>0</v>
      </c>
      <c r="BE783" s="11">
        <v>1</v>
      </c>
    </row>
    <row x14ac:dyDescent="0.25" r="784" customHeight="1" ht="15.75">
      <c r="A784" s="11">
        <v>4266011</v>
      </c>
      <c r="B784" s="4" t="s">
        <v>3705</v>
      </c>
      <c r="C784" s="5" t="s">
        <v>3634</v>
      </c>
      <c r="D784" s="5" t="s">
        <v>3635</v>
      </c>
      <c r="E784" s="12"/>
      <c r="F784" s="13">
        <f>"0684842696"</f>
      </c>
      <c r="G784" s="13">
        <f>"9780684842691"</f>
      </c>
      <c r="H784" s="11">
        <v>0</v>
      </c>
      <c r="I784" s="14">
        <v>3.94</v>
      </c>
      <c r="J784" s="7" t="s">
        <v>132</v>
      </c>
      <c r="K784" s="5" t="s">
        <v>72</v>
      </c>
      <c r="L784" s="11">
        <v>827</v>
      </c>
      <c r="M784" s="11">
        <v>1997</v>
      </c>
      <c r="N784" s="11">
        <v>1997</v>
      </c>
      <c r="O784" s="15"/>
      <c r="P784" s="8">
        <v>45163</v>
      </c>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4" t="s">
        <v>2460</v>
      </c>
      <c r="AY784" s="5" t="s">
        <v>3706</v>
      </c>
      <c r="AZ784" s="5" t="s">
        <v>38</v>
      </c>
      <c r="BA784" s="12"/>
      <c r="BB784" s="12"/>
      <c r="BC784" s="12"/>
      <c r="BD784" s="11">
        <v>0</v>
      </c>
      <c r="BE784" s="11">
        <v>1</v>
      </c>
    </row>
    <row x14ac:dyDescent="0.25" r="785" customHeight="1" ht="17.25">
      <c r="A785" s="11">
        <v>20552271</v>
      </c>
      <c r="B785" s="4" t="s">
        <v>3707</v>
      </c>
      <c r="C785" s="5" t="s">
        <v>3708</v>
      </c>
      <c r="D785" s="5" t="s">
        <v>3709</v>
      </c>
      <c r="E785" s="5" t="s">
        <v>3710</v>
      </c>
      <c r="F785" s="13">
        <f>""</f>
      </c>
      <c r="G785" s="13">
        <f>""</f>
      </c>
      <c r="H785" s="11">
        <v>0</v>
      </c>
      <c r="I785" s="14">
        <v>4.03</v>
      </c>
      <c r="J785" s="7" t="s">
        <v>3711</v>
      </c>
      <c r="K785" s="5" t="s">
        <v>60</v>
      </c>
      <c r="L785" s="11">
        <v>332</v>
      </c>
      <c r="M785" s="11">
        <v>1954</v>
      </c>
      <c r="N785" s="16"/>
      <c r="O785" s="15"/>
      <c r="P785" s="8">
        <v>45161</v>
      </c>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4" t="s">
        <v>3359</v>
      </c>
      <c r="AY785" s="5" t="s">
        <v>3712</v>
      </c>
      <c r="AZ785" s="5" t="s">
        <v>38</v>
      </c>
      <c r="BA785" s="12"/>
      <c r="BB785" s="12"/>
      <c r="BC785" s="12"/>
      <c r="BD785" s="11">
        <v>0</v>
      </c>
      <c r="BE785" s="11">
        <v>1</v>
      </c>
    </row>
    <row x14ac:dyDescent="0.25" r="786" customHeight="1" ht="17.25">
      <c r="A786" s="11">
        <v>2462024</v>
      </c>
      <c r="B786" s="4" t="s">
        <v>3713</v>
      </c>
      <c r="C786" s="5" t="s">
        <v>1285</v>
      </c>
      <c r="D786" s="5" t="s">
        <v>1286</v>
      </c>
      <c r="E786" s="5" t="s">
        <v>3714</v>
      </c>
      <c r="F786" s="13">
        <f>"8402081770"</f>
      </c>
      <c r="G786" s="13">
        <f>"9788402081773"</f>
      </c>
      <c r="H786" s="11">
        <v>0</v>
      </c>
      <c r="I786" s="14">
        <v>4.06</v>
      </c>
      <c r="J786" s="7" t="s">
        <v>3715</v>
      </c>
      <c r="K786" s="5" t="s">
        <v>60</v>
      </c>
      <c r="L786" s="11">
        <v>210</v>
      </c>
      <c r="M786" s="11">
        <v>1981</v>
      </c>
      <c r="N786" s="11">
        <v>1957</v>
      </c>
      <c r="O786" s="15"/>
      <c r="P786" s="8">
        <v>45161</v>
      </c>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4" t="s">
        <v>3191</v>
      </c>
      <c r="AY786" s="5" t="s">
        <v>3716</v>
      </c>
      <c r="AZ786" s="5" t="s">
        <v>38</v>
      </c>
      <c r="BA786" s="12"/>
      <c r="BB786" s="12"/>
      <c r="BC786" s="5" t="s">
        <v>3717</v>
      </c>
      <c r="BD786" s="11">
        <v>0</v>
      </c>
      <c r="BE786" s="11">
        <v>1</v>
      </c>
    </row>
    <row x14ac:dyDescent="0.25" r="787" customHeight="1" ht="17.25">
      <c r="A787" s="11">
        <v>171061051</v>
      </c>
      <c r="B787" s="4" t="s">
        <v>3718</v>
      </c>
      <c r="C787" s="5" t="s">
        <v>3719</v>
      </c>
      <c r="D787" s="5" t="s">
        <v>3720</v>
      </c>
      <c r="E787" s="12"/>
      <c r="F787" s="13">
        <f>""</f>
      </c>
      <c r="G787" s="13">
        <f>""</f>
      </c>
      <c r="H787" s="11">
        <v>0</v>
      </c>
      <c r="I787" s="14">
        <v>3.75</v>
      </c>
      <c r="J787" s="7" t="s">
        <v>3721</v>
      </c>
      <c r="K787" s="5" t="s">
        <v>60</v>
      </c>
      <c r="L787" s="11">
        <v>461</v>
      </c>
      <c r="M787" s="11">
        <v>1950</v>
      </c>
      <c r="N787" s="11">
        <v>1950</v>
      </c>
      <c r="O787" s="15"/>
      <c r="P787" s="8">
        <v>45161</v>
      </c>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4" t="s">
        <v>3359</v>
      </c>
      <c r="AY787" s="5" t="s">
        <v>3722</v>
      </c>
      <c r="AZ787" s="5" t="s">
        <v>38</v>
      </c>
      <c r="BA787" s="12"/>
      <c r="BB787" s="12"/>
      <c r="BC787" s="12"/>
      <c r="BD787" s="11">
        <v>0</v>
      </c>
      <c r="BE787" s="11">
        <v>1</v>
      </c>
    </row>
    <row x14ac:dyDescent="0.25" r="788" customHeight="1" ht="17.25">
      <c r="A788" s="11">
        <v>1846774</v>
      </c>
      <c r="B788" s="4" t="s">
        <v>3723</v>
      </c>
      <c r="C788" s="5" t="s">
        <v>3724</v>
      </c>
      <c r="D788" s="5" t="s">
        <v>3725</v>
      </c>
      <c r="E788" s="5" t="s">
        <v>3726</v>
      </c>
      <c r="F788" s="13">
        <f>"0871922835"</f>
      </c>
      <c r="G788" s="13">
        <f>"9780871922830"</f>
      </c>
      <c r="H788" s="11">
        <v>0</v>
      </c>
      <c r="I788" s="14">
        <v>3.94</v>
      </c>
      <c r="J788" s="7" t="s">
        <v>3727</v>
      </c>
      <c r="K788" s="5" t="s">
        <v>72</v>
      </c>
      <c r="L788" s="11">
        <v>228</v>
      </c>
      <c r="M788" s="11">
        <v>1995</v>
      </c>
      <c r="N788" s="11">
        <v>1988</v>
      </c>
      <c r="O788" s="15"/>
      <c r="P788" s="8">
        <v>45161</v>
      </c>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4" t="s">
        <v>3216</v>
      </c>
      <c r="AY788" s="5" t="s">
        <v>3728</v>
      </c>
      <c r="AZ788" s="5" t="s">
        <v>38</v>
      </c>
      <c r="BA788" s="12"/>
      <c r="BB788" s="12"/>
      <c r="BC788" s="12"/>
      <c r="BD788" s="11">
        <v>0</v>
      </c>
      <c r="BE788" s="11">
        <v>1</v>
      </c>
    </row>
    <row x14ac:dyDescent="0.25" r="789" customHeight="1" ht="17.25">
      <c r="A789" s="11">
        <v>8193142</v>
      </c>
      <c r="B789" s="4" t="s">
        <v>3729</v>
      </c>
      <c r="C789" s="5" t="s">
        <v>3730</v>
      </c>
      <c r="D789" s="5" t="s">
        <v>3731</v>
      </c>
      <c r="E789" s="12"/>
      <c r="F789" s="13">
        <f>""</f>
      </c>
      <c r="G789" s="13">
        <f>""</f>
      </c>
      <c r="H789" s="11">
        <v>0</v>
      </c>
      <c r="I789" s="14">
        <v>4.06</v>
      </c>
      <c r="J789" s="7" t="s">
        <v>3542</v>
      </c>
      <c r="K789" s="5" t="s">
        <v>60</v>
      </c>
      <c r="L789" s="11">
        <v>191</v>
      </c>
      <c r="M789" s="11">
        <v>1953</v>
      </c>
      <c r="N789" s="11">
        <v>1953</v>
      </c>
      <c r="O789" s="15"/>
      <c r="P789" s="8">
        <v>45160</v>
      </c>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4" t="s">
        <v>3359</v>
      </c>
      <c r="AY789" s="5" t="s">
        <v>3732</v>
      </c>
      <c r="AZ789" s="5" t="s">
        <v>38</v>
      </c>
      <c r="BA789" s="12"/>
      <c r="BB789" s="12"/>
      <c r="BC789" s="12"/>
      <c r="BD789" s="11">
        <v>0</v>
      </c>
      <c r="BE789" s="11">
        <v>1</v>
      </c>
    </row>
    <row x14ac:dyDescent="0.25" r="790" customHeight="1" ht="15.75">
      <c r="A790" s="11">
        <v>186926</v>
      </c>
      <c r="B790" s="4" t="s">
        <v>3733</v>
      </c>
      <c r="C790" s="5" t="s">
        <v>3734</v>
      </c>
      <c r="D790" s="5" t="s">
        <v>3735</v>
      </c>
      <c r="E790" s="12"/>
      <c r="F790" s="13">
        <f>"0395901499"</f>
      </c>
      <c r="G790" s="13">
        <f>"9780395901496"</f>
      </c>
      <c r="H790" s="11">
        <v>0</v>
      </c>
      <c r="I790" s="14">
        <v>4.26</v>
      </c>
      <c r="J790" s="7" t="s">
        <v>434</v>
      </c>
      <c r="K790" s="5" t="s">
        <v>60</v>
      </c>
      <c r="L790" s="11">
        <v>435</v>
      </c>
      <c r="M790" s="11">
        <v>1998</v>
      </c>
      <c r="N790" s="11">
        <v>1946</v>
      </c>
      <c r="O790" s="15"/>
      <c r="P790" s="8">
        <v>45160</v>
      </c>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4" t="s">
        <v>2460</v>
      </c>
      <c r="AY790" s="5" t="s">
        <v>3736</v>
      </c>
      <c r="AZ790" s="5" t="s">
        <v>38</v>
      </c>
      <c r="BA790" s="12"/>
      <c r="BB790" s="12"/>
      <c r="BC790" s="12"/>
      <c r="BD790" s="11">
        <v>0</v>
      </c>
      <c r="BE790" s="11">
        <v>1</v>
      </c>
    </row>
    <row x14ac:dyDescent="0.25" r="791" customHeight="1" ht="17.25">
      <c r="A791" s="11">
        <v>3939653</v>
      </c>
      <c r="B791" s="4" t="s">
        <v>3737</v>
      </c>
      <c r="C791" s="5" t="s">
        <v>3738</v>
      </c>
      <c r="D791" s="5" t="s">
        <v>3739</v>
      </c>
      <c r="E791" s="12"/>
      <c r="F791" s="13">
        <f>"0394755472"</f>
      </c>
      <c r="G791" s="13">
        <f>"9780394755472"</f>
      </c>
      <c r="H791" s="11">
        <v>0</v>
      </c>
      <c r="I791" s="14">
        <v>3.98</v>
      </c>
      <c r="J791" s="7" t="s">
        <v>1765</v>
      </c>
      <c r="K791" s="5" t="s">
        <v>60</v>
      </c>
      <c r="L791" s="11">
        <v>224</v>
      </c>
      <c r="M791" s="11">
        <v>1989</v>
      </c>
      <c r="N791" s="11">
        <v>1983</v>
      </c>
      <c r="O791" s="15"/>
      <c r="P791" s="8">
        <v>45160</v>
      </c>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4" t="s">
        <v>3216</v>
      </c>
      <c r="AY791" s="5" t="s">
        <v>3740</v>
      </c>
      <c r="AZ791" s="5" t="s">
        <v>38</v>
      </c>
      <c r="BA791" s="12"/>
      <c r="BB791" s="12"/>
      <c r="BC791" s="12"/>
      <c r="BD791" s="11">
        <v>0</v>
      </c>
      <c r="BE791" s="11">
        <v>1</v>
      </c>
    </row>
    <row x14ac:dyDescent="0.25" r="792" customHeight="1" ht="15.75">
      <c r="A792" s="11">
        <v>1256859</v>
      </c>
      <c r="B792" s="4" t="s">
        <v>3741</v>
      </c>
      <c r="C792" s="5" t="s">
        <v>3742</v>
      </c>
      <c r="D792" s="5" t="s">
        <v>3743</v>
      </c>
      <c r="E792" s="12"/>
      <c r="F792" s="13">
        <f>"0893753564"</f>
      </c>
      <c r="G792" s="13">
        <f>"9780893753566"</f>
      </c>
      <c r="H792" s="11">
        <v>0</v>
      </c>
      <c r="I792" s="14">
        <v>4.07</v>
      </c>
      <c r="J792" s="7" t="s">
        <v>3744</v>
      </c>
      <c r="K792" s="5" t="s">
        <v>346</v>
      </c>
      <c r="L792" s="11">
        <v>124</v>
      </c>
      <c r="M792" s="11">
        <v>1980</v>
      </c>
      <c r="N792" s="11">
        <v>1843</v>
      </c>
      <c r="O792" s="15"/>
      <c r="P792" s="8">
        <v>45160</v>
      </c>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4" t="s">
        <v>2460</v>
      </c>
      <c r="AY792" s="5" t="s">
        <v>3745</v>
      </c>
      <c r="AZ792" s="5" t="s">
        <v>38</v>
      </c>
      <c r="BA792" s="12"/>
      <c r="BB792" s="12"/>
      <c r="BC792" s="12"/>
      <c r="BD792" s="11">
        <v>0</v>
      </c>
      <c r="BE792" s="11">
        <v>1</v>
      </c>
    </row>
    <row x14ac:dyDescent="0.25" r="793" customHeight="1" ht="17.25">
      <c r="A793" s="11">
        <v>36649474</v>
      </c>
      <c r="B793" s="4" t="s">
        <v>3746</v>
      </c>
      <c r="C793" s="5" t="s">
        <v>3747</v>
      </c>
      <c r="D793" s="5" t="s">
        <v>3748</v>
      </c>
      <c r="E793" s="12"/>
      <c r="F793" s="13">
        <f>""</f>
      </c>
      <c r="G793" s="13">
        <f>""</f>
      </c>
      <c r="H793" s="11">
        <v>0</v>
      </c>
      <c r="I793" s="14">
        <v>3.91</v>
      </c>
      <c r="J793" s="7" t="s">
        <v>3749</v>
      </c>
      <c r="K793" s="5" t="s">
        <v>60</v>
      </c>
      <c r="L793" s="11">
        <v>120</v>
      </c>
      <c r="M793" s="11">
        <v>1972</v>
      </c>
      <c r="N793" s="11">
        <v>1918</v>
      </c>
      <c r="O793" s="15"/>
      <c r="P793" s="8">
        <v>45159</v>
      </c>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4" t="s">
        <v>3164</v>
      </c>
      <c r="AY793" s="5" t="s">
        <v>3750</v>
      </c>
      <c r="AZ793" s="5" t="s">
        <v>38</v>
      </c>
      <c r="BA793" s="12"/>
      <c r="BB793" s="12"/>
      <c r="BC793" s="12"/>
      <c r="BD793" s="11">
        <v>0</v>
      </c>
      <c r="BE793" s="11">
        <v>1</v>
      </c>
    </row>
    <row x14ac:dyDescent="0.25" r="794" customHeight="1" ht="17.25">
      <c r="A794" s="11">
        <v>40623521</v>
      </c>
      <c r="B794" s="4" t="s">
        <v>3751</v>
      </c>
      <c r="C794" s="5" t="s">
        <v>195</v>
      </c>
      <c r="D794" s="5" t="s">
        <v>196</v>
      </c>
      <c r="E794" s="12"/>
      <c r="F794" s="13">
        <f>"8467033592"</f>
      </c>
      <c r="G794" s="13">
        <f>"9788467033595"</f>
      </c>
      <c r="H794" s="11">
        <v>0</v>
      </c>
      <c r="I794" s="14">
        <v>3.85</v>
      </c>
      <c r="J794" s="7" t="s">
        <v>3752</v>
      </c>
      <c r="K794" s="5" t="s">
        <v>60</v>
      </c>
      <c r="L794" s="11">
        <v>256</v>
      </c>
      <c r="M794" s="11">
        <v>2000</v>
      </c>
      <c r="N794" s="11">
        <v>1915</v>
      </c>
      <c r="O794" s="15"/>
      <c r="P794" s="8">
        <v>45152</v>
      </c>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4" t="s">
        <v>3258</v>
      </c>
      <c r="AY794" s="5" t="s">
        <v>3753</v>
      </c>
      <c r="AZ794" s="5" t="s">
        <v>38</v>
      </c>
      <c r="BA794" s="12"/>
      <c r="BB794" s="12"/>
      <c r="BC794" s="12"/>
      <c r="BD794" s="11">
        <v>0</v>
      </c>
      <c r="BE794" s="11">
        <v>1</v>
      </c>
    </row>
    <row x14ac:dyDescent="0.25" r="795" customHeight="1" ht="17.25">
      <c r="A795" s="11">
        <v>992903</v>
      </c>
      <c r="B795" s="4" t="s">
        <v>3754</v>
      </c>
      <c r="C795" s="5" t="s">
        <v>1285</v>
      </c>
      <c r="D795" s="5" t="s">
        <v>1286</v>
      </c>
      <c r="E795" s="5" t="s">
        <v>3755</v>
      </c>
      <c r="F795" s="13">
        <f>"9875662445"</f>
      </c>
      <c r="G795" s="13">
        <f>"9789875662445"</f>
      </c>
      <c r="H795" s="11">
        <v>0</v>
      </c>
      <c r="I795" s="14">
        <v>4.36</v>
      </c>
      <c r="J795" s="7" t="s">
        <v>1171</v>
      </c>
      <c r="K795" s="5" t="s">
        <v>60</v>
      </c>
      <c r="L795" s="11">
        <v>407</v>
      </c>
      <c r="M795" s="11">
        <v>2007</v>
      </c>
      <c r="N795" s="11">
        <v>1940</v>
      </c>
      <c r="O795" s="15"/>
      <c r="P795" s="8">
        <v>45152</v>
      </c>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4" t="s">
        <v>3258</v>
      </c>
      <c r="AY795" s="5" t="s">
        <v>3756</v>
      </c>
      <c r="AZ795" s="5" t="s">
        <v>38</v>
      </c>
      <c r="BA795" s="12"/>
      <c r="BB795" s="12"/>
      <c r="BC795" s="5" t="s">
        <v>3757</v>
      </c>
      <c r="BD795" s="11">
        <v>1</v>
      </c>
      <c r="BE795" s="11">
        <v>1</v>
      </c>
    </row>
    <row x14ac:dyDescent="0.25" r="796" customHeight="1" ht="17.25">
      <c r="A796" s="11">
        <v>53012</v>
      </c>
      <c r="B796" s="4" t="s">
        <v>3758</v>
      </c>
      <c r="C796" s="5" t="s">
        <v>1258</v>
      </c>
      <c r="D796" s="5" t="s">
        <v>1259</v>
      </c>
      <c r="E796" s="12"/>
      <c r="F796" s="13">
        <f>"0374527717"</f>
      </c>
      <c r="G796" s="13">
        <f>"9780374527716"</f>
      </c>
      <c r="H796" s="11">
        <v>0</v>
      </c>
      <c r="I796" s="14">
        <v>3.94</v>
      </c>
      <c r="J796" s="7" t="s">
        <v>120</v>
      </c>
      <c r="K796" s="5" t="s">
        <v>60</v>
      </c>
      <c r="L796" s="11">
        <v>112</v>
      </c>
      <c r="M796" s="11">
        <v>2001</v>
      </c>
      <c r="N796" s="11">
        <v>2000</v>
      </c>
      <c r="O796" s="15"/>
      <c r="P796" s="8">
        <v>45143</v>
      </c>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4" t="s">
        <v>3186</v>
      </c>
      <c r="AY796" s="5" t="s">
        <v>3759</v>
      </c>
      <c r="AZ796" s="5" t="s">
        <v>38</v>
      </c>
      <c r="BA796" s="12"/>
      <c r="BB796" s="12"/>
      <c r="BC796" s="12"/>
      <c r="BD796" s="11">
        <v>1</v>
      </c>
      <c r="BE796" s="11">
        <v>1</v>
      </c>
    </row>
    <row x14ac:dyDescent="0.25" r="797" customHeight="1" ht="15.75">
      <c r="A797" s="11">
        <v>77691</v>
      </c>
      <c r="B797" s="4" t="s">
        <v>3760</v>
      </c>
      <c r="C797" s="5" t="s">
        <v>3761</v>
      </c>
      <c r="D797" s="5" t="s">
        <v>3762</v>
      </c>
      <c r="E797" s="12"/>
      <c r="F797" s="13">
        <f>"0060934867"</f>
      </c>
      <c r="G797" s="13">
        <f>"9780060934866"</f>
      </c>
      <c r="H797" s="11">
        <v>0</v>
      </c>
      <c r="I797" s="14">
        <v>3.05</v>
      </c>
      <c r="J797" s="7" t="s">
        <v>3763</v>
      </c>
      <c r="K797" s="5" t="s">
        <v>60</v>
      </c>
      <c r="L797" s="11">
        <v>248</v>
      </c>
      <c r="M797" s="11">
        <v>2005</v>
      </c>
      <c r="N797" s="11">
        <v>2004</v>
      </c>
      <c r="O797" s="15"/>
      <c r="P797" s="8">
        <v>45152</v>
      </c>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4" t="s">
        <v>3601</v>
      </c>
      <c r="AY797" s="5" t="s">
        <v>3764</v>
      </c>
      <c r="AZ797" s="5" t="s">
        <v>158</v>
      </c>
      <c r="BA797" s="12"/>
      <c r="BB797" s="12"/>
      <c r="BC797" s="12"/>
      <c r="BD797" s="11">
        <v>1</v>
      </c>
      <c r="BE797" s="11">
        <v>1</v>
      </c>
    </row>
    <row x14ac:dyDescent="0.25" r="798" customHeight="1" ht="17.25">
      <c r="A798" s="11">
        <v>2140784</v>
      </c>
      <c r="B798" s="4" t="s">
        <v>3765</v>
      </c>
      <c r="C798" s="5" t="s">
        <v>3766</v>
      </c>
      <c r="D798" s="5" t="s">
        <v>3767</v>
      </c>
      <c r="E798" s="12"/>
      <c r="F798" s="13">
        <f>"1928589146"</f>
      </c>
      <c r="G798" s="13">
        <f>"9781928589143"</f>
      </c>
      <c r="H798" s="11">
        <v>0</v>
      </c>
      <c r="I798" s="14">
        <v>4.38</v>
      </c>
      <c r="J798" s="7" t="s">
        <v>3768</v>
      </c>
      <c r="K798" s="5" t="s">
        <v>60</v>
      </c>
      <c r="L798" s="11">
        <v>80</v>
      </c>
      <c r="M798" s="11">
        <v>2003</v>
      </c>
      <c r="N798" s="11">
        <v>2003</v>
      </c>
      <c r="O798" s="15"/>
      <c r="P798" s="8">
        <v>45143</v>
      </c>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4" t="s">
        <v>3186</v>
      </c>
      <c r="AY798" s="5" t="s">
        <v>3769</v>
      </c>
      <c r="AZ798" s="5" t="s">
        <v>38</v>
      </c>
      <c r="BA798" s="12"/>
      <c r="BB798" s="12"/>
      <c r="BC798" s="12"/>
      <c r="BD798" s="11">
        <v>0</v>
      </c>
      <c r="BE798" s="11">
        <v>1</v>
      </c>
    </row>
    <row x14ac:dyDescent="0.25" r="799" customHeight="1" ht="17.25">
      <c r="A799" s="11">
        <v>1044577</v>
      </c>
      <c r="B799" s="4" t="s">
        <v>3770</v>
      </c>
      <c r="C799" s="5" t="s">
        <v>3771</v>
      </c>
      <c r="D799" s="5" t="s">
        <v>3772</v>
      </c>
      <c r="E799" s="5" t="s">
        <v>3773</v>
      </c>
      <c r="F799" s="13">
        <f>"0872204588"</f>
      </c>
      <c r="G799" s="13">
        <f>"9780872204584"</f>
      </c>
      <c r="H799" s="11">
        <v>0</v>
      </c>
      <c r="I799" s="14">
        <v>3.96</v>
      </c>
      <c r="J799" s="7" t="s">
        <v>3774</v>
      </c>
      <c r="K799" s="5" t="s">
        <v>60</v>
      </c>
      <c r="L799" s="11">
        <v>240</v>
      </c>
      <c r="M799" s="11">
        <v>2000</v>
      </c>
      <c r="N799" s="11">
        <v>2000</v>
      </c>
      <c r="O799" s="15"/>
      <c r="P799" s="8">
        <v>45143</v>
      </c>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4" t="s">
        <v>3359</v>
      </c>
      <c r="AY799" s="5" t="s">
        <v>3775</v>
      </c>
      <c r="AZ799" s="5" t="s">
        <v>38</v>
      </c>
      <c r="BA799" s="12"/>
      <c r="BB799" s="12"/>
      <c r="BC799" s="12"/>
      <c r="BD799" s="11">
        <v>0</v>
      </c>
      <c r="BE799" s="11">
        <v>1</v>
      </c>
    </row>
    <row x14ac:dyDescent="0.25" r="800" customHeight="1" ht="17.25">
      <c r="A800" s="11">
        <v>2398427</v>
      </c>
      <c r="B800" s="4" t="s">
        <v>3776</v>
      </c>
      <c r="C800" s="5" t="s">
        <v>3777</v>
      </c>
      <c r="D800" s="5" t="s">
        <v>3778</v>
      </c>
      <c r="E800" s="12"/>
      <c r="F800" s="13">
        <f>"9508891149"</f>
      </c>
      <c r="G800" s="13">
        <f>"9789508891143"</f>
      </c>
      <c r="H800" s="11">
        <v>0</v>
      </c>
      <c r="I800" s="11">
        <v>0</v>
      </c>
      <c r="J800" s="7" t="s">
        <v>3779</v>
      </c>
      <c r="K800" s="5" t="s">
        <v>60</v>
      </c>
      <c r="L800" s="11">
        <v>240</v>
      </c>
      <c r="M800" s="11">
        <v>2006</v>
      </c>
      <c r="N800" s="11">
        <v>2005</v>
      </c>
      <c r="O800" s="15"/>
      <c r="P800" s="8">
        <v>45137</v>
      </c>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4" t="s">
        <v>3171</v>
      </c>
      <c r="AY800" s="5" t="s">
        <v>3780</v>
      </c>
      <c r="AZ800" s="5" t="s">
        <v>38</v>
      </c>
      <c r="BA800" s="12"/>
      <c r="BB800" s="12"/>
      <c r="BC800" s="12"/>
      <c r="BD800" s="11">
        <v>0</v>
      </c>
      <c r="BE800" s="11">
        <v>1</v>
      </c>
    </row>
    <row x14ac:dyDescent="0.25" r="801" customHeight="1" ht="17.25">
      <c r="A801" s="11">
        <v>1165399</v>
      </c>
      <c r="B801" s="4" t="s">
        <v>3781</v>
      </c>
      <c r="C801" s="5" t="s">
        <v>3782</v>
      </c>
      <c r="D801" s="5" t="s">
        <v>3783</v>
      </c>
      <c r="E801" s="12"/>
      <c r="F801" s="13">
        <f>"3822858560"</f>
      </c>
      <c r="G801" s="13">
        <f>"9783822858561"</f>
      </c>
      <c r="H801" s="11">
        <v>0</v>
      </c>
      <c r="I801" s="14">
        <v>4.27</v>
      </c>
      <c r="J801" s="7" t="s">
        <v>2293</v>
      </c>
      <c r="K801" s="5" t="s">
        <v>60</v>
      </c>
      <c r="L801" s="11">
        <v>96</v>
      </c>
      <c r="M801" s="11">
        <v>2001</v>
      </c>
      <c r="N801" s="11">
        <v>1987</v>
      </c>
      <c r="O801" s="15"/>
      <c r="P801" s="8">
        <v>45137</v>
      </c>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4" t="s">
        <v>3171</v>
      </c>
      <c r="AY801" s="5" t="s">
        <v>3784</v>
      </c>
      <c r="AZ801" s="5" t="s">
        <v>38</v>
      </c>
      <c r="BA801" s="12"/>
      <c r="BB801" s="12"/>
      <c r="BC801" s="12"/>
      <c r="BD801" s="11">
        <v>0</v>
      </c>
      <c r="BE801" s="11">
        <v>1</v>
      </c>
    </row>
    <row x14ac:dyDescent="0.25" r="802" customHeight="1" ht="17.25">
      <c r="A802" s="11">
        <v>3425041</v>
      </c>
      <c r="B802" s="4" t="s">
        <v>3785</v>
      </c>
      <c r="C802" s="5" t="s">
        <v>3786</v>
      </c>
      <c r="D802" s="5" t="s">
        <v>3787</v>
      </c>
      <c r="E802" s="12"/>
      <c r="F802" s="13">
        <f>"0981521304"</f>
      </c>
      <c r="G802" s="13">
        <f>"9780981521305"</f>
      </c>
      <c r="H802" s="11">
        <v>0</v>
      </c>
      <c r="I802" s="14">
        <v>4.49</v>
      </c>
      <c r="J802" s="7" t="s">
        <v>3788</v>
      </c>
      <c r="K802" s="5" t="s">
        <v>60</v>
      </c>
      <c r="L802" s="11">
        <v>99</v>
      </c>
      <c r="M802" s="11">
        <v>2010</v>
      </c>
      <c r="N802" s="11">
        <v>2008</v>
      </c>
      <c r="O802" s="15"/>
      <c r="P802" s="8">
        <v>45143</v>
      </c>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4" t="s">
        <v>3186</v>
      </c>
      <c r="AY802" s="5" t="s">
        <v>3789</v>
      </c>
      <c r="AZ802" s="5" t="s">
        <v>38</v>
      </c>
      <c r="BA802" s="12"/>
      <c r="BB802" s="12"/>
      <c r="BC802" s="12"/>
      <c r="BD802" s="11">
        <v>0</v>
      </c>
      <c r="BE802" s="11">
        <v>1</v>
      </c>
    </row>
    <row x14ac:dyDescent="0.25" r="803" customHeight="1" ht="17.25">
      <c r="A803" s="11">
        <v>6466511</v>
      </c>
      <c r="B803" s="4" t="s">
        <v>3790</v>
      </c>
      <c r="C803" s="5" t="s">
        <v>3791</v>
      </c>
      <c r="D803" s="5" t="s">
        <v>3792</v>
      </c>
      <c r="E803" s="12"/>
      <c r="F803" s="13">
        <f>"0143116630"</f>
      </c>
      <c r="G803" s="13">
        <f>"9780143116639"</f>
      </c>
      <c r="H803" s="11">
        <v>0</v>
      </c>
      <c r="I803" s="14">
        <v>3.64</v>
      </c>
      <c r="J803" s="7" t="s">
        <v>491</v>
      </c>
      <c r="K803" s="5" t="s">
        <v>60</v>
      </c>
      <c r="L803" s="11">
        <v>400</v>
      </c>
      <c r="M803" s="11">
        <v>2009</v>
      </c>
      <c r="N803" s="11">
        <v>2008</v>
      </c>
      <c r="O803" s="15"/>
      <c r="P803" s="8">
        <v>45129</v>
      </c>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4" t="s">
        <v>2015</v>
      </c>
      <c r="AY803" s="5" t="s">
        <v>3793</v>
      </c>
      <c r="AZ803" s="5" t="s">
        <v>38</v>
      </c>
      <c r="BA803" s="12"/>
      <c r="BB803" s="12"/>
      <c r="BC803" s="12"/>
      <c r="BD803" s="11">
        <v>0</v>
      </c>
      <c r="BE803" s="11">
        <v>1</v>
      </c>
    </row>
    <row x14ac:dyDescent="0.25" r="804" customHeight="1" ht="17.25">
      <c r="A804" s="11">
        <v>127908043</v>
      </c>
      <c r="B804" s="4" t="s">
        <v>3794</v>
      </c>
      <c r="C804" s="5" t="s">
        <v>3795</v>
      </c>
      <c r="D804" s="5" t="s">
        <v>3796</v>
      </c>
      <c r="E804" s="12"/>
      <c r="F804" s="13">
        <f>""</f>
      </c>
      <c r="G804" s="13">
        <f>""</f>
      </c>
      <c r="H804" s="11">
        <v>0</v>
      </c>
      <c r="I804" s="14">
        <v>3.62</v>
      </c>
      <c r="J804" s="7" t="s">
        <v>3797</v>
      </c>
      <c r="K804" s="5" t="s">
        <v>60</v>
      </c>
      <c r="L804" s="16"/>
      <c r="M804" s="11">
        <v>1975</v>
      </c>
      <c r="N804" s="11">
        <v>1975</v>
      </c>
      <c r="O804" s="15"/>
      <c r="P804" s="8">
        <v>45136</v>
      </c>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4" t="s">
        <v>3164</v>
      </c>
      <c r="AY804" s="5" t="s">
        <v>3798</v>
      </c>
      <c r="AZ804" s="5" t="s">
        <v>38</v>
      </c>
      <c r="BA804" s="12"/>
      <c r="BB804" s="12"/>
      <c r="BC804" s="12"/>
      <c r="BD804" s="11">
        <v>0</v>
      </c>
      <c r="BE804" s="11">
        <v>1</v>
      </c>
    </row>
    <row x14ac:dyDescent="0.25" r="805" customHeight="1" ht="17.25">
      <c r="A805" s="11">
        <v>2294076</v>
      </c>
      <c r="B805" s="4" t="s">
        <v>3799</v>
      </c>
      <c r="C805" s="5" t="s">
        <v>3800</v>
      </c>
      <c r="D805" s="5" t="s">
        <v>3801</v>
      </c>
      <c r="E805" s="12"/>
      <c r="F805" s="13">
        <f>"0972984208"</f>
      </c>
      <c r="G805" s="13">
        <f>"9780972984201"</f>
      </c>
      <c r="H805" s="11">
        <v>0</v>
      </c>
      <c r="I805" s="11">
        <v>3</v>
      </c>
      <c r="J805" s="7" t="s">
        <v>3802</v>
      </c>
      <c r="K805" s="5" t="s">
        <v>72</v>
      </c>
      <c r="L805" s="11">
        <v>96</v>
      </c>
      <c r="M805" s="11">
        <v>2004</v>
      </c>
      <c r="N805" s="11">
        <v>2004</v>
      </c>
      <c r="O805" s="15"/>
      <c r="P805" s="8">
        <v>45137</v>
      </c>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4" t="s">
        <v>3164</v>
      </c>
      <c r="AY805" s="5" t="s">
        <v>3803</v>
      </c>
      <c r="AZ805" s="5" t="s">
        <v>38</v>
      </c>
      <c r="BA805" s="12"/>
      <c r="BB805" s="12"/>
      <c r="BC805" s="12"/>
      <c r="BD805" s="11">
        <v>0</v>
      </c>
      <c r="BE805" s="11">
        <v>1</v>
      </c>
    </row>
    <row x14ac:dyDescent="0.25" r="806" customHeight="1" ht="17.25">
      <c r="A806" s="11">
        <v>7419781</v>
      </c>
      <c r="B806" s="4" t="s">
        <v>3804</v>
      </c>
      <c r="C806" s="5" t="s">
        <v>3805</v>
      </c>
      <c r="D806" s="5" t="s">
        <v>3806</v>
      </c>
      <c r="E806" s="12"/>
      <c r="F806" s="13">
        <f>"0007850492"</f>
      </c>
      <c r="G806" s="13">
        <f>"9780007850495"</f>
      </c>
      <c r="H806" s="11">
        <v>0</v>
      </c>
      <c r="I806" s="14">
        <v>4.16</v>
      </c>
      <c r="J806" s="7" t="s">
        <v>3807</v>
      </c>
      <c r="K806" s="5" t="s">
        <v>60</v>
      </c>
      <c r="L806" s="11">
        <v>579</v>
      </c>
      <c r="M806" s="11">
        <v>2008</v>
      </c>
      <c r="N806" s="11">
        <v>2008</v>
      </c>
      <c r="O806" s="15"/>
      <c r="P806" s="8">
        <v>45132</v>
      </c>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4" t="s">
        <v>3164</v>
      </c>
      <c r="AY806" s="5" t="s">
        <v>3808</v>
      </c>
      <c r="AZ806" s="5" t="s">
        <v>38</v>
      </c>
      <c r="BA806" s="12"/>
      <c r="BB806" s="12"/>
      <c r="BC806" s="12"/>
      <c r="BD806" s="11">
        <v>0</v>
      </c>
      <c r="BE806" s="11">
        <v>1</v>
      </c>
    </row>
    <row x14ac:dyDescent="0.25" r="807" customHeight="1" ht="17.25">
      <c r="A807" s="11">
        <v>1344850</v>
      </c>
      <c r="B807" s="4" t="s">
        <v>3809</v>
      </c>
      <c r="C807" s="5" t="s">
        <v>3810</v>
      </c>
      <c r="D807" s="5" t="s">
        <v>3811</v>
      </c>
      <c r="E807" s="5" t="s">
        <v>3812</v>
      </c>
      <c r="F807" s="13">
        <f>"847640171X"</f>
      </c>
      <c r="G807" s="13">
        <f>"9788476401712"</f>
      </c>
      <c r="H807" s="11">
        <v>0</v>
      </c>
      <c r="I807" s="14">
        <v>3.44</v>
      </c>
      <c r="J807" s="7" t="s">
        <v>3813</v>
      </c>
      <c r="K807" s="5" t="s">
        <v>60</v>
      </c>
      <c r="L807" s="11">
        <v>136</v>
      </c>
      <c r="M807" s="11">
        <v>2006</v>
      </c>
      <c r="N807" s="11">
        <v>1973</v>
      </c>
      <c r="O807" s="15"/>
      <c r="P807" s="8">
        <v>45137</v>
      </c>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4" t="s">
        <v>3216</v>
      </c>
      <c r="AY807" s="5" t="s">
        <v>3814</v>
      </c>
      <c r="AZ807" s="5" t="s">
        <v>38</v>
      </c>
      <c r="BA807" s="12"/>
      <c r="BB807" s="12"/>
      <c r="BC807" s="12"/>
      <c r="BD807" s="11">
        <v>0</v>
      </c>
      <c r="BE807" s="11">
        <v>1</v>
      </c>
    </row>
    <row x14ac:dyDescent="0.25" r="808" customHeight="1" ht="17.25">
      <c r="A808" s="11">
        <v>393134</v>
      </c>
      <c r="B808" s="4" t="s">
        <v>3815</v>
      </c>
      <c r="C808" s="5" t="s">
        <v>3816</v>
      </c>
      <c r="D808" s="5" t="s">
        <v>3817</v>
      </c>
      <c r="E808" s="5" t="s">
        <v>3818</v>
      </c>
      <c r="F808" s="13">
        <f>"0140449159"</f>
      </c>
      <c r="G808" s="13">
        <f>"9780140449150"</f>
      </c>
      <c r="H808" s="11">
        <v>0</v>
      </c>
      <c r="I808" s="14">
        <v>3.84</v>
      </c>
      <c r="J808" s="7" t="s">
        <v>263</v>
      </c>
      <c r="K808" s="5" t="s">
        <v>60</v>
      </c>
      <c r="L808" s="11">
        <v>106</v>
      </c>
      <c r="M808" s="11">
        <v>2003</v>
      </c>
      <c r="N808" s="11">
        <v>1513</v>
      </c>
      <c r="O808" s="15"/>
      <c r="P808" s="8">
        <v>45129</v>
      </c>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4" t="s">
        <v>3359</v>
      </c>
      <c r="AY808" s="5" t="s">
        <v>3819</v>
      </c>
      <c r="AZ808" s="5" t="s">
        <v>38</v>
      </c>
      <c r="BA808" s="12"/>
      <c r="BB808" s="12"/>
      <c r="BC808" s="12"/>
      <c r="BD808" s="11">
        <v>0</v>
      </c>
      <c r="BE808" s="11">
        <v>1</v>
      </c>
    </row>
    <row x14ac:dyDescent="0.25" r="809" customHeight="1" ht="17.25">
      <c r="A809" s="11">
        <v>916592</v>
      </c>
      <c r="B809" s="4" t="s">
        <v>3820</v>
      </c>
      <c r="C809" s="5" t="s">
        <v>3821</v>
      </c>
      <c r="D809" s="5" t="s">
        <v>3822</v>
      </c>
      <c r="E809" s="12"/>
      <c r="F809" s="13">
        <f>"1555973566"</f>
      </c>
      <c r="G809" s="13">
        <f>"9781555973568"</f>
      </c>
      <c r="H809" s="11">
        <v>0</v>
      </c>
      <c r="I809" s="14">
        <v>3.71</v>
      </c>
      <c r="J809" s="7" t="s">
        <v>1001</v>
      </c>
      <c r="K809" s="5" t="s">
        <v>60</v>
      </c>
      <c r="L809" s="16"/>
      <c r="M809" s="11">
        <v>2001</v>
      </c>
      <c r="N809" s="11">
        <v>2001</v>
      </c>
      <c r="O809" s="15"/>
      <c r="P809" s="8">
        <v>45116</v>
      </c>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4" t="s">
        <v>3258</v>
      </c>
      <c r="AY809" s="5" t="s">
        <v>3823</v>
      </c>
      <c r="AZ809" s="5" t="s">
        <v>38</v>
      </c>
      <c r="BA809" s="12"/>
      <c r="BB809" s="12"/>
      <c r="BC809" s="12"/>
      <c r="BD809" s="11">
        <v>0</v>
      </c>
      <c r="BE809" s="11">
        <v>1</v>
      </c>
    </row>
    <row x14ac:dyDescent="0.25" r="810" customHeight="1" ht="17.25">
      <c r="A810" s="11">
        <v>59529861</v>
      </c>
      <c r="B810" s="4" t="s">
        <v>3824</v>
      </c>
      <c r="C810" s="5" t="s">
        <v>3825</v>
      </c>
      <c r="D810" s="5" t="s">
        <v>3826</v>
      </c>
      <c r="E810" s="12"/>
      <c r="F810" s="13">
        <f>""</f>
      </c>
      <c r="G810" s="13">
        <f>""</f>
      </c>
      <c r="H810" s="11">
        <v>0</v>
      </c>
      <c r="I810" s="14">
        <v>4.25</v>
      </c>
      <c r="J810" s="7" t="s">
        <v>3827</v>
      </c>
      <c r="K810" s="5" t="s">
        <v>60</v>
      </c>
      <c r="L810" s="11">
        <v>488</v>
      </c>
      <c r="M810" s="11">
        <v>1982</v>
      </c>
      <c r="N810" s="11">
        <v>1820</v>
      </c>
      <c r="O810" s="15"/>
      <c r="P810" s="8">
        <v>45129</v>
      </c>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4" t="s">
        <v>3186</v>
      </c>
      <c r="AY810" s="5" t="s">
        <v>3828</v>
      </c>
      <c r="AZ810" s="5" t="s">
        <v>38</v>
      </c>
      <c r="BA810" s="12"/>
      <c r="BB810" s="12"/>
      <c r="BC810" s="12"/>
      <c r="BD810" s="11">
        <v>0</v>
      </c>
      <c r="BE810" s="11">
        <v>1</v>
      </c>
    </row>
    <row x14ac:dyDescent="0.25" r="811" customHeight="1" ht="17.25">
      <c r="A811" s="11">
        <v>51985</v>
      </c>
      <c r="B811" s="4" t="s">
        <v>3829</v>
      </c>
      <c r="C811" s="5" t="s">
        <v>3830</v>
      </c>
      <c r="D811" s="5" t="s">
        <v>3831</v>
      </c>
      <c r="E811" s="5" t="s">
        <v>3832</v>
      </c>
      <c r="F811" s="13">
        <f>"0300115466"</f>
      </c>
      <c r="G811" s="13">
        <f>"9780300115468"</f>
      </c>
      <c r="H811" s="11">
        <v>0</v>
      </c>
      <c r="I811" s="14">
        <v>3.98</v>
      </c>
      <c r="J811" s="7" t="s">
        <v>576</v>
      </c>
      <c r="K811" s="5" t="s">
        <v>60</v>
      </c>
      <c r="L811" s="11">
        <v>122</v>
      </c>
      <c r="M811" s="11">
        <v>2007</v>
      </c>
      <c r="N811" s="11">
        <v>1945</v>
      </c>
      <c r="O811" s="15"/>
      <c r="P811" s="8">
        <v>45129</v>
      </c>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4" t="s">
        <v>3359</v>
      </c>
      <c r="AY811" s="5" t="s">
        <v>3833</v>
      </c>
      <c r="AZ811" s="5" t="s">
        <v>38</v>
      </c>
      <c r="BA811" s="12"/>
      <c r="BB811" s="12"/>
      <c r="BC811" s="12"/>
      <c r="BD811" s="11">
        <v>0</v>
      </c>
      <c r="BE811" s="11">
        <v>1</v>
      </c>
    </row>
    <row x14ac:dyDescent="0.25" r="812" customHeight="1" ht="17.25">
      <c r="A812" s="11">
        <v>8802507</v>
      </c>
      <c r="B812" s="4" t="s">
        <v>3834</v>
      </c>
      <c r="C812" s="5" t="s">
        <v>118</v>
      </c>
      <c r="D812" s="5" t="s">
        <v>119</v>
      </c>
      <c r="E812" s="5" t="s">
        <v>3835</v>
      </c>
      <c r="F812" s="13">
        <f>"0393339297"</f>
      </c>
      <c r="G812" s="13">
        <f>"9780393339291"</f>
      </c>
      <c r="H812" s="11">
        <v>0</v>
      </c>
      <c r="I812" s="14">
        <v>4.42</v>
      </c>
      <c r="J812" s="7" t="s">
        <v>144</v>
      </c>
      <c r="K812" s="5" t="s">
        <v>60</v>
      </c>
      <c r="L812" s="11">
        <v>1199</v>
      </c>
      <c r="M812" s="11">
        <v>2010</v>
      </c>
      <c r="N812" s="11">
        <v>2001</v>
      </c>
      <c r="O812" s="15"/>
      <c r="P812" s="8">
        <v>45116</v>
      </c>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4" t="s">
        <v>3258</v>
      </c>
      <c r="AY812" s="5" t="s">
        <v>3836</v>
      </c>
      <c r="AZ812" s="5" t="s">
        <v>38</v>
      </c>
      <c r="BA812" s="12"/>
      <c r="BB812" s="12"/>
      <c r="BC812" s="12"/>
      <c r="BD812" s="11">
        <v>0</v>
      </c>
      <c r="BE812" s="11">
        <v>1</v>
      </c>
    </row>
    <row x14ac:dyDescent="0.25" r="813" customHeight="1" ht="17.25">
      <c r="A813" s="11">
        <v>13636758</v>
      </c>
      <c r="B813" s="4" t="s">
        <v>3837</v>
      </c>
      <c r="C813" s="5" t="s">
        <v>3838</v>
      </c>
      <c r="D813" s="5" t="s">
        <v>3839</v>
      </c>
      <c r="E813" s="12"/>
      <c r="F813" s="13">
        <f>""</f>
      </c>
      <c r="G813" s="13">
        <f>"9788432248429"</f>
      </c>
      <c r="H813" s="11">
        <v>0</v>
      </c>
      <c r="I813" s="14">
        <v>4.23</v>
      </c>
      <c r="J813" s="7" t="s">
        <v>3752</v>
      </c>
      <c r="K813" s="5" t="s">
        <v>60</v>
      </c>
      <c r="L813" s="11">
        <v>240</v>
      </c>
      <c r="M813" s="11">
        <v>1999</v>
      </c>
      <c r="N813" s="11">
        <v>1924</v>
      </c>
      <c r="O813" s="15"/>
      <c r="P813" s="8">
        <v>45114</v>
      </c>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4" t="s">
        <v>3186</v>
      </c>
      <c r="AY813" s="5" t="s">
        <v>3840</v>
      </c>
      <c r="AZ813" s="5" t="s">
        <v>38</v>
      </c>
      <c r="BA813" s="12"/>
      <c r="BB813" s="12"/>
      <c r="BC813" s="12"/>
      <c r="BD813" s="11">
        <v>0</v>
      </c>
      <c r="BE813" s="11">
        <v>1</v>
      </c>
    </row>
    <row x14ac:dyDescent="0.25" r="814" customHeight="1" ht="17.25">
      <c r="A814" s="11">
        <v>55608917</v>
      </c>
      <c r="B814" s="4" t="s">
        <v>3841</v>
      </c>
      <c r="C814" s="5" t="s">
        <v>542</v>
      </c>
      <c r="D814" s="5" t="s">
        <v>3842</v>
      </c>
      <c r="E814" s="5" t="s">
        <v>3843</v>
      </c>
      <c r="F814" s="13">
        <f>"0140440585"</f>
      </c>
      <c r="G814" s="13">
        <f>"9780140440584"</f>
      </c>
      <c r="H814" s="11">
        <v>0</v>
      </c>
      <c r="I814" s="14">
        <v>4.08</v>
      </c>
      <c r="J814" s="7" t="s">
        <v>182</v>
      </c>
      <c r="K814" s="5" t="s">
        <v>60</v>
      </c>
      <c r="L814" s="11">
        <v>368</v>
      </c>
      <c r="M814" s="11">
        <v>2020</v>
      </c>
      <c r="N814" s="11">
        <v>8</v>
      </c>
      <c r="O814" s="15"/>
      <c r="P814" s="8">
        <v>45114</v>
      </c>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4" t="s">
        <v>3501</v>
      </c>
      <c r="AY814" s="5" t="s">
        <v>3844</v>
      </c>
      <c r="AZ814" s="5" t="s">
        <v>38</v>
      </c>
      <c r="BA814" s="12"/>
      <c r="BB814" s="12"/>
      <c r="BC814" s="12"/>
      <c r="BD814" s="11">
        <v>0</v>
      </c>
      <c r="BE814" s="11">
        <v>1</v>
      </c>
    </row>
    <row x14ac:dyDescent="0.25" r="815" customHeight="1" ht="15.75">
      <c r="A815" s="11">
        <v>849345</v>
      </c>
      <c r="B815" s="4" t="s">
        <v>3845</v>
      </c>
      <c r="C815" s="5" t="s">
        <v>705</v>
      </c>
      <c r="D815" s="5" t="s">
        <v>706</v>
      </c>
      <c r="E815" s="12"/>
      <c r="F815" s="13">
        <f>"9500705516"</f>
      </c>
      <c r="G815" s="13">
        <f>"9789500705516"</f>
      </c>
      <c r="H815" s="11">
        <v>0</v>
      </c>
      <c r="I815" s="14">
        <v>3.69</v>
      </c>
      <c r="J815" s="7" t="s">
        <v>1171</v>
      </c>
      <c r="K815" s="5" t="s">
        <v>60</v>
      </c>
      <c r="L815" s="11">
        <v>288</v>
      </c>
      <c r="M815" s="11">
        <v>1989</v>
      </c>
      <c r="N815" s="11">
        <v>1989</v>
      </c>
      <c r="O815" s="15"/>
      <c r="P815" s="8">
        <v>45116</v>
      </c>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4" t="s">
        <v>2460</v>
      </c>
      <c r="AY815" s="5" t="s">
        <v>3846</v>
      </c>
      <c r="AZ815" s="5" t="s">
        <v>38</v>
      </c>
      <c r="BA815" s="12"/>
      <c r="BB815" s="12"/>
      <c r="BC815" s="12"/>
      <c r="BD815" s="11">
        <v>0</v>
      </c>
      <c r="BE815" s="11">
        <v>1</v>
      </c>
    </row>
    <row x14ac:dyDescent="0.25" r="816" customHeight="1" ht="17.25">
      <c r="A816" s="11">
        <v>91540</v>
      </c>
      <c r="B816" s="4" t="s">
        <v>3847</v>
      </c>
      <c r="C816" s="5" t="s">
        <v>3848</v>
      </c>
      <c r="D816" s="5" t="s">
        <v>3849</v>
      </c>
      <c r="E816" s="12"/>
      <c r="F816" s="13">
        <f>"0804836620"</f>
      </c>
      <c r="G816" s="13">
        <f>"9780804836623"</f>
      </c>
      <c r="H816" s="11">
        <v>0</v>
      </c>
      <c r="I816" s="14">
        <v>3.86</v>
      </c>
      <c r="J816" s="7" t="s">
        <v>3850</v>
      </c>
      <c r="K816" s="5" t="s">
        <v>60</v>
      </c>
      <c r="L816" s="11">
        <v>256</v>
      </c>
      <c r="M816" s="11">
        <v>2005</v>
      </c>
      <c r="N816" s="11">
        <v>1904</v>
      </c>
      <c r="O816" s="15"/>
      <c r="P816" s="8">
        <v>45114</v>
      </c>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4" t="s">
        <v>3258</v>
      </c>
      <c r="AY816" s="5" t="s">
        <v>3851</v>
      </c>
      <c r="AZ816" s="5" t="s">
        <v>38</v>
      </c>
      <c r="BA816" s="12"/>
      <c r="BB816" s="12"/>
      <c r="BC816" s="12"/>
      <c r="BD816" s="11">
        <v>0</v>
      </c>
      <c r="BE816" s="11">
        <v>1</v>
      </c>
    </row>
    <row x14ac:dyDescent="0.25" r="817" customHeight="1" ht="17.25">
      <c r="A817" s="11">
        <v>8288287</v>
      </c>
      <c r="B817" s="4" t="s">
        <v>3852</v>
      </c>
      <c r="C817" s="5" t="s">
        <v>3434</v>
      </c>
      <c r="D817" s="5" t="s">
        <v>3435</v>
      </c>
      <c r="E817" s="12"/>
      <c r="F817" s="13">
        <f>""</f>
      </c>
      <c r="G817" s="13">
        <f>""</f>
      </c>
      <c r="H817" s="11">
        <v>0</v>
      </c>
      <c r="I817" s="14">
        <v>4.31</v>
      </c>
      <c r="J817" s="18"/>
      <c r="K817" s="5" t="s">
        <v>90</v>
      </c>
      <c r="L817" s="11">
        <v>324</v>
      </c>
      <c r="M817" s="16"/>
      <c r="N817" s="11">
        <v>2007</v>
      </c>
      <c r="O817" s="15"/>
      <c r="P817" s="8">
        <v>45113</v>
      </c>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4" t="s">
        <v>3359</v>
      </c>
      <c r="AY817" s="5" t="s">
        <v>3853</v>
      </c>
      <c r="AZ817" s="5" t="s">
        <v>38</v>
      </c>
      <c r="BA817" s="12"/>
      <c r="BB817" s="12"/>
      <c r="BC817" s="12"/>
      <c r="BD817" s="11">
        <v>0</v>
      </c>
      <c r="BE817" s="11">
        <v>1</v>
      </c>
    </row>
    <row x14ac:dyDescent="0.25" r="818" customHeight="1" ht="17.25">
      <c r="A818" s="11">
        <v>132827017</v>
      </c>
      <c r="B818" s="4" t="s">
        <v>3854</v>
      </c>
      <c r="C818" s="5" t="s">
        <v>3855</v>
      </c>
      <c r="D818" s="5" t="s">
        <v>3856</v>
      </c>
      <c r="E818" s="12"/>
      <c r="F818" s="13">
        <f>""</f>
      </c>
      <c r="G818" s="13">
        <f>""</f>
      </c>
      <c r="H818" s="11">
        <v>0</v>
      </c>
      <c r="I818" s="14">
        <v>3.43</v>
      </c>
      <c r="J818" s="7" t="s">
        <v>3857</v>
      </c>
      <c r="K818" s="5" t="s">
        <v>60</v>
      </c>
      <c r="L818" s="16"/>
      <c r="M818" s="11">
        <v>1967</v>
      </c>
      <c r="N818" s="11">
        <v>1960</v>
      </c>
      <c r="O818" s="15"/>
      <c r="P818" s="8">
        <v>45113</v>
      </c>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4" t="s">
        <v>3164</v>
      </c>
      <c r="AY818" s="5" t="s">
        <v>3858</v>
      </c>
      <c r="AZ818" s="5" t="s">
        <v>38</v>
      </c>
      <c r="BA818" s="12"/>
      <c r="BB818" s="12"/>
      <c r="BC818" s="12"/>
      <c r="BD818" s="11">
        <v>0</v>
      </c>
      <c r="BE818" s="11">
        <v>1</v>
      </c>
    </row>
    <row x14ac:dyDescent="0.25" r="819" customHeight="1" ht="17.25">
      <c r="A819" s="11">
        <v>17133815</v>
      </c>
      <c r="B819" s="4" t="s">
        <v>3859</v>
      </c>
      <c r="C819" s="5" t="s">
        <v>3860</v>
      </c>
      <c r="D819" s="5" t="s">
        <v>3861</v>
      </c>
      <c r="E819" s="12"/>
      <c r="F819" s="13">
        <f>"0745649661"</f>
      </c>
      <c r="G819" s="13">
        <f>"9780745649665"</f>
      </c>
      <c r="H819" s="11">
        <v>0</v>
      </c>
      <c r="I819" s="14">
        <v>3.91</v>
      </c>
      <c r="J819" s="7" t="s">
        <v>2721</v>
      </c>
      <c r="K819" s="5" t="s">
        <v>60</v>
      </c>
      <c r="L819" s="11">
        <v>240</v>
      </c>
      <c r="M819" s="11">
        <v>2013</v>
      </c>
      <c r="N819" s="11">
        <v>2003</v>
      </c>
      <c r="O819" s="15"/>
      <c r="P819" s="8">
        <v>45113</v>
      </c>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4" t="s">
        <v>3359</v>
      </c>
      <c r="AY819" s="5" t="s">
        <v>3862</v>
      </c>
      <c r="AZ819" s="5" t="s">
        <v>38</v>
      </c>
      <c r="BA819" s="12"/>
      <c r="BB819" s="12"/>
      <c r="BC819" s="12"/>
      <c r="BD819" s="11">
        <v>0</v>
      </c>
      <c r="BE819" s="11">
        <v>1</v>
      </c>
    </row>
    <row x14ac:dyDescent="0.25" r="820" customHeight="1" ht="17.25">
      <c r="A820" s="11">
        <v>16234597</v>
      </c>
      <c r="B820" s="4" t="s">
        <v>3863</v>
      </c>
      <c r="C820" s="5" t="s">
        <v>3864</v>
      </c>
      <c r="D820" s="5" t="s">
        <v>3865</v>
      </c>
      <c r="E820" s="5" t="s">
        <v>3866</v>
      </c>
      <c r="F820" s="13">
        <f>"087140673X"</f>
      </c>
      <c r="G820" s="13">
        <f>"9780871406736"</f>
      </c>
      <c r="H820" s="11">
        <v>0</v>
      </c>
      <c r="I820" s="14">
        <v>4.02</v>
      </c>
      <c r="J820" s="7" t="s">
        <v>988</v>
      </c>
      <c r="K820" s="5" t="s">
        <v>60</v>
      </c>
      <c r="L820" s="11">
        <v>224</v>
      </c>
      <c r="M820" s="11">
        <v>2013</v>
      </c>
      <c r="N820" s="16"/>
      <c r="O820" s="15"/>
      <c r="P820" s="8">
        <v>45113</v>
      </c>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4" t="s">
        <v>3359</v>
      </c>
      <c r="AY820" s="5" t="s">
        <v>3867</v>
      </c>
      <c r="AZ820" s="5" t="s">
        <v>38</v>
      </c>
      <c r="BA820" s="12"/>
      <c r="BB820" s="12"/>
      <c r="BC820" s="12"/>
      <c r="BD820" s="11">
        <v>0</v>
      </c>
      <c r="BE820" s="11">
        <v>1</v>
      </c>
    </row>
    <row x14ac:dyDescent="0.25" r="821" customHeight="1" ht="17.25">
      <c r="A821" s="11">
        <v>30337119</v>
      </c>
      <c r="B821" s="4" t="s">
        <v>3868</v>
      </c>
      <c r="C821" s="5" t="s">
        <v>3467</v>
      </c>
      <c r="D821" s="5" t="s">
        <v>3468</v>
      </c>
      <c r="E821" s="12"/>
      <c r="F821" s="13">
        <f>"8466331913"</f>
      </c>
      <c r="G821" s="13">
        <f>"9788466331913"</f>
      </c>
      <c r="H821" s="11">
        <v>0</v>
      </c>
      <c r="I821" s="14">
        <v>4.6</v>
      </c>
      <c r="J821" s="7" t="s">
        <v>3869</v>
      </c>
      <c r="K821" s="5" t="s">
        <v>60</v>
      </c>
      <c r="L821" s="11">
        <v>928</v>
      </c>
      <c r="M821" s="11">
        <v>2016</v>
      </c>
      <c r="N821" s="11">
        <v>1996</v>
      </c>
      <c r="O821" s="15"/>
      <c r="P821" s="8">
        <v>45113</v>
      </c>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4" t="s">
        <v>3258</v>
      </c>
      <c r="AY821" s="5" t="s">
        <v>3870</v>
      </c>
      <c r="AZ821" s="5" t="s">
        <v>38</v>
      </c>
      <c r="BA821" s="12"/>
      <c r="BB821" s="12"/>
      <c r="BC821" s="12"/>
      <c r="BD821" s="11">
        <v>0</v>
      </c>
      <c r="BE821" s="11">
        <v>1</v>
      </c>
    </row>
    <row x14ac:dyDescent="0.25" r="822" customHeight="1" ht="17.25">
      <c r="A822" s="11">
        <v>2454275</v>
      </c>
      <c r="B822" s="4" t="s">
        <v>3871</v>
      </c>
      <c r="C822" s="5" t="s">
        <v>3872</v>
      </c>
      <c r="D822" s="5" t="s">
        <v>3873</v>
      </c>
      <c r="E822" s="12"/>
      <c r="F822" s="13">
        <f>"1565842103"</f>
      </c>
      <c r="G822" s="13">
        <f>"9781565842106"</f>
      </c>
      <c r="H822" s="11">
        <v>0</v>
      </c>
      <c r="I822" s="14">
        <v>4.08</v>
      </c>
      <c r="J822" s="7" t="s">
        <v>2899</v>
      </c>
      <c r="K822" s="5" t="s">
        <v>72</v>
      </c>
      <c r="L822" s="11">
        <v>384</v>
      </c>
      <c r="M822" s="11">
        <v>1994</v>
      </c>
      <c r="N822" s="11">
        <v>1994</v>
      </c>
      <c r="O822" s="15"/>
      <c r="P822" s="8">
        <v>45113</v>
      </c>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4" t="s">
        <v>3369</v>
      </c>
      <c r="AY822" s="5" t="s">
        <v>3874</v>
      </c>
      <c r="AZ822" s="5" t="s">
        <v>38</v>
      </c>
      <c r="BA822" s="12"/>
      <c r="BB822" s="12"/>
      <c r="BC822" s="12"/>
      <c r="BD822" s="11">
        <v>0</v>
      </c>
      <c r="BE822" s="11">
        <v>1</v>
      </c>
    </row>
    <row x14ac:dyDescent="0.25" r="823" customHeight="1" ht="17.25">
      <c r="A823" s="11">
        <v>41038427</v>
      </c>
      <c r="B823" s="4" t="s">
        <v>3875</v>
      </c>
      <c r="C823" s="5" t="s">
        <v>3701</v>
      </c>
      <c r="D823" s="5" t="s">
        <v>3702</v>
      </c>
      <c r="E823" s="12"/>
      <c r="F823" s="13">
        <f>"0329706535"</f>
      </c>
      <c r="G823" s="13">
        <f>"9780329706531"</f>
      </c>
      <c r="H823" s="11">
        <v>0</v>
      </c>
      <c r="I823" s="14">
        <v>3.9</v>
      </c>
      <c r="J823" s="18"/>
      <c r="K823" s="5" t="s">
        <v>72</v>
      </c>
      <c r="L823" s="16"/>
      <c r="M823" s="11">
        <v>2013</v>
      </c>
      <c r="N823" s="11">
        <v>1623</v>
      </c>
      <c r="O823" s="15"/>
      <c r="P823" s="8">
        <v>45113</v>
      </c>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4" t="s">
        <v>3154</v>
      </c>
      <c r="AY823" s="5" t="s">
        <v>3876</v>
      </c>
      <c r="AZ823" s="5" t="s">
        <v>38</v>
      </c>
      <c r="BA823" s="12"/>
      <c r="BB823" s="12"/>
      <c r="BC823" s="12"/>
      <c r="BD823" s="11">
        <v>0</v>
      </c>
      <c r="BE823" s="11">
        <v>1</v>
      </c>
    </row>
    <row x14ac:dyDescent="0.25" r="824" customHeight="1" ht="17.25">
      <c r="A824" s="11">
        <v>6061484</v>
      </c>
      <c r="B824" s="4" t="s">
        <v>3877</v>
      </c>
      <c r="C824" s="5" t="s">
        <v>3878</v>
      </c>
      <c r="D824" s="5" t="s">
        <v>3879</v>
      </c>
      <c r="E824" s="12"/>
      <c r="F824" s="13">
        <f>"0141036249"</f>
      </c>
      <c r="G824" s="13">
        <f>"9780141036243"</f>
      </c>
      <c r="H824" s="11">
        <v>0</v>
      </c>
      <c r="I824" s="14">
        <v>4.19</v>
      </c>
      <c r="J824" s="7" t="s">
        <v>491</v>
      </c>
      <c r="K824" s="5" t="s">
        <v>60</v>
      </c>
      <c r="L824" s="11">
        <v>365</v>
      </c>
      <c r="M824" s="11">
        <v>2008</v>
      </c>
      <c r="N824" s="11">
        <v>2008</v>
      </c>
      <c r="O824" s="15"/>
      <c r="P824" s="8">
        <v>45113</v>
      </c>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4" t="s">
        <v>2015</v>
      </c>
      <c r="AY824" s="5" t="s">
        <v>3880</v>
      </c>
      <c r="AZ824" s="5" t="s">
        <v>38</v>
      </c>
      <c r="BA824" s="12"/>
      <c r="BB824" s="12"/>
      <c r="BC824" s="12"/>
      <c r="BD824" s="11">
        <v>0</v>
      </c>
      <c r="BE824" s="11">
        <v>1</v>
      </c>
    </row>
    <row x14ac:dyDescent="0.25" r="825" customHeight="1" ht="17.25">
      <c r="A825" s="11">
        <v>77532</v>
      </c>
      <c r="B825" s="4" t="s">
        <v>3881</v>
      </c>
      <c r="C825" s="5" t="s">
        <v>1973</v>
      </c>
      <c r="D825" s="5" t="s">
        <v>1974</v>
      </c>
      <c r="E825" s="12"/>
      <c r="F825" s="13">
        <f>"0316769509"</f>
      </c>
      <c r="G825" s="13">
        <f>"9780316769501"</f>
      </c>
      <c r="H825" s="11">
        <v>0</v>
      </c>
      <c r="I825" s="14">
        <v>4.18</v>
      </c>
      <c r="J825" s="7" t="s">
        <v>411</v>
      </c>
      <c r="K825" s="5" t="s">
        <v>346</v>
      </c>
      <c r="L825" s="11">
        <v>198</v>
      </c>
      <c r="M825" s="11">
        <v>1991</v>
      </c>
      <c r="N825" s="11">
        <v>1953</v>
      </c>
      <c r="O825" s="15"/>
      <c r="P825" s="8">
        <v>45113</v>
      </c>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4" t="s">
        <v>3258</v>
      </c>
      <c r="AY825" s="5" t="s">
        <v>3882</v>
      </c>
      <c r="AZ825" s="5" t="s">
        <v>38</v>
      </c>
      <c r="BA825" s="12"/>
      <c r="BB825" s="12"/>
      <c r="BC825" s="12"/>
      <c r="BD825" s="11">
        <v>0</v>
      </c>
      <c r="BE825" s="11">
        <v>1</v>
      </c>
    </row>
    <row x14ac:dyDescent="0.25" r="826" customHeight="1" ht="17.25">
      <c r="A826" s="11">
        <v>10385073</v>
      </c>
      <c r="B826" s="4" t="s">
        <v>3883</v>
      </c>
      <c r="C826" s="5" t="s">
        <v>3884</v>
      </c>
      <c r="D826" s="5" t="s">
        <v>3885</v>
      </c>
      <c r="E826" s="12"/>
      <c r="F826" s="13">
        <f>""</f>
      </c>
      <c r="G826" s="13">
        <f>""</f>
      </c>
      <c r="H826" s="11">
        <v>0</v>
      </c>
      <c r="I826" s="14">
        <v>4.13</v>
      </c>
      <c r="J826" s="18"/>
      <c r="K826" s="5" t="s">
        <v>90</v>
      </c>
      <c r="L826" s="11">
        <v>724</v>
      </c>
      <c r="M826" s="16"/>
      <c r="N826" s="11">
        <v>1969</v>
      </c>
      <c r="O826" s="15"/>
      <c r="P826" s="8">
        <v>45113</v>
      </c>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4" t="s">
        <v>3191</v>
      </c>
      <c r="AY826" s="5" t="s">
        <v>3886</v>
      </c>
      <c r="AZ826" s="5" t="s">
        <v>38</v>
      </c>
      <c r="BA826" s="12"/>
      <c r="BB826" s="12"/>
      <c r="BC826" s="12"/>
      <c r="BD826" s="11">
        <v>0</v>
      </c>
      <c r="BE826" s="11">
        <v>1</v>
      </c>
    </row>
    <row x14ac:dyDescent="0.25" r="827" customHeight="1" ht="17.25">
      <c r="A827" s="11">
        <v>145625252</v>
      </c>
      <c r="B827" s="4" t="s">
        <v>3887</v>
      </c>
      <c r="C827" s="5" t="s">
        <v>3888</v>
      </c>
      <c r="D827" s="5" t="s">
        <v>3889</v>
      </c>
      <c r="E827" s="5" t="s">
        <v>3890</v>
      </c>
      <c r="F827" s="13">
        <f>"1609807871"</f>
      </c>
      <c r="G827" s="13">
        <f>"9781609807870"</f>
      </c>
      <c r="H827" s="11">
        <v>0</v>
      </c>
      <c r="I827" s="14">
        <v>4.17</v>
      </c>
      <c r="J827" s="7" t="s">
        <v>1984</v>
      </c>
      <c r="K827" s="5" t="s">
        <v>60</v>
      </c>
      <c r="L827" s="11">
        <v>240</v>
      </c>
      <c r="M827" s="11">
        <v>2023</v>
      </c>
      <c r="N827" s="11">
        <v>2008</v>
      </c>
      <c r="O827" s="15"/>
      <c r="P827" s="8">
        <v>45113</v>
      </c>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4" t="s">
        <v>3164</v>
      </c>
      <c r="AY827" s="5" t="s">
        <v>3891</v>
      </c>
      <c r="AZ827" s="5" t="s">
        <v>38</v>
      </c>
      <c r="BA827" s="12"/>
      <c r="BB827" s="12"/>
      <c r="BC827" s="12"/>
      <c r="BD827" s="11">
        <v>0</v>
      </c>
      <c r="BE827" s="11">
        <v>1</v>
      </c>
    </row>
    <row x14ac:dyDescent="0.25" r="828" customHeight="1" ht="17.25">
      <c r="A828" s="11">
        <v>1762665</v>
      </c>
      <c r="B828" s="4" t="s">
        <v>3892</v>
      </c>
      <c r="C828" s="5" t="s">
        <v>801</v>
      </c>
      <c r="D828" s="5" t="s">
        <v>802</v>
      </c>
      <c r="E828" s="12"/>
      <c r="F828" s="13">
        <f>"0195093712"</f>
      </c>
      <c r="G828" s="13">
        <f>"9780195093711"</f>
      </c>
      <c r="H828" s="11">
        <v>0</v>
      </c>
      <c r="I828" s="14">
        <v>3.99</v>
      </c>
      <c r="J828" s="7" t="s">
        <v>245</v>
      </c>
      <c r="K828" s="5" t="s">
        <v>72</v>
      </c>
      <c r="L828" s="16"/>
      <c r="M828" s="11">
        <v>1995</v>
      </c>
      <c r="N828" s="11">
        <v>1995</v>
      </c>
      <c r="O828" s="15"/>
      <c r="P828" s="8">
        <v>45113</v>
      </c>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4" t="s">
        <v>3359</v>
      </c>
      <c r="AY828" s="5" t="s">
        <v>3893</v>
      </c>
      <c r="AZ828" s="5" t="s">
        <v>38</v>
      </c>
      <c r="BA828" s="12"/>
      <c r="BB828" s="12"/>
      <c r="BC828" s="12"/>
      <c r="BD828" s="11">
        <v>0</v>
      </c>
      <c r="BE828" s="11">
        <v>1</v>
      </c>
    </row>
    <row x14ac:dyDescent="0.25" r="829" customHeight="1" ht="17.25">
      <c r="A829" s="11">
        <v>1100618</v>
      </c>
      <c r="B829" s="4" t="s">
        <v>3894</v>
      </c>
      <c r="C829" s="5" t="s">
        <v>3895</v>
      </c>
      <c r="D829" s="5" t="s">
        <v>3896</v>
      </c>
      <c r="E829" s="5" t="s">
        <v>3897</v>
      </c>
      <c r="F829" s="13">
        <f>"0374503486"</f>
      </c>
      <c r="G829" s="13">
        <f>"9780374503482"</f>
      </c>
      <c r="H829" s="11">
        <v>0</v>
      </c>
      <c r="I829" s="14">
        <v>4.23</v>
      </c>
      <c r="J829" s="7" t="s">
        <v>120</v>
      </c>
      <c r="K829" s="5" t="s">
        <v>60</v>
      </c>
      <c r="L829" s="11">
        <v>347</v>
      </c>
      <c r="M829" s="11">
        <v>1990</v>
      </c>
      <c r="N829" s="11">
        <v>1951</v>
      </c>
      <c r="O829" s="15"/>
      <c r="P829" s="8">
        <v>45113</v>
      </c>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4" t="s">
        <v>3501</v>
      </c>
      <c r="AY829" s="5" t="s">
        <v>3898</v>
      </c>
      <c r="AZ829" s="5" t="s">
        <v>38</v>
      </c>
      <c r="BA829" s="12"/>
      <c r="BB829" s="12"/>
      <c r="BC829" s="12"/>
      <c r="BD829" s="11">
        <v>0</v>
      </c>
      <c r="BE829" s="11">
        <v>1</v>
      </c>
    </row>
    <row x14ac:dyDescent="0.25" r="830" customHeight="1" ht="17.25">
      <c r="A830" s="11">
        <v>22716550</v>
      </c>
      <c r="B830" s="4" t="s">
        <v>3899</v>
      </c>
      <c r="C830" s="5" t="s">
        <v>3900</v>
      </c>
      <c r="D830" s="5" t="s">
        <v>3901</v>
      </c>
      <c r="E830" s="5" t="s">
        <v>3902</v>
      </c>
      <c r="F830" s="13">
        <f>"1590178602"</f>
      </c>
      <c r="G830" s="13">
        <f>"9781590178607"</f>
      </c>
      <c r="H830" s="11">
        <v>0</v>
      </c>
      <c r="I830" s="14">
        <v>3.93</v>
      </c>
      <c r="J830" s="7" t="s">
        <v>108</v>
      </c>
      <c r="K830" s="5" t="s">
        <v>60</v>
      </c>
      <c r="L830" s="11">
        <v>100</v>
      </c>
      <c r="M830" s="11">
        <v>2015</v>
      </c>
      <c r="N830" s="11">
        <v>-480</v>
      </c>
      <c r="O830" s="15"/>
      <c r="P830" s="8">
        <v>45111</v>
      </c>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4" t="s">
        <v>3903</v>
      </c>
      <c r="AY830" s="5" t="s">
        <v>3904</v>
      </c>
      <c r="AZ830" s="5" t="s">
        <v>38</v>
      </c>
      <c r="BA830" s="12"/>
      <c r="BB830" s="12"/>
      <c r="BC830" s="12"/>
      <c r="BD830" s="11">
        <v>0</v>
      </c>
      <c r="BE830" s="11">
        <v>1</v>
      </c>
    </row>
    <row x14ac:dyDescent="0.25" r="831" customHeight="1" ht="15.75">
      <c r="A831" s="11">
        <v>84736</v>
      </c>
      <c r="B831" s="4" t="s">
        <v>3905</v>
      </c>
      <c r="C831" s="5" t="s">
        <v>3906</v>
      </c>
      <c r="D831" s="5" t="s">
        <v>3907</v>
      </c>
      <c r="E831" s="12"/>
      <c r="F831" s="13">
        <f>"0446619035"</f>
      </c>
      <c r="G831" s="13">
        <f>"9780446619035"</f>
      </c>
      <c r="H831" s="11">
        <v>0</v>
      </c>
      <c r="I831" s="14">
        <v>3.99</v>
      </c>
      <c r="J831" s="7" t="s">
        <v>3908</v>
      </c>
      <c r="K831" s="5" t="s">
        <v>346</v>
      </c>
      <c r="L831" s="11">
        <v>413</v>
      </c>
      <c r="M831" s="11">
        <v>2006</v>
      </c>
      <c r="N831" s="11">
        <v>2005</v>
      </c>
      <c r="O831" s="15"/>
      <c r="P831" s="8">
        <v>45113</v>
      </c>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4" t="s">
        <v>2460</v>
      </c>
      <c r="AY831" s="5" t="s">
        <v>3909</v>
      </c>
      <c r="AZ831" s="5" t="s">
        <v>38</v>
      </c>
      <c r="BA831" s="12"/>
      <c r="BB831" s="12"/>
      <c r="BC831" s="12"/>
      <c r="BD831" s="11">
        <v>0</v>
      </c>
      <c r="BE831" s="11">
        <v>1</v>
      </c>
    </row>
    <row x14ac:dyDescent="0.25" r="832" customHeight="1" ht="17.25">
      <c r="A832" s="11">
        <v>2310551</v>
      </c>
      <c r="B832" s="4" t="s">
        <v>3910</v>
      </c>
      <c r="C832" s="5" t="s">
        <v>1285</v>
      </c>
      <c r="D832" s="5" t="s">
        <v>1286</v>
      </c>
      <c r="E832" s="12"/>
      <c r="F832" s="13">
        <f>"8420613533"</f>
      </c>
      <c r="G832" s="13">
        <f>"9788420613536"</f>
      </c>
      <c r="H832" s="11">
        <v>0</v>
      </c>
      <c r="I832" s="14">
        <v>3.93</v>
      </c>
      <c r="J832" s="7" t="s">
        <v>3911</v>
      </c>
      <c r="K832" s="5" t="s">
        <v>60</v>
      </c>
      <c r="L832" s="11">
        <v>138</v>
      </c>
      <c r="M832" s="11">
        <v>1983</v>
      </c>
      <c r="N832" s="11">
        <v>1935</v>
      </c>
      <c r="O832" s="15"/>
      <c r="P832" s="8">
        <v>44814</v>
      </c>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4" t="s">
        <v>3191</v>
      </c>
      <c r="AY832" s="5" t="s">
        <v>3912</v>
      </c>
      <c r="AZ832" s="5" t="s">
        <v>38</v>
      </c>
      <c r="BA832" s="12"/>
      <c r="BB832" s="12"/>
      <c r="BC832" s="12"/>
      <c r="BD832" s="11">
        <v>0</v>
      </c>
      <c r="BE832" s="11">
        <v>1</v>
      </c>
    </row>
    <row x14ac:dyDescent="0.25" r="833" customHeight="1" ht="17.25">
      <c r="A833" s="11">
        <v>1153009</v>
      </c>
      <c r="B833" s="4" t="s">
        <v>3913</v>
      </c>
      <c r="C833" s="5" t="s">
        <v>3568</v>
      </c>
      <c r="D833" s="5" t="s">
        <v>3569</v>
      </c>
      <c r="E833" s="12"/>
      <c r="F833" s="13">
        <f>"2940373043"</f>
      </c>
      <c r="G833" s="13">
        <f>"9782940373048"</f>
      </c>
      <c r="H833" s="11">
        <v>0</v>
      </c>
      <c r="I833" s="14">
        <v>3.89</v>
      </c>
      <c r="J833" s="7" t="s">
        <v>3914</v>
      </c>
      <c r="K833" s="5" t="s">
        <v>60</v>
      </c>
      <c r="L833" s="11">
        <v>176</v>
      </c>
      <c r="M833" s="11">
        <v>2006</v>
      </c>
      <c r="N833" s="11">
        <v>2006</v>
      </c>
      <c r="O833" s="15"/>
      <c r="P833" s="8">
        <v>44814</v>
      </c>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4" t="s">
        <v>3216</v>
      </c>
      <c r="AY833" s="5" t="s">
        <v>3915</v>
      </c>
      <c r="AZ833" s="5" t="s">
        <v>38</v>
      </c>
      <c r="BA833" s="12"/>
      <c r="BB833" s="12"/>
      <c r="BC833" s="12"/>
      <c r="BD833" s="11">
        <v>0</v>
      </c>
      <c r="BE833" s="11">
        <v>1</v>
      </c>
    </row>
    <row x14ac:dyDescent="0.25" r="834" customHeight="1" ht="17.25">
      <c r="A834" s="11">
        <v>2223330</v>
      </c>
      <c r="B834" s="4" t="s">
        <v>3916</v>
      </c>
      <c r="C834" s="5" t="s">
        <v>1285</v>
      </c>
      <c r="D834" s="5" t="s">
        <v>1286</v>
      </c>
      <c r="E834" s="12"/>
      <c r="F834" s="13">
        <f>"8420633127"</f>
      </c>
      <c r="G834" s="13">
        <f>"9788420633121"</f>
      </c>
      <c r="H834" s="11">
        <v>0</v>
      </c>
      <c r="I834" s="14">
        <v>4.42</v>
      </c>
      <c r="J834" s="7" t="s">
        <v>3917</v>
      </c>
      <c r="K834" s="5" t="s">
        <v>60</v>
      </c>
      <c r="L834" s="11">
        <v>218</v>
      </c>
      <c r="M834" s="11">
        <v>2004</v>
      </c>
      <c r="N834" s="11">
        <v>1944</v>
      </c>
      <c r="O834" s="15"/>
      <c r="P834" s="8">
        <v>44814</v>
      </c>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4" t="s">
        <v>3191</v>
      </c>
      <c r="AY834" s="5" t="s">
        <v>3918</v>
      </c>
      <c r="AZ834" s="5" t="s">
        <v>38</v>
      </c>
      <c r="BA834" s="12"/>
      <c r="BB834" s="12"/>
      <c r="BC834" s="12"/>
      <c r="BD834" s="11">
        <v>0</v>
      </c>
      <c r="BE834" s="11">
        <v>1</v>
      </c>
    </row>
    <row x14ac:dyDescent="0.25" r="835" customHeight="1" ht="17.25">
      <c r="A835" s="11">
        <v>8151</v>
      </c>
      <c r="B835" s="4" t="s">
        <v>3919</v>
      </c>
      <c r="C835" s="5" t="s">
        <v>3884</v>
      </c>
      <c r="D835" s="5" t="s">
        <v>3885</v>
      </c>
      <c r="E835" s="12"/>
      <c r="F835" s="13">
        <f>"0811216748"</f>
      </c>
      <c r="G835" s="13">
        <f>"9780811216746"</f>
      </c>
      <c r="H835" s="11">
        <v>4</v>
      </c>
      <c r="I835" s="11">
        <v>4</v>
      </c>
      <c r="J835" s="7" t="s">
        <v>126</v>
      </c>
      <c r="K835" s="5" t="s">
        <v>60</v>
      </c>
      <c r="L835" s="11">
        <v>292</v>
      </c>
      <c r="M835" s="11">
        <v>2006</v>
      </c>
      <c r="N835" s="11">
        <v>1932</v>
      </c>
      <c r="O835" s="8">
        <v>45083</v>
      </c>
      <c r="P835" s="8">
        <v>45046</v>
      </c>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4" t="s">
        <v>3191</v>
      </c>
      <c r="AY835" s="5" t="s">
        <v>3920</v>
      </c>
      <c r="AZ835" s="5" t="s">
        <v>38</v>
      </c>
      <c r="BA835" s="12"/>
      <c r="BB835" s="12"/>
      <c r="BC835" s="12"/>
      <c r="BD835" s="11">
        <v>1</v>
      </c>
      <c r="BE835" s="11">
        <v>1</v>
      </c>
    </row>
    <row x14ac:dyDescent="0.25" r="836" customHeight="1" ht="15.75">
      <c r="A836" s="11">
        <v>335009</v>
      </c>
      <c r="B836" s="4" t="s">
        <v>3921</v>
      </c>
      <c r="C836" s="5" t="s">
        <v>3076</v>
      </c>
      <c r="D836" s="5" t="s">
        <v>3077</v>
      </c>
      <c r="E836" s="5" t="s">
        <v>3606</v>
      </c>
      <c r="F836" s="13">
        <f>"0151446474"</f>
      </c>
      <c r="G836" s="13">
        <f>"9780151446476"</f>
      </c>
      <c r="H836" s="11">
        <v>0</v>
      </c>
      <c r="I836" s="14">
        <v>4.13</v>
      </c>
      <c r="J836" s="7" t="s">
        <v>3922</v>
      </c>
      <c r="K836" s="5" t="s">
        <v>72</v>
      </c>
      <c r="L836" s="11">
        <v>512</v>
      </c>
      <c r="M836" s="11">
        <v>1983</v>
      </c>
      <c r="N836" s="11">
        <v>1980</v>
      </c>
      <c r="O836" s="15"/>
      <c r="P836" s="8">
        <v>44814</v>
      </c>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4" t="s">
        <v>2460</v>
      </c>
      <c r="AY836" s="5" t="s">
        <v>3923</v>
      </c>
      <c r="AZ836" s="5" t="s">
        <v>38</v>
      </c>
      <c r="BA836" s="12"/>
      <c r="BB836" s="12"/>
      <c r="BC836" s="12"/>
      <c r="BD836" s="11">
        <v>0</v>
      </c>
      <c r="BE836" s="11">
        <v>1</v>
      </c>
    </row>
    <row x14ac:dyDescent="0.25" r="837" customHeight="1" ht="17.25">
      <c r="A837" s="11">
        <v>16566</v>
      </c>
      <c r="B837" s="4" t="s">
        <v>3924</v>
      </c>
      <c r="C837" s="5" t="s">
        <v>1285</v>
      </c>
      <c r="D837" s="5" t="s">
        <v>1286</v>
      </c>
      <c r="E837" s="5" t="s">
        <v>3925</v>
      </c>
      <c r="F837" s="13">
        <f>"0140290117"</f>
      </c>
      <c r="G837" s="13">
        <f>"9780140290110"</f>
      </c>
      <c r="H837" s="11">
        <v>0</v>
      </c>
      <c r="I837" s="14">
        <v>4.44</v>
      </c>
      <c r="J837" s="7" t="s">
        <v>491</v>
      </c>
      <c r="K837" s="5" t="s">
        <v>60</v>
      </c>
      <c r="L837" s="11">
        <v>560</v>
      </c>
      <c r="M837" s="11">
        <v>2000</v>
      </c>
      <c r="N837" s="11">
        <v>1999</v>
      </c>
      <c r="O837" s="15"/>
      <c r="P837" s="8">
        <v>44814</v>
      </c>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4" t="s">
        <v>3191</v>
      </c>
      <c r="AY837" s="5" t="s">
        <v>3926</v>
      </c>
      <c r="AZ837" s="5" t="s">
        <v>38</v>
      </c>
      <c r="BA837" s="12"/>
      <c r="BB837" s="12"/>
      <c r="BC837" s="12"/>
      <c r="BD837" s="11">
        <v>0</v>
      </c>
      <c r="BE837" s="11">
        <v>1</v>
      </c>
    </row>
    <row x14ac:dyDescent="0.25" r="838" customHeight="1" ht="17.25">
      <c r="A838" s="11">
        <v>2901087</v>
      </c>
      <c r="B838" s="4" t="s">
        <v>3927</v>
      </c>
      <c r="C838" s="5" t="s">
        <v>1285</v>
      </c>
      <c r="D838" s="5" t="s">
        <v>1286</v>
      </c>
      <c r="E838" s="12"/>
      <c r="F838" s="13">
        <f>"9507311084"</f>
      </c>
      <c r="G838" s="13">
        <f>"9789507311086"</f>
      </c>
      <c r="H838" s="11">
        <v>0</v>
      </c>
      <c r="I838" s="14">
        <v>3.61</v>
      </c>
      <c r="J838" s="7" t="s">
        <v>3928</v>
      </c>
      <c r="K838" s="5" t="s">
        <v>60</v>
      </c>
      <c r="L838" s="11">
        <v>152</v>
      </c>
      <c r="M838" s="11">
        <v>1994</v>
      </c>
      <c r="N838" s="11">
        <v>1928</v>
      </c>
      <c r="O838" s="15"/>
      <c r="P838" s="8">
        <v>44814</v>
      </c>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4" t="s">
        <v>3191</v>
      </c>
      <c r="AY838" s="5" t="s">
        <v>3929</v>
      </c>
      <c r="AZ838" s="5" t="s">
        <v>38</v>
      </c>
      <c r="BA838" s="12"/>
      <c r="BB838" s="12"/>
      <c r="BC838" s="12"/>
      <c r="BD838" s="11">
        <v>0</v>
      </c>
      <c r="BE838" s="11">
        <v>1</v>
      </c>
    </row>
    <row x14ac:dyDescent="0.25" r="839" customHeight="1" ht="15.75">
      <c r="A839" s="11">
        <v>59651372</v>
      </c>
      <c r="B839" s="4" t="s">
        <v>3930</v>
      </c>
      <c r="C839" s="5" t="s">
        <v>3931</v>
      </c>
      <c r="D839" s="5" t="s">
        <v>3932</v>
      </c>
      <c r="E839" s="12"/>
      <c r="F839" s="13">
        <f>"0679781498"</f>
      </c>
      <c r="G839" s="13">
        <f>"9780679781493"</f>
      </c>
      <c r="H839" s="11">
        <v>0</v>
      </c>
      <c r="I839" s="14">
        <v>3.6</v>
      </c>
      <c r="J839" s="7" t="s">
        <v>294</v>
      </c>
      <c r="K839" s="5" t="s">
        <v>60</v>
      </c>
      <c r="L839" s="11">
        <v>208</v>
      </c>
      <c r="M839" s="11">
        <v>1998</v>
      </c>
      <c r="N839" s="11">
        <v>1985</v>
      </c>
      <c r="O839" s="15"/>
      <c r="P839" s="8">
        <v>44814</v>
      </c>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4" t="s">
        <v>2460</v>
      </c>
      <c r="AY839" s="5" t="s">
        <v>3933</v>
      </c>
      <c r="AZ839" s="5" t="s">
        <v>38</v>
      </c>
      <c r="BA839" s="12"/>
      <c r="BB839" s="12"/>
      <c r="BC839" s="12"/>
      <c r="BD839" s="11">
        <v>0</v>
      </c>
      <c r="BE839" s="11">
        <v>1</v>
      </c>
    </row>
    <row x14ac:dyDescent="0.25" r="840" customHeight="1" ht="15.75">
      <c r="A840" s="11">
        <v>54872718</v>
      </c>
      <c r="B840" s="4" t="s">
        <v>3934</v>
      </c>
      <c r="C840" s="5" t="s">
        <v>3935</v>
      </c>
      <c r="D840" s="5" t="s">
        <v>3936</v>
      </c>
      <c r="E840" s="12"/>
      <c r="F840" s="13">
        <f>"015603008X"</f>
      </c>
      <c r="G840" s="13">
        <f>"9780156030083"</f>
      </c>
      <c r="H840" s="11">
        <v>5</v>
      </c>
      <c r="I840" s="14">
        <v>4.2</v>
      </c>
      <c r="J840" s="7" t="s">
        <v>2712</v>
      </c>
      <c r="K840" s="5" t="s">
        <v>346</v>
      </c>
      <c r="L840" s="11">
        <v>311</v>
      </c>
      <c r="M840" s="11">
        <v>2004</v>
      </c>
      <c r="N840" s="11">
        <v>1966</v>
      </c>
      <c r="O840" s="15"/>
      <c r="P840" s="8">
        <v>44814</v>
      </c>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4" t="s">
        <v>2460</v>
      </c>
      <c r="AY840" s="5" t="s">
        <v>3937</v>
      </c>
      <c r="AZ840" s="5" t="s">
        <v>38</v>
      </c>
      <c r="BA840" s="12"/>
      <c r="BB840" s="12"/>
      <c r="BC840" s="12"/>
      <c r="BD840" s="11">
        <v>1</v>
      </c>
      <c r="BE840" s="11">
        <v>1</v>
      </c>
    </row>
    <row x14ac:dyDescent="0.25" r="841" customHeight="1" ht="15.75">
      <c r="A841" s="11">
        <v>1163218</v>
      </c>
      <c r="B841" s="4" t="s">
        <v>3938</v>
      </c>
      <c r="C841" s="5" t="s">
        <v>3939</v>
      </c>
      <c r="D841" s="5" t="s">
        <v>3940</v>
      </c>
      <c r="E841" s="5" t="s">
        <v>1285</v>
      </c>
      <c r="F841" s="13">
        <f>"9500401797"</f>
      </c>
      <c r="G841" s="13">
        <f>"9789500401791"</f>
      </c>
      <c r="H841" s="11">
        <v>0</v>
      </c>
      <c r="I841" s="14">
        <v>4.03</v>
      </c>
      <c r="J841" s="7" t="s">
        <v>3941</v>
      </c>
      <c r="K841" s="5" t="s">
        <v>60</v>
      </c>
      <c r="L841" s="11">
        <v>155</v>
      </c>
      <c r="M841" s="11">
        <v>1996</v>
      </c>
      <c r="N841" s="11">
        <v>1940</v>
      </c>
      <c r="O841" s="15"/>
      <c r="P841" s="8">
        <v>44814</v>
      </c>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4" t="s">
        <v>2460</v>
      </c>
      <c r="AY841" s="5" t="s">
        <v>3942</v>
      </c>
      <c r="AZ841" s="5" t="s">
        <v>38</v>
      </c>
      <c r="BA841" s="12"/>
      <c r="BB841" s="12"/>
      <c r="BC841" s="12"/>
      <c r="BD841" s="11">
        <v>0</v>
      </c>
      <c r="BE841" s="11">
        <v>1</v>
      </c>
    </row>
    <row x14ac:dyDescent="0.25" r="842" customHeight="1" ht="15.75">
      <c r="A842" s="11">
        <v>17328366</v>
      </c>
      <c r="B842" s="4" t="s">
        <v>3943</v>
      </c>
      <c r="C842" s="5" t="s">
        <v>3944</v>
      </c>
      <c r="D842" s="5" t="s">
        <v>3945</v>
      </c>
      <c r="E842" s="12"/>
      <c r="F842" s="13">
        <f>"1843440717"</f>
      </c>
      <c r="G842" s="13">
        <f>"9781843440710"</f>
      </c>
      <c r="H842" s="11">
        <v>0</v>
      </c>
      <c r="I842" s="14">
        <v>4.28</v>
      </c>
      <c r="J842" s="7" t="s">
        <v>3946</v>
      </c>
      <c r="K842" s="5" t="s">
        <v>60</v>
      </c>
      <c r="L842" s="11">
        <v>320</v>
      </c>
      <c r="M842" s="11">
        <v>2013</v>
      </c>
      <c r="N842" s="11">
        <v>1813</v>
      </c>
      <c r="O842" s="15"/>
      <c r="P842" s="8">
        <v>44814</v>
      </c>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4" t="s">
        <v>2460</v>
      </c>
      <c r="AY842" s="5" t="s">
        <v>3947</v>
      </c>
      <c r="AZ842" s="5" t="s">
        <v>38</v>
      </c>
      <c r="BA842" s="12"/>
      <c r="BB842" s="12"/>
      <c r="BC842" s="12"/>
      <c r="BD842" s="11">
        <v>0</v>
      </c>
      <c r="BE842" s="11">
        <v>1</v>
      </c>
    </row>
    <row x14ac:dyDescent="0.25" r="843" customHeight="1" ht="15.75">
      <c r="A843" s="11">
        <v>1178525</v>
      </c>
      <c r="B843" s="4" t="s">
        <v>3948</v>
      </c>
      <c r="C843" s="5" t="s">
        <v>3949</v>
      </c>
      <c r="D843" s="5" t="s">
        <v>3950</v>
      </c>
      <c r="E843" s="12"/>
      <c r="F843" s="13">
        <f>"0140185585"</f>
      </c>
      <c r="G843" s="13">
        <f>"9780140185584"</f>
      </c>
      <c r="H843" s="11">
        <v>0</v>
      </c>
      <c r="I843" s="14">
        <v>3.75</v>
      </c>
      <c r="J843" s="7" t="s">
        <v>182</v>
      </c>
      <c r="K843" s="5" t="s">
        <v>60</v>
      </c>
      <c r="L843" s="11">
        <v>939</v>
      </c>
      <c r="M843" s="11">
        <v>1992</v>
      </c>
      <c r="N843" s="11">
        <v>1922</v>
      </c>
      <c r="O843" s="15"/>
      <c r="P843" s="8">
        <v>44814</v>
      </c>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4" t="s">
        <v>2460</v>
      </c>
      <c r="AY843" s="5" t="s">
        <v>3951</v>
      </c>
      <c r="AZ843" s="5" t="s">
        <v>38</v>
      </c>
      <c r="BA843" s="12"/>
      <c r="BB843" s="12"/>
      <c r="BC843" s="12"/>
      <c r="BD843" s="11">
        <v>0</v>
      </c>
      <c r="BE843" s="11">
        <v>1</v>
      </c>
    </row>
    <row x14ac:dyDescent="0.25" r="844" customHeight="1" ht="17.25">
      <c r="A844" s="11">
        <v>1371</v>
      </c>
      <c r="B844" s="4" t="s">
        <v>3952</v>
      </c>
      <c r="C844" s="5" t="s">
        <v>1309</v>
      </c>
      <c r="D844" s="5" t="s">
        <v>1310</v>
      </c>
      <c r="E844" s="5" t="s">
        <v>3953</v>
      </c>
      <c r="F844" s="13">
        <f>"0140275363"</f>
      </c>
      <c r="G844" s="13">
        <f>"9780140275360"</f>
      </c>
      <c r="H844" s="11">
        <v>0</v>
      </c>
      <c r="I844" s="14">
        <v>3.9</v>
      </c>
      <c r="J844" s="7" t="s">
        <v>263</v>
      </c>
      <c r="K844" s="5" t="s">
        <v>60</v>
      </c>
      <c r="L844" s="11">
        <v>704</v>
      </c>
      <c r="M844" s="11">
        <v>1999</v>
      </c>
      <c r="N844" s="11">
        <v>-700</v>
      </c>
      <c r="O844" s="15"/>
      <c r="P844" s="8">
        <v>44814</v>
      </c>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4" t="s">
        <v>3954</v>
      </c>
      <c r="AY844" s="5" t="s">
        <v>3955</v>
      </c>
      <c r="AZ844" s="5" t="s">
        <v>38</v>
      </c>
      <c r="BA844" s="12"/>
      <c r="BB844" s="12"/>
      <c r="BC844" s="12"/>
      <c r="BD844" s="11">
        <v>0</v>
      </c>
      <c r="BE844" s="11">
        <v>1</v>
      </c>
    </row>
    <row x14ac:dyDescent="0.25" r="845" customHeight="1" ht="15.75">
      <c r="A845" s="11">
        <v>5197</v>
      </c>
      <c r="B845" s="4" t="s">
        <v>3956</v>
      </c>
      <c r="C845" s="5" t="s">
        <v>3957</v>
      </c>
      <c r="D845" s="5" t="s">
        <v>3958</v>
      </c>
      <c r="E845" s="12"/>
      <c r="F845" s="13">
        <f>"0375702709"</f>
      </c>
      <c r="G845" s="13">
        <f>"9780375702709"</f>
      </c>
      <c r="H845" s="11">
        <v>0</v>
      </c>
      <c r="I845" s="14">
        <v>3.98</v>
      </c>
      <c r="J845" s="7" t="s">
        <v>114</v>
      </c>
      <c r="K845" s="5" t="s">
        <v>60</v>
      </c>
      <c r="L845" s="11">
        <v>256</v>
      </c>
      <c r="M845" s="11">
        <v>1993</v>
      </c>
      <c r="N845" s="11">
        <v>1993</v>
      </c>
      <c r="O845" s="15"/>
      <c r="P845" s="9">
        <v>44510</v>
      </c>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4" t="s">
        <v>2460</v>
      </c>
      <c r="AY845" s="5" t="s">
        <v>3959</v>
      </c>
      <c r="AZ845" s="5" t="s">
        <v>38</v>
      </c>
      <c r="BA845" s="12"/>
      <c r="BB845" s="12"/>
      <c r="BC845" s="12"/>
      <c r="BD845" s="11">
        <v>0</v>
      </c>
      <c r="BE845" s="11">
        <v>1</v>
      </c>
    </row>
    <row x14ac:dyDescent="0.25" r="846" customHeight="1" ht="15.75">
      <c r="A846" s="11">
        <v>19976421</v>
      </c>
      <c r="B846" s="4" t="s">
        <v>3960</v>
      </c>
      <c r="C846" s="5" t="s">
        <v>3467</v>
      </c>
      <c r="D846" s="5" t="s">
        <v>3468</v>
      </c>
      <c r="E846" s="5" t="s">
        <v>707</v>
      </c>
      <c r="F846" s="13">
        <f>""</f>
      </c>
      <c r="G846" s="13">
        <f>""</f>
      </c>
      <c r="H846" s="11">
        <v>0</v>
      </c>
      <c r="I846" s="14">
        <v>4.21</v>
      </c>
      <c r="J846" s="7" t="s">
        <v>2577</v>
      </c>
      <c r="K846" s="5" t="s">
        <v>60</v>
      </c>
      <c r="L846" s="11">
        <v>576</v>
      </c>
      <c r="M846" s="11">
        <v>1987</v>
      </c>
      <c r="N846" s="11">
        <v>1963</v>
      </c>
      <c r="O846" s="15"/>
      <c r="P846" s="8">
        <v>44416</v>
      </c>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4" t="s">
        <v>2460</v>
      </c>
      <c r="AY846" s="5" t="s">
        <v>3961</v>
      </c>
      <c r="AZ846" s="5" t="s">
        <v>38</v>
      </c>
      <c r="BA846" s="12"/>
      <c r="BB846" s="12"/>
      <c r="BC846" s="12"/>
      <c r="BD846" s="11">
        <v>0</v>
      </c>
      <c r="BE846" s="11">
        <v>1</v>
      </c>
    </row>
    <row x14ac:dyDescent="0.25" r="847" customHeight="1" ht="17.25">
      <c r="A847" s="11">
        <v>43088155</v>
      </c>
      <c r="B847" s="4" t="s">
        <v>3962</v>
      </c>
      <c r="C847" s="5" t="s">
        <v>3963</v>
      </c>
      <c r="D847" s="5" t="s">
        <v>3964</v>
      </c>
      <c r="E847" s="5" t="s">
        <v>3965</v>
      </c>
      <c r="F847" s="13">
        <f>"0195003640"</f>
      </c>
      <c r="G847" s="13">
        <f>"9780195003642"</f>
      </c>
      <c r="H847" s="11">
        <v>0</v>
      </c>
      <c r="I847" s="14">
        <v>3.96</v>
      </c>
      <c r="J847" s="7" t="s">
        <v>245</v>
      </c>
      <c r="K847" s="5" t="s">
        <v>60</v>
      </c>
      <c r="L847" s="16"/>
      <c r="M847" s="11">
        <v>1971</v>
      </c>
      <c r="N847" s="11">
        <v>-375</v>
      </c>
      <c r="O847" s="15"/>
      <c r="P847" s="9">
        <v>44479</v>
      </c>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4" t="s">
        <v>3501</v>
      </c>
      <c r="AY847" s="5" t="s">
        <v>3966</v>
      </c>
      <c r="AZ847" s="5" t="s">
        <v>38</v>
      </c>
      <c r="BA847" s="12"/>
      <c r="BB847" s="12"/>
      <c r="BC847" s="12"/>
      <c r="BD847" s="11">
        <v>0</v>
      </c>
      <c r="BE847" s="11">
        <v>1</v>
      </c>
    </row>
    <row x14ac:dyDescent="0.25" r="848" customHeight="1" ht="17.25">
      <c r="A848" s="11">
        <v>61065983</v>
      </c>
      <c r="B848" s="4" t="s">
        <v>3967</v>
      </c>
      <c r="C848" s="5" t="s">
        <v>160</v>
      </c>
      <c r="D848" s="5" t="s">
        <v>161</v>
      </c>
      <c r="E848" s="12"/>
      <c r="F848" s="13">
        <f>"0593499999"</f>
      </c>
      <c r="G848" s="13">
        <f>"9780593499993"</f>
      </c>
      <c r="H848" s="11">
        <v>0</v>
      </c>
      <c r="I848" s="14">
        <v>4.19</v>
      </c>
      <c r="J848" s="7" t="s">
        <v>1872</v>
      </c>
      <c r="K848" s="5" t="s">
        <v>60</v>
      </c>
      <c r="L848" s="11">
        <v>432</v>
      </c>
      <c r="M848" s="11">
        <v>2023</v>
      </c>
      <c r="N848" s="11">
        <v>1964</v>
      </c>
      <c r="O848" s="15"/>
      <c r="P848" s="8">
        <v>44808</v>
      </c>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4" t="s">
        <v>3164</v>
      </c>
      <c r="AY848" s="5" t="s">
        <v>3968</v>
      </c>
      <c r="AZ848" s="5" t="s">
        <v>38</v>
      </c>
      <c r="BA848" s="12"/>
      <c r="BB848" s="12"/>
      <c r="BC848" s="12"/>
      <c r="BD848" s="11">
        <v>0</v>
      </c>
      <c r="BE848" s="11">
        <v>1</v>
      </c>
    </row>
    <row x14ac:dyDescent="0.25" r="849" customHeight="1" ht="17.25">
      <c r="A849" s="11">
        <v>1233242</v>
      </c>
      <c r="B849" s="4" t="s">
        <v>3969</v>
      </c>
      <c r="C849" s="5" t="s">
        <v>508</v>
      </c>
      <c r="D849" s="5" t="s">
        <v>509</v>
      </c>
      <c r="E849" s="5" t="s">
        <v>669</v>
      </c>
      <c r="F849" s="13">
        <f>"1590172531"</f>
      </c>
      <c r="G849" s="13">
        <f>"9781590172537"</f>
      </c>
      <c r="H849" s="11">
        <v>5</v>
      </c>
      <c r="I849" s="14">
        <v>4.39</v>
      </c>
      <c r="J849" s="7" t="s">
        <v>108</v>
      </c>
      <c r="K849" s="5" t="s">
        <v>60</v>
      </c>
      <c r="L849" s="11">
        <v>312</v>
      </c>
      <c r="M849" s="11">
        <v>2008</v>
      </c>
      <c r="N849" s="11">
        <v>-416</v>
      </c>
      <c r="O849" s="8">
        <v>45046</v>
      </c>
      <c r="P849" s="8">
        <v>44227</v>
      </c>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4" t="s">
        <v>3970</v>
      </c>
      <c r="AY849" s="5" t="s">
        <v>3971</v>
      </c>
      <c r="AZ849" s="5" t="s">
        <v>158</v>
      </c>
      <c r="BA849" s="12"/>
      <c r="BB849" s="12"/>
      <c r="BC849" s="12"/>
      <c r="BD849" s="11">
        <v>1</v>
      </c>
      <c r="BE849" s="11">
        <v>1</v>
      </c>
    </row>
    <row x14ac:dyDescent="0.25" r="850" customHeight="1" ht="15.75">
      <c r="A850" s="11">
        <v>3229855</v>
      </c>
      <c r="B850" s="4" t="s">
        <v>3972</v>
      </c>
      <c r="C850" s="5" t="s">
        <v>3973</v>
      </c>
      <c r="D850" s="5" t="s">
        <v>3974</v>
      </c>
      <c r="E850" s="5" t="s">
        <v>3975</v>
      </c>
      <c r="F850" s="13">
        <f>"1933372613"</f>
      </c>
      <c r="G850" s="13">
        <f>"9781933372617"</f>
      </c>
      <c r="H850" s="11">
        <v>3</v>
      </c>
      <c r="I850" s="14">
        <v>3.7</v>
      </c>
      <c r="J850" s="7" t="s">
        <v>3976</v>
      </c>
      <c r="K850" s="5" t="s">
        <v>60</v>
      </c>
      <c r="L850" s="11">
        <v>131</v>
      </c>
      <c r="M850" s="11">
        <v>2008</v>
      </c>
      <c r="N850" s="11">
        <v>2006</v>
      </c>
      <c r="O850" s="8">
        <v>43332</v>
      </c>
      <c r="P850" s="8">
        <v>43319</v>
      </c>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4" t="s">
        <v>3601</v>
      </c>
      <c r="AY850" s="5" t="s">
        <v>3977</v>
      </c>
      <c r="AZ850" s="5" t="s">
        <v>158</v>
      </c>
      <c r="BA850" s="12"/>
      <c r="BB850" s="12"/>
      <c r="BC850" s="12"/>
      <c r="BD850" s="11">
        <v>1</v>
      </c>
      <c r="BE850" s="11">
        <v>1</v>
      </c>
    </row>
    <row x14ac:dyDescent="0.25" r="851" customHeight="1" ht="15.75">
      <c r="A851" s="11">
        <v>168641</v>
      </c>
      <c r="B851" s="4" t="s">
        <v>3978</v>
      </c>
      <c r="C851" s="5" t="s">
        <v>1870</v>
      </c>
      <c r="D851" s="5" t="s">
        <v>1871</v>
      </c>
      <c r="E851" s="12"/>
      <c r="F851" s="13">
        <f>""</f>
      </c>
      <c r="G851" s="13">
        <f>""</f>
      </c>
      <c r="H851" s="11">
        <v>3</v>
      </c>
      <c r="I851" s="14">
        <v>3.89</v>
      </c>
      <c r="J851" s="7" t="s">
        <v>1950</v>
      </c>
      <c r="K851" s="5" t="s">
        <v>60</v>
      </c>
      <c r="L851" s="11">
        <v>690</v>
      </c>
      <c r="M851" s="11">
        <v>1988</v>
      </c>
      <c r="N851" s="11">
        <v>1987</v>
      </c>
      <c r="O851" s="15"/>
      <c r="P851" s="8">
        <v>43688</v>
      </c>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4" t="s">
        <v>3601</v>
      </c>
      <c r="AY851" s="5" t="s">
        <v>3979</v>
      </c>
      <c r="AZ851" s="5" t="s">
        <v>158</v>
      </c>
      <c r="BA851" s="12"/>
      <c r="BB851" s="12"/>
      <c r="BC851" s="12"/>
      <c r="BD851" s="11">
        <v>1</v>
      </c>
      <c r="BE851" s="11">
        <v>1</v>
      </c>
    </row>
    <row x14ac:dyDescent="0.25" r="852" customHeight="1" ht="17.25">
      <c r="A852" s="11">
        <v>1561322</v>
      </c>
      <c r="B852" s="4" t="s">
        <v>3980</v>
      </c>
      <c r="C852" s="5" t="s">
        <v>3593</v>
      </c>
      <c r="D852" s="5" t="s">
        <v>3594</v>
      </c>
      <c r="E852" s="12"/>
      <c r="F852" s="13">
        <f>"0743299418"</f>
      </c>
      <c r="G852" s="13">
        <f>"9780743299411"</f>
      </c>
      <c r="H852" s="11">
        <v>3</v>
      </c>
      <c r="I852" s="14">
        <v>3.8</v>
      </c>
      <c r="J852" s="7" t="s">
        <v>132</v>
      </c>
      <c r="K852" s="5" t="s">
        <v>60</v>
      </c>
      <c r="L852" s="11">
        <v>205</v>
      </c>
      <c r="M852" s="11">
        <v>2007</v>
      </c>
      <c r="N852" s="11">
        <v>2007</v>
      </c>
      <c r="O852" s="8">
        <v>42947</v>
      </c>
      <c r="P852" s="8">
        <v>42941</v>
      </c>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4" t="s">
        <v>3649</v>
      </c>
      <c r="AY852" s="5" t="s">
        <v>3981</v>
      </c>
      <c r="AZ852" s="5" t="s">
        <v>158</v>
      </c>
      <c r="BA852" s="12"/>
      <c r="BB852" s="12"/>
      <c r="BC852" s="12"/>
      <c r="BD852" s="11">
        <v>1</v>
      </c>
      <c r="BE852" s="11">
        <v>1</v>
      </c>
    </row>
    <row x14ac:dyDescent="0.25" r="853" customHeight="1" ht="17.25">
      <c r="A853" s="11">
        <v>464260</v>
      </c>
      <c r="B853" s="4" t="s">
        <v>3982</v>
      </c>
      <c r="C853" s="5" t="s">
        <v>995</v>
      </c>
      <c r="D853" s="5" t="s">
        <v>996</v>
      </c>
      <c r="E853" s="12"/>
      <c r="F853" s="13">
        <f>"067974472X"</f>
      </c>
      <c r="G853" s="13">
        <f>"9780679744726"</f>
      </c>
      <c r="H853" s="11">
        <v>4</v>
      </c>
      <c r="I853" s="14">
        <v>4.54</v>
      </c>
      <c r="J853" s="7" t="s">
        <v>114</v>
      </c>
      <c r="K853" s="5" t="s">
        <v>60</v>
      </c>
      <c r="L853" s="11">
        <v>106</v>
      </c>
      <c r="M853" s="11">
        <v>1993</v>
      </c>
      <c r="N853" s="11">
        <v>1963</v>
      </c>
      <c r="O853" s="8">
        <v>42602</v>
      </c>
      <c r="P853" s="8">
        <v>42596</v>
      </c>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4" t="s">
        <v>717</v>
      </c>
      <c r="AY853" s="5" t="s">
        <v>3983</v>
      </c>
      <c r="AZ853" s="5" t="s">
        <v>158</v>
      </c>
      <c r="BA853" s="12"/>
      <c r="BB853" s="12"/>
      <c r="BC853" s="12"/>
      <c r="BD853" s="11">
        <v>1</v>
      </c>
      <c r="BE853" s="11">
        <v>1</v>
      </c>
    </row>
    <row x14ac:dyDescent="0.25" r="854" customHeight="1" ht="17.25">
      <c r="A854" s="11">
        <v>80369</v>
      </c>
      <c r="B854" s="4" t="s">
        <v>3984</v>
      </c>
      <c r="C854" s="5" t="s">
        <v>2982</v>
      </c>
      <c r="D854" s="5" t="s">
        <v>2983</v>
      </c>
      <c r="E854" s="5" t="s">
        <v>3985</v>
      </c>
      <c r="F854" s="13">
        <f>"0679752552"</f>
      </c>
      <c r="G854" s="13">
        <f>"9780679752554"</f>
      </c>
      <c r="H854" s="11">
        <v>0</v>
      </c>
      <c r="I854" s="14">
        <v>4.23</v>
      </c>
      <c r="J854" s="7" t="s">
        <v>114</v>
      </c>
      <c r="K854" s="5" t="s">
        <v>60</v>
      </c>
      <c r="L854" s="11">
        <v>333</v>
      </c>
      <c r="M854" s="11">
        <v>1995</v>
      </c>
      <c r="N854" s="11">
        <v>1975</v>
      </c>
      <c r="O854" s="15"/>
      <c r="P854" s="8">
        <v>42856</v>
      </c>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4" t="s">
        <v>3359</v>
      </c>
      <c r="AY854" s="5" t="s">
        <v>3986</v>
      </c>
      <c r="AZ854" s="5" t="s">
        <v>38</v>
      </c>
      <c r="BA854" s="12"/>
      <c r="BB854" s="12"/>
      <c r="BC854" s="12"/>
      <c r="BD854" s="11">
        <v>1</v>
      </c>
      <c r="BE854" s="11">
        <v>1</v>
      </c>
    </row>
    <row x14ac:dyDescent="0.25" r="855" customHeight="1" ht="15.75">
      <c r="A855" s="11">
        <v>9712</v>
      </c>
      <c r="B855" s="4" t="s">
        <v>3987</v>
      </c>
      <c r="C855" s="5" t="s">
        <v>705</v>
      </c>
      <c r="D855" s="5" t="s">
        <v>706</v>
      </c>
      <c r="E855" s="5" t="s">
        <v>3988</v>
      </c>
      <c r="F855" s="13">
        <f>"140003468X"</f>
      </c>
      <c r="G855" s="13">
        <f>"9781400034680"</f>
      </c>
      <c r="H855" s="11">
        <v>0</v>
      </c>
      <c r="I855" s="14">
        <v>3.93</v>
      </c>
      <c r="J855" s="7" t="s">
        <v>284</v>
      </c>
      <c r="K855" s="5" t="s">
        <v>60</v>
      </c>
      <c r="L855" s="11">
        <v>348</v>
      </c>
      <c r="M855" s="11">
        <v>2003</v>
      </c>
      <c r="N855" s="11">
        <v>1985</v>
      </c>
      <c r="O855" s="9">
        <v>42321</v>
      </c>
      <c r="P855" s="8">
        <v>42258</v>
      </c>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4" t="s">
        <v>3601</v>
      </c>
      <c r="AY855" s="5" t="s">
        <v>3989</v>
      </c>
      <c r="AZ855" s="5" t="s">
        <v>158</v>
      </c>
      <c r="BA855" s="12"/>
      <c r="BB855" s="12"/>
      <c r="BC855" s="12"/>
      <c r="BD855" s="11">
        <v>1</v>
      </c>
      <c r="BE855" s="11">
        <v>1</v>
      </c>
    </row>
    <row x14ac:dyDescent="0.25" r="856" customHeight="1" ht="15.75">
      <c r="A856" s="11">
        <v>17316506</v>
      </c>
      <c r="B856" s="4" t="s">
        <v>3990</v>
      </c>
      <c r="C856" s="5" t="s">
        <v>995</v>
      </c>
      <c r="D856" s="5" t="s">
        <v>996</v>
      </c>
      <c r="E856" s="12"/>
      <c r="F856" s="13">
        <f>"0345806549"</f>
      </c>
      <c r="G856" s="13">
        <f>"9780345806543"</f>
      </c>
      <c r="H856" s="11">
        <v>5</v>
      </c>
      <c r="I856" s="14">
        <v>4.04</v>
      </c>
      <c r="J856" s="7" t="s">
        <v>114</v>
      </c>
      <c r="K856" s="5" t="s">
        <v>346</v>
      </c>
      <c r="L856" s="11">
        <v>263</v>
      </c>
      <c r="M856" s="11">
        <v>2013</v>
      </c>
      <c r="N856" s="11">
        <v>1953</v>
      </c>
      <c r="O856" s="8">
        <v>42134</v>
      </c>
      <c r="P856" s="8">
        <v>42115</v>
      </c>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4" t="s">
        <v>3991</v>
      </c>
      <c r="AY856" s="5" t="s">
        <v>3992</v>
      </c>
      <c r="AZ856" s="5" t="s">
        <v>158</v>
      </c>
      <c r="BA856" s="12"/>
      <c r="BB856" s="12"/>
      <c r="BC856" s="12"/>
      <c r="BD856" s="11">
        <v>1</v>
      </c>
      <c r="BE856" s="11">
        <v>1</v>
      </c>
    </row>
    <row x14ac:dyDescent="0.25" r="857" customHeight="1" ht="15.75">
      <c r="A857" s="11">
        <v>166997</v>
      </c>
      <c r="B857" s="4" t="s">
        <v>3993</v>
      </c>
      <c r="C857" s="5" t="s">
        <v>1041</v>
      </c>
      <c r="D857" s="5" t="s">
        <v>1042</v>
      </c>
      <c r="E857" s="5" t="s">
        <v>3994</v>
      </c>
      <c r="F857" s="13">
        <f>"1590171993"</f>
      </c>
      <c r="G857" s="13">
        <f>"9781590171998"</f>
      </c>
      <c r="H857" s="11">
        <v>0</v>
      </c>
      <c r="I857" s="14">
        <v>4.32</v>
      </c>
      <c r="J857" s="7" t="s">
        <v>701</v>
      </c>
      <c r="K857" s="5" t="s">
        <v>60</v>
      </c>
      <c r="L857" s="11">
        <v>288</v>
      </c>
      <c r="M857" s="11">
        <v>2006</v>
      </c>
      <c r="N857" s="11">
        <v>1965</v>
      </c>
      <c r="O857" s="15"/>
      <c r="P857" s="9">
        <v>41605</v>
      </c>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4" t="s">
        <v>2460</v>
      </c>
      <c r="AY857" s="5" t="s">
        <v>3995</v>
      </c>
      <c r="AZ857" s="5" t="s">
        <v>38</v>
      </c>
      <c r="BA857" s="12"/>
      <c r="BB857" s="12"/>
      <c r="BC857" s="12"/>
      <c r="BD857" s="11">
        <v>0</v>
      </c>
      <c r="BE857" s="11">
        <v>1</v>
      </c>
    </row>
    <row x14ac:dyDescent="0.25" r="858" customHeight="1" ht="15.75">
      <c r="A858" s="11">
        <v>58461500</v>
      </c>
      <c r="B858" s="4" t="s">
        <v>3996</v>
      </c>
      <c r="C858" s="5" t="s">
        <v>3997</v>
      </c>
      <c r="D858" s="5" t="s">
        <v>3998</v>
      </c>
      <c r="E858" s="12"/>
      <c r="F858" s="13">
        <f>"0451163966"</f>
      </c>
      <c r="G858" s="13">
        <f>"9780451163967"</f>
      </c>
      <c r="H858" s="11">
        <v>5</v>
      </c>
      <c r="I858" s="14">
        <v>4.2</v>
      </c>
      <c r="J858" s="7" t="s">
        <v>689</v>
      </c>
      <c r="K858" s="5" t="s">
        <v>346</v>
      </c>
      <c r="L858" s="11">
        <v>325</v>
      </c>
      <c r="M858" s="11">
        <v>1993</v>
      </c>
      <c r="N858" s="11">
        <v>1962</v>
      </c>
      <c r="O858" s="8">
        <v>41765</v>
      </c>
      <c r="P858" s="8">
        <v>41737</v>
      </c>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4" t="s">
        <v>3601</v>
      </c>
      <c r="AY858" s="5" t="s">
        <v>3999</v>
      </c>
      <c r="AZ858" s="5" t="s">
        <v>158</v>
      </c>
      <c r="BA858" s="12"/>
      <c r="BB858" s="12"/>
      <c r="BC858" s="12"/>
      <c r="BD858" s="11">
        <v>1</v>
      </c>
      <c r="BE858" s="11">
        <v>1</v>
      </c>
    </row>
    <row x14ac:dyDescent="0.25" r="859" customHeight="1" ht="15.75">
      <c r="A859" s="11">
        <v>397770</v>
      </c>
      <c r="B859" s="4" t="s">
        <v>4000</v>
      </c>
      <c r="C859" s="5" t="s">
        <v>281</v>
      </c>
      <c r="D859" s="5" t="s">
        <v>282</v>
      </c>
      <c r="E859" s="5" t="s">
        <v>1699</v>
      </c>
      <c r="F859" s="13">
        <f>"0679764003"</f>
      </c>
      <c r="G859" s="13">
        <f>"9780679764007"</f>
      </c>
      <c r="H859" s="11">
        <v>0</v>
      </c>
      <c r="I859" s="14">
        <v>3.81</v>
      </c>
      <c r="J859" s="7" t="s">
        <v>114</v>
      </c>
      <c r="K859" s="5" t="s">
        <v>60</v>
      </c>
      <c r="L859" s="11">
        <v>192</v>
      </c>
      <c r="M859" s="11">
        <v>1995</v>
      </c>
      <c r="N859" s="11">
        <v>1971</v>
      </c>
      <c r="O859" s="15"/>
      <c r="P859" s="8">
        <v>41306</v>
      </c>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4" t="s">
        <v>2460</v>
      </c>
      <c r="AY859" s="5" t="s">
        <v>4001</v>
      </c>
      <c r="AZ859" s="5" t="s">
        <v>38</v>
      </c>
      <c r="BA859" s="12"/>
      <c r="BB859" s="12"/>
      <c r="BC859" s="12"/>
      <c r="BD859" s="11">
        <v>0</v>
      </c>
      <c r="BE859" s="11">
        <v>1</v>
      </c>
    </row>
    <row x14ac:dyDescent="0.25" r="860" customHeight="1" ht="17.25">
      <c r="A860" s="11">
        <v>127046</v>
      </c>
      <c r="B860" s="4" t="s">
        <v>4002</v>
      </c>
      <c r="C860" s="5" t="s">
        <v>3830</v>
      </c>
      <c r="D860" s="5" t="s">
        <v>3831</v>
      </c>
      <c r="E860" s="12"/>
      <c r="F860" s="13">
        <f>"0394700163"</f>
      </c>
      <c r="G860" s="13">
        <f>"9780394700168"</f>
      </c>
      <c r="H860" s="11">
        <v>4</v>
      </c>
      <c r="I860" s="14">
        <v>4.08</v>
      </c>
      <c r="J860" s="7" t="s">
        <v>114</v>
      </c>
      <c r="K860" s="5" t="s">
        <v>60</v>
      </c>
      <c r="L860" s="11">
        <v>281</v>
      </c>
      <c r="M860" s="11">
        <v>1955</v>
      </c>
      <c r="N860" s="11">
        <v>1947</v>
      </c>
      <c r="O860" s="8">
        <v>41437</v>
      </c>
      <c r="P860" s="8">
        <v>41388</v>
      </c>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4" t="s">
        <v>4003</v>
      </c>
      <c r="AY860" s="5" t="s">
        <v>4004</v>
      </c>
      <c r="AZ860" s="5" t="s">
        <v>158</v>
      </c>
      <c r="BA860" s="5" t="s">
        <v>4005</v>
      </c>
      <c r="BB860" s="12"/>
      <c r="BC860" s="12"/>
      <c r="BD860" s="11">
        <v>1</v>
      </c>
      <c r="BE860" s="11">
        <v>2</v>
      </c>
    </row>
    <row x14ac:dyDescent="0.25" r="861" customHeight="1" ht="15.75">
      <c r="A861" s="11">
        <v>18340986</v>
      </c>
      <c r="B861" s="4" t="s">
        <v>4006</v>
      </c>
      <c r="C861" s="5" t="s">
        <v>4007</v>
      </c>
      <c r="D861" s="5" t="s">
        <v>4008</v>
      </c>
      <c r="E861" s="12"/>
      <c r="F861" s="13">
        <f>"0394178009"</f>
      </c>
      <c r="G861" s="13">
        <f>""</f>
      </c>
      <c r="H861" s="11">
        <v>0</v>
      </c>
      <c r="I861" s="14">
        <v>3.89</v>
      </c>
      <c r="J861" s="7" t="s">
        <v>4009</v>
      </c>
      <c r="K861" s="1"/>
      <c r="L861" s="11">
        <v>415</v>
      </c>
      <c r="M861" s="11">
        <v>1981</v>
      </c>
      <c r="N861" s="11">
        <v>1980</v>
      </c>
      <c r="O861" s="15"/>
      <c r="P861" s="8">
        <v>41097</v>
      </c>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4" t="s">
        <v>2460</v>
      </c>
      <c r="AY861" s="5" t="s">
        <v>4010</v>
      </c>
      <c r="AZ861" s="5" t="s">
        <v>38</v>
      </c>
      <c r="BA861" s="12"/>
      <c r="BB861" s="12"/>
      <c r="BC861" s="12"/>
      <c r="BD861" s="11">
        <v>0</v>
      </c>
      <c r="BE861" s="11">
        <v>1</v>
      </c>
    </row>
    <row x14ac:dyDescent="0.25" r="862" customHeight="1" ht="17.25">
      <c r="A862" s="11">
        <v>2638701</v>
      </c>
      <c r="B862" s="4" t="s">
        <v>4011</v>
      </c>
      <c r="C862" s="5" t="s">
        <v>1498</v>
      </c>
      <c r="D862" s="5" t="s">
        <v>4012</v>
      </c>
      <c r="E862" s="12"/>
      <c r="F862" s="13">
        <f>"0312427182"</f>
      </c>
      <c r="G862" s="13">
        <f>"9780312427184"</f>
      </c>
      <c r="H862" s="11">
        <v>0</v>
      </c>
      <c r="I862" s="14">
        <v>3.88</v>
      </c>
      <c r="J862" s="7" t="s">
        <v>975</v>
      </c>
      <c r="K862" s="5" t="s">
        <v>60</v>
      </c>
      <c r="L862" s="11">
        <v>272</v>
      </c>
      <c r="M862" s="11">
        <v>2008</v>
      </c>
      <c r="N862" s="11">
        <v>2007</v>
      </c>
      <c r="O862" s="15"/>
      <c r="P862" s="8">
        <v>41337</v>
      </c>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4" t="s">
        <v>3359</v>
      </c>
      <c r="AY862" s="5" t="s">
        <v>4013</v>
      </c>
      <c r="AZ862" s="5" t="s">
        <v>38</v>
      </c>
      <c r="BA862" s="12"/>
      <c r="BB862" s="12"/>
      <c r="BC862" s="12"/>
      <c r="BD862" s="11">
        <v>0</v>
      </c>
      <c r="BE862" s="11">
        <v>1</v>
      </c>
    </row>
    <row x14ac:dyDescent="0.25" r="863" customHeight="1" ht="17.25">
      <c r="A863" s="11">
        <v>18133</v>
      </c>
      <c r="B863" s="4" t="s">
        <v>4014</v>
      </c>
      <c r="C863" s="5" t="s">
        <v>3884</v>
      </c>
      <c r="D863" s="5" t="s">
        <v>3885</v>
      </c>
      <c r="E863" s="12"/>
      <c r="F863" s="13">
        <f>"0679723161"</f>
      </c>
      <c r="G863" s="13">
        <f>"9780679723165"</f>
      </c>
      <c r="H863" s="11">
        <v>0</v>
      </c>
      <c r="I863" s="14">
        <v>3.88</v>
      </c>
      <c r="J863" s="7" t="s">
        <v>284</v>
      </c>
      <c r="K863" s="5" t="s">
        <v>60</v>
      </c>
      <c r="L863" s="11">
        <v>317</v>
      </c>
      <c r="M863" s="11">
        <v>1989</v>
      </c>
      <c r="N863" s="11">
        <v>1955</v>
      </c>
      <c r="O863" s="15"/>
      <c r="P863" s="8">
        <v>40915</v>
      </c>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4" t="s">
        <v>3191</v>
      </c>
      <c r="AY863" s="5" t="s">
        <v>4015</v>
      </c>
      <c r="AZ863" s="5" t="s">
        <v>38</v>
      </c>
      <c r="BA863" s="12"/>
      <c r="BB863" s="12"/>
      <c r="BC863" s="12"/>
      <c r="BD863" s="11">
        <v>0</v>
      </c>
      <c r="BE863" s="11">
        <v>1</v>
      </c>
    </row>
    <row x14ac:dyDescent="0.25" r="864" customHeight="1" ht="17.25">
      <c r="A864" s="11">
        <v>385216</v>
      </c>
      <c r="B864" s="4" t="s">
        <v>4016</v>
      </c>
      <c r="C864" s="5" t="s">
        <v>1103</v>
      </c>
      <c r="D864" s="5" t="s">
        <v>1104</v>
      </c>
      <c r="E864" s="12"/>
      <c r="F864" s="13">
        <f>"0872860175"</f>
      </c>
      <c r="G864" s="13">
        <f>"9780872860179"</f>
      </c>
      <c r="H864" s="11">
        <v>4</v>
      </c>
      <c r="I864" s="14">
        <v>4.13</v>
      </c>
      <c r="J864" s="7" t="s">
        <v>4017</v>
      </c>
      <c r="K864" s="5" t="s">
        <v>60</v>
      </c>
      <c r="L864" s="11">
        <v>57</v>
      </c>
      <c r="M864" s="11">
        <v>2001</v>
      </c>
      <c r="N864" s="11">
        <v>1956</v>
      </c>
      <c r="O864" s="8">
        <v>40986</v>
      </c>
      <c r="P864" s="8">
        <v>40971</v>
      </c>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4" t="s">
        <v>3295</v>
      </c>
      <c r="AY864" s="5" t="s">
        <v>4018</v>
      </c>
      <c r="AZ864" s="5" t="s">
        <v>158</v>
      </c>
      <c r="BA864" s="12"/>
      <c r="BB864" s="12"/>
      <c r="BC864" s="12"/>
      <c r="BD864" s="11">
        <v>1</v>
      </c>
      <c r="BE864" s="11">
        <v>1</v>
      </c>
    </row>
    <row x14ac:dyDescent="0.25" r="865" customHeight="1" ht="15.75">
      <c r="A865" s="11">
        <v>386411</v>
      </c>
      <c r="B865" s="4" t="s">
        <v>4019</v>
      </c>
      <c r="C865" s="5" t="s">
        <v>4020</v>
      </c>
      <c r="D865" s="5" t="s">
        <v>4021</v>
      </c>
      <c r="E865" s="12"/>
      <c r="F865" s="13">
        <f>"038533348X"</f>
      </c>
      <c r="G865" s="13">
        <f>"9780385333481"</f>
      </c>
      <c r="H865" s="11">
        <v>3</v>
      </c>
      <c r="I865" s="14">
        <v>4.16</v>
      </c>
      <c r="J865" s="7" t="s">
        <v>4022</v>
      </c>
      <c r="K865" s="5" t="s">
        <v>60</v>
      </c>
      <c r="L865" s="11">
        <v>287</v>
      </c>
      <c r="M865" s="11">
        <v>1998</v>
      </c>
      <c r="N865" s="11">
        <v>1963</v>
      </c>
      <c r="O865" s="8">
        <v>41039</v>
      </c>
      <c r="P865" s="8">
        <v>41038</v>
      </c>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4" t="s">
        <v>3601</v>
      </c>
      <c r="AY865" s="5" t="s">
        <v>4023</v>
      </c>
      <c r="AZ865" s="5" t="s">
        <v>158</v>
      </c>
      <c r="BA865" s="12"/>
      <c r="BB865" s="12"/>
      <c r="BC865" s="12"/>
      <c r="BD865" s="11">
        <v>1</v>
      </c>
      <c r="BE865" s="11">
        <v>1</v>
      </c>
    </row>
    <row x14ac:dyDescent="0.25" r="866" customHeight="1" ht="17.25">
      <c r="A866" s="11">
        <v>203853</v>
      </c>
      <c r="B866" s="4" t="s">
        <v>4024</v>
      </c>
      <c r="C866" s="5" t="s">
        <v>4025</v>
      </c>
      <c r="D866" s="5" t="s">
        <v>4026</v>
      </c>
      <c r="E866" s="5" t="s">
        <v>4027</v>
      </c>
      <c r="F866" s="13">
        <f>"0393924513"</f>
      </c>
      <c r="G866" s="13">
        <f>"9780393924510"</f>
      </c>
      <c r="H866" s="11">
        <v>0</v>
      </c>
      <c r="I866" s="14">
        <v>4.03</v>
      </c>
      <c r="J866" s="7" t="s">
        <v>144</v>
      </c>
      <c r="K866" s="5" t="s">
        <v>60</v>
      </c>
      <c r="L866" s="11">
        <v>1264</v>
      </c>
      <c r="M866" s="11">
        <v>2003</v>
      </c>
      <c r="N866" s="11">
        <v>2001</v>
      </c>
      <c r="O866" s="15"/>
      <c r="P866" s="8">
        <v>45163</v>
      </c>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4" t="s">
        <v>3164</v>
      </c>
      <c r="AY866" s="5" t="s">
        <v>4028</v>
      </c>
      <c r="AZ866" s="5" t="s">
        <v>38</v>
      </c>
      <c r="BA866" s="12"/>
      <c r="BB866" s="12"/>
      <c r="BC866" s="12"/>
      <c r="BD866" s="11">
        <v>0</v>
      </c>
      <c r="BE866" s="11">
        <v>1</v>
      </c>
    </row>
    <row x14ac:dyDescent="0.25" r="867" customHeight="1" ht="17.25">
      <c r="A867" s="11">
        <v>111734</v>
      </c>
      <c r="B867" s="4" t="s">
        <v>4029</v>
      </c>
      <c r="C867" s="5" t="s">
        <v>3152</v>
      </c>
      <c r="D867" s="5" t="s">
        <v>3153</v>
      </c>
      <c r="E867" s="5" t="s">
        <v>328</v>
      </c>
      <c r="F867" s="13">
        <f>"0300117434"</f>
      </c>
      <c r="G867" s="13">
        <f>"9780300117431"</f>
      </c>
      <c r="H867" s="11">
        <v>0</v>
      </c>
      <c r="I867" s="14">
        <v>3.9</v>
      </c>
      <c r="J867" s="7" t="s">
        <v>576</v>
      </c>
      <c r="K867" s="5" t="s">
        <v>60</v>
      </c>
      <c r="L867" s="11">
        <v>236</v>
      </c>
      <c r="M867" s="11">
        <v>2006</v>
      </c>
      <c r="N867" s="11">
        <v>1946</v>
      </c>
      <c r="O867" s="15"/>
      <c r="P867" s="8">
        <v>45163</v>
      </c>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4" t="s">
        <v>4030</v>
      </c>
      <c r="AY867" s="5" t="s">
        <v>4031</v>
      </c>
      <c r="AZ867" s="5" t="s">
        <v>38</v>
      </c>
      <c r="BA867" s="12"/>
      <c r="BB867" s="12"/>
      <c r="BC867" s="12"/>
      <c r="BD867" s="11">
        <v>0</v>
      </c>
      <c r="BE867" s="11">
        <v>1</v>
      </c>
    </row>
    <row x14ac:dyDescent="0.25" r="868" customHeight="1" ht="15.75">
      <c r="A868" s="11">
        <v>235815</v>
      </c>
      <c r="B868" s="4" t="s">
        <v>4032</v>
      </c>
      <c r="C868" s="5" t="s">
        <v>4033</v>
      </c>
      <c r="D868" s="5" t="s">
        <v>4034</v>
      </c>
      <c r="E868" s="12"/>
      <c r="F868" s="13">
        <f>"0918273986"</f>
      </c>
      <c r="G868" s="13">
        <f>"9780918273987"</f>
      </c>
      <c r="H868" s="11">
        <v>0</v>
      </c>
      <c r="I868" s="11">
        <v>4</v>
      </c>
      <c r="J868" s="7" t="s">
        <v>4035</v>
      </c>
      <c r="K868" s="5" t="s">
        <v>60</v>
      </c>
      <c r="L868" s="11">
        <v>128</v>
      </c>
      <c r="M868" s="11">
        <v>1992</v>
      </c>
      <c r="N868" s="11">
        <v>1992</v>
      </c>
      <c r="O868" s="15"/>
      <c r="P868" s="8">
        <v>45163</v>
      </c>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4" t="s">
        <v>2460</v>
      </c>
      <c r="AY868" s="5" t="s">
        <v>4036</v>
      </c>
      <c r="AZ868" s="5" t="s">
        <v>38</v>
      </c>
      <c r="BA868" s="12"/>
      <c r="BB868" s="12"/>
      <c r="BC868" s="12"/>
      <c r="BD868" s="11">
        <v>0</v>
      </c>
      <c r="BE868" s="11">
        <v>1</v>
      </c>
    </row>
    <row x14ac:dyDescent="0.25" r="869" customHeight="1" ht="17.25">
      <c r="A869" s="11">
        <v>127774117</v>
      </c>
      <c r="B869" s="4" t="s">
        <v>4037</v>
      </c>
      <c r="C869" s="5" t="s">
        <v>4038</v>
      </c>
      <c r="D869" s="5" t="s">
        <v>4039</v>
      </c>
      <c r="E869" s="12"/>
      <c r="F869" s="13">
        <f>""</f>
      </c>
      <c r="G869" s="13">
        <f>""</f>
      </c>
      <c r="H869" s="11">
        <v>0</v>
      </c>
      <c r="I869" s="14">
        <v>3.71</v>
      </c>
      <c r="J869" s="7" t="s">
        <v>689</v>
      </c>
      <c r="K869" s="5" t="s">
        <v>60</v>
      </c>
      <c r="L869" s="16"/>
      <c r="M869" s="11">
        <v>1970</v>
      </c>
      <c r="N869" s="11">
        <v>1947</v>
      </c>
      <c r="O869" s="15"/>
      <c r="P869" s="8">
        <v>45163</v>
      </c>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4" t="s">
        <v>3164</v>
      </c>
      <c r="AY869" s="5" t="s">
        <v>4040</v>
      </c>
      <c r="AZ869" s="5" t="s">
        <v>38</v>
      </c>
      <c r="BA869" s="12"/>
      <c r="BB869" s="12"/>
      <c r="BC869" s="5" t="s">
        <v>2462</v>
      </c>
      <c r="BD869" s="11">
        <v>0</v>
      </c>
      <c r="BE869" s="11">
        <v>1</v>
      </c>
    </row>
    <row x14ac:dyDescent="0.25" r="870" customHeight="1" ht="17.25">
      <c r="A870" s="11">
        <v>57862740</v>
      </c>
      <c r="B870" s="4" t="s">
        <v>4041</v>
      </c>
      <c r="C870" s="5" t="s">
        <v>4042</v>
      </c>
      <c r="D870" s="5" t="s">
        <v>4043</v>
      </c>
      <c r="E870" s="12"/>
      <c r="F870" s="13">
        <f>""</f>
      </c>
      <c r="G870" s="13">
        <f>""</f>
      </c>
      <c r="H870" s="11">
        <v>0</v>
      </c>
      <c r="I870" s="14">
        <v>4.3</v>
      </c>
      <c r="J870" s="7" t="s">
        <v>4044</v>
      </c>
      <c r="K870" s="5" t="s">
        <v>60</v>
      </c>
      <c r="L870" s="11">
        <v>191</v>
      </c>
      <c r="M870" s="11">
        <v>1964</v>
      </c>
      <c r="N870" s="11">
        <v>1961</v>
      </c>
      <c r="O870" s="15"/>
      <c r="P870" s="8">
        <v>45163</v>
      </c>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4" t="s">
        <v>3164</v>
      </c>
      <c r="AY870" s="5" t="s">
        <v>4045</v>
      </c>
      <c r="AZ870" s="5" t="s">
        <v>38</v>
      </c>
      <c r="BA870" s="12"/>
      <c r="BB870" s="12"/>
      <c r="BC870" s="12"/>
      <c r="BD870" s="11">
        <v>0</v>
      </c>
      <c r="BE870" s="11">
        <v>1</v>
      </c>
    </row>
    <row x14ac:dyDescent="0.25" r="871" customHeight="1" ht="17.25">
      <c r="A871" s="11">
        <v>8398736</v>
      </c>
      <c r="B871" s="4" t="s">
        <v>4046</v>
      </c>
      <c r="C871" s="5" t="s">
        <v>4047</v>
      </c>
      <c r="D871" s="5" t="s">
        <v>4048</v>
      </c>
      <c r="E871" s="12"/>
      <c r="F871" s="13">
        <f>""</f>
      </c>
      <c r="G871" s="13">
        <f>""</f>
      </c>
      <c r="H871" s="11">
        <v>0</v>
      </c>
      <c r="I871" s="14">
        <v>3.91</v>
      </c>
      <c r="J871" s="7" t="s">
        <v>4049</v>
      </c>
      <c r="K871" s="5" t="s">
        <v>60</v>
      </c>
      <c r="L871" s="11">
        <v>123</v>
      </c>
      <c r="M871" s="11">
        <v>1961</v>
      </c>
      <c r="N871" s="11">
        <v>1944</v>
      </c>
      <c r="O871" s="15"/>
      <c r="P871" s="8">
        <v>45160</v>
      </c>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4" t="s">
        <v>4050</v>
      </c>
      <c r="AY871" s="5" t="s">
        <v>4051</v>
      </c>
      <c r="AZ871" s="5" t="s">
        <v>38</v>
      </c>
      <c r="BA871" s="12"/>
      <c r="BB871" s="12"/>
      <c r="BC871" s="12"/>
      <c r="BD871" s="11">
        <v>0</v>
      </c>
      <c r="BE871" s="11">
        <v>1</v>
      </c>
    </row>
    <row x14ac:dyDescent="0.25" r="872" customHeight="1" ht="15.75">
      <c r="A872" s="11">
        <v>226162</v>
      </c>
      <c r="B872" s="4" t="s">
        <v>4052</v>
      </c>
      <c r="C872" s="5" t="s">
        <v>4053</v>
      </c>
      <c r="D872" s="5" t="s">
        <v>4054</v>
      </c>
      <c r="E872" s="12"/>
      <c r="F872" s="13">
        <f>"0451219422"</f>
      </c>
      <c r="G872" s="13">
        <f>"9780451219428"</f>
      </c>
      <c r="H872" s="11">
        <v>0</v>
      </c>
      <c r="I872" s="14">
        <v>4.04</v>
      </c>
      <c r="J872" s="7" t="s">
        <v>689</v>
      </c>
      <c r="K872" s="5" t="s">
        <v>60</v>
      </c>
      <c r="L872" s="11">
        <v>272</v>
      </c>
      <c r="M872" s="11">
        <v>2006</v>
      </c>
      <c r="N872" s="11">
        <v>1976</v>
      </c>
      <c r="O872" s="15"/>
      <c r="P872" s="8">
        <v>45161</v>
      </c>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4" t="s">
        <v>2460</v>
      </c>
      <c r="AY872" s="5" t="s">
        <v>4055</v>
      </c>
      <c r="AZ872" s="5" t="s">
        <v>38</v>
      </c>
      <c r="BA872" s="12"/>
      <c r="BB872" s="12"/>
      <c r="BC872" s="12"/>
      <c r="BD872" s="11">
        <v>0</v>
      </c>
      <c r="BE872" s="11">
        <v>1</v>
      </c>
    </row>
    <row x14ac:dyDescent="0.25" r="873" customHeight="1" ht="17.25">
      <c r="A873" s="11">
        <v>130355506</v>
      </c>
      <c r="B873" s="4" t="s">
        <v>4056</v>
      </c>
      <c r="C873" s="5" t="s">
        <v>4057</v>
      </c>
      <c r="D873" s="5" t="s">
        <v>4058</v>
      </c>
      <c r="E873" s="12"/>
      <c r="F873" s="13">
        <f>""</f>
      </c>
      <c r="G873" s="13">
        <f>""</f>
      </c>
      <c r="H873" s="11">
        <v>0</v>
      </c>
      <c r="I873" s="14">
        <v>3.84</v>
      </c>
      <c r="J873" s="7" t="s">
        <v>2577</v>
      </c>
      <c r="K873" s="5" t="s">
        <v>60</v>
      </c>
      <c r="L873" s="16"/>
      <c r="M873" s="11">
        <v>1969</v>
      </c>
      <c r="N873" s="11">
        <v>1969</v>
      </c>
      <c r="O873" s="15"/>
      <c r="P873" s="8">
        <v>45160</v>
      </c>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4" t="s">
        <v>3164</v>
      </c>
      <c r="AY873" s="5" t="s">
        <v>4059</v>
      </c>
      <c r="AZ873" s="5" t="s">
        <v>38</v>
      </c>
      <c r="BA873" s="12"/>
      <c r="BB873" s="12"/>
      <c r="BC873" s="12"/>
      <c r="BD873" s="11">
        <v>0</v>
      </c>
      <c r="BE873" s="11">
        <v>1</v>
      </c>
    </row>
    <row x14ac:dyDescent="0.25" r="874" customHeight="1" ht="17.25">
      <c r="A874" s="11">
        <v>284516</v>
      </c>
      <c r="B874" s="4" t="s">
        <v>4060</v>
      </c>
      <c r="C874" s="5" t="s">
        <v>4061</v>
      </c>
      <c r="D874" s="5" t="s">
        <v>4062</v>
      </c>
      <c r="E874" s="12"/>
      <c r="F874" s="13">
        <f>"0944854486"</f>
      </c>
      <c r="G874" s="13">
        <f>"9780944854488"</f>
      </c>
      <c r="H874" s="11">
        <v>0</v>
      </c>
      <c r="I874" s="14">
        <v>3.8</v>
      </c>
      <c r="J874" s="7" t="s">
        <v>4063</v>
      </c>
      <c r="K874" s="5" t="s">
        <v>60</v>
      </c>
      <c r="L874" s="11">
        <v>169</v>
      </c>
      <c r="M874" s="11">
        <v>2006</v>
      </c>
      <c r="N874" s="11">
        <v>2006</v>
      </c>
      <c r="O874" s="15"/>
      <c r="P874" s="8">
        <v>45160</v>
      </c>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4" t="s">
        <v>3164</v>
      </c>
      <c r="AY874" s="5" t="s">
        <v>4064</v>
      </c>
      <c r="AZ874" s="5" t="s">
        <v>38</v>
      </c>
      <c r="BA874" s="12"/>
      <c r="BB874" s="12"/>
      <c r="BC874" s="12"/>
      <c r="BD874" s="11">
        <v>0</v>
      </c>
      <c r="BE874" s="11">
        <v>1</v>
      </c>
    </row>
    <row x14ac:dyDescent="0.25" r="875" customHeight="1" ht="15.75">
      <c r="A875" s="11">
        <v>890229</v>
      </c>
      <c r="B875" s="4" t="s">
        <v>4065</v>
      </c>
      <c r="C875" s="5" t="s">
        <v>4066</v>
      </c>
      <c r="D875" s="5" t="s">
        <v>4067</v>
      </c>
      <c r="E875" s="12"/>
      <c r="F875" s="13">
        <f>"0374183139"</f>
      </c>
      <c r="G875" s="13">
        <f>"9780374183134"</f>
      </c>
      <c r="H875" s="11">
        <v>0</v>
      </c>
      <c r="I875" s="14">
        <v>3.72</v>
      </c>
      <c r="J875" s="7" t="s">
        <v>2749</v>
      </c>
      <c r="K875" s="5" t="s">
        <v>72</v>
      </c>
      <c r="L875" s="11">
        <v>257</v>
      </c>
      <c r="M875" s="11">
        <v>1977</v>
      </c>
      <c r="N875" s="11">
        <v>1977</v>
      </c>
      <c r="O875" s="15"/>
      <c r="P875" s="8">
        <v>45160</v>
      </c>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4" t="s">
        <v>2460</v>
      </c>
      <c r="AY875" s="5" t="s">
        <v>4068</v>
      </c>
      <c r="AZ875" s="5" t="s">
        <v>38</v>
      </c>
      <c r="BA875" s="12"/>
      <c r="BB875" s="12"/>
      <c r="BC875" s="12"/>
      <c r="BD875" s="11">
        <v>0</v>
      </c>
      <c r="BE875" s="11">
        <v>1</v>
      </c>
    </row>
    <row x14ac:dyDescent="0.25" r="876" customHeight="1" ht="17.25">
      <c r="A876" s="11">
        <v>18551852</v>
      </c>
      <c r="B876" s="4" t="s">
        <v>4069</v>
      </c>
      <c r="C876" s="5" t="s">
        <v>4070</v>
      </c>
      <c r="D876" s="5" t="s">
        <v>4071</v>
      </c>
      <c r="E876" s="12"/>
      <c r="F876" s="13">
        <f>"1299866131"</f>
      </c>
      <c r="G876" s="13">
        <f>"9781299866133"</f>
      </c>
      <c r="H876" s="11">
        <v>0</v>
      </c>
      <c r="I876" s="14">
        <v>4.23</v>
      </c>
      <c r="J876" s="7" t="s">
        <v>4072</v>
      </c>
      <c r="K876" s="5" t="s">
        <v>72</v>
      </c>
      <c r="L876" s="11">
        <v>113</v>
      </c>
      <c r="M876" s="11">
        <v>1966</v>
      </c>
      <c r="N876" s="11">
        <v>1945</v>
      </c>
      <c r="O876" s="15"/>
      <c r="P876" s="8">
        <v>45161</v>
      </c>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4" t="s">
        <v>3171</v>
      </c>
      <c r="AY876" s="5" t="s">
        <v>4073</v>
      </c>
      <c r="AZ876" s="5" t="s">
        <v>38</v>
      </c>
      <c r="BA876" s="12"/>
      <c r="BB876" s="12"/>
      <c r="BC876" s="12"/>
      <c r="BD876" s="11">
        <v>0</v>
      </c>
      <c r="BE876" s="11">
        <v>1</v>
      </c>
    </row>
    <row x14ac:dyDescent="0.25" r="877" customHeight="1" ht="15.75">
      <c r="A877" s="11">
        <v>3711</v>
      </c>
      <c r="B877" s="4" t="s">
        <v>4074</v>
      </c>
      <c r="C877" s="5" t="s">
        <v>4075</v>
      </c>
      <c r="D877" s="5" t="s">
        <v>4076</v>
      </c>
      <c r="E877" s="12"/>
      <c r="F877" s="13">
        <f>"0375703861"</f>
      </c>
      <c r="G877" s="13">
        <f>"9780375703867"</f>
      </c>
      <c r="H877" s="11">
        <v>0</v>
      </c>
      <c r="I877" s="14">
        <v>3.79</v>
      </c>
      <c r="J877" s="7" t="s">
        <v>114</v>
      </c>
      <c r="K877" s="5" t="s">
        <v>60</v>
      </c>
      <c r="L877" s="11">
        <v>448</v>
      </c>
      <c r="M877" s="11">
        <v>2001</v>
      </c>
      <c r="N877" s="11">
        <v>2000</v>
      </c>
      <c r="O877" s="15"/>
      <c r="P877" s="8">
        <v>45152</v>
      </c>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4" t="s">
        <v>2460</v>
      </c>
      <c r="AY877" s="5" t="s">
        <v>4077</v>
      </c>
      <c r="AZ877" s="5" t="s">
        <v>38</v>
      </c>
      <c r="BA877" s="12"/>
      <c r="BB877" s="12"/>
      <c r="BC877" s="12"/>
      <c r="BD877" s="11">
        <v>0</v>
      </c>
      <c r="BE877" s="11">
        <v>1</v>
      </c>
    </row>
    <row x14ac:dyDescent="0.25" r="878" customHeight="1" ht="17.25">
      <c r="A878" s="11">
        <v>65335</v>
      </c>
      <c r="B878" s="4" t="s">
        <v>1284</v>
      </c>
      <c r="C878" s="5" t="s">
        <v>4078</v>
      </c>
      <c r="D878" s="5" t="s">
        <v>4079</v>
      </c>
      <c r="E878" s="12"/>
      <c r="F878" s="13">
        <f>"067972818X"</f>
      </c>
      <c r="G878" s="13">
        <f>"9780679728184"</f>
      </c>
      <c r="H878" s="11">
        <v>0</v>
      </c>
      <c r="I878" s="14">
        <v>4.31</v>
      </c>
      <c r="J878" s="7" t="s">
        <v>114</v>
      </c>
      <c r="K878" s="5" t="s">
        <v>60</v>
      </c>
      <c r="L878" s="11">
        <v>297</v>
      </c>
      <c r="M878" s="11">
        <v>1990</v>
      </c>
      <c r="N878" s="11">
        <v>1959</v>
      </c>
      <c r="O878" s="15"/>
      <c r="P878" s="8">
        <v>45143</v>
      </c>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4" t="s">
        <v>3186</v>
      </c>
      <c r="AY878" s="5" t="s">
        <v>4080</v>
      </c>
      <c r="AZ878" s="5" t="s">
        <v>38</v>
      </c>
      <c r="BA878" s="12"/>
      <c r="BB878" s="12"/>
      <c r="BC878" s="12"/>
      <c r="BD878" s="11">
        <v>0</v>
      </c>
      <c r="BE878" s="11">
        <v>1</v>
      </c>
    </row>
    <row x14ac:dyDescent="0.25" r="879" customHeight="1" ht="17.25">
      <c r="A879" s="11">
        <v>130030232</v>
      </c>
      <c r="B879" s="4" t="s">
        <v>4081</v>
      </c>
      <c r="C879" s="5" t="s">
        <v>4082</v>
      </c>
      <c r="D879" s="5" t="s">
        <v>4083</v>
      </c>
      <c r="E879" s="12"/>
      <c r="F879" s="13">
        <f>""</f>
      </c>
      <c r="G879" s="13">
        <f>""</f>
      </c>
      <c r="H879" s="11">
        <v>0</v>
      </c>
      <c r="I879" s="14">
        <v>4.46</v>
      </c>
      <c r="J879" s="7" t="s">
        <v>4084</v>
      </c>
      <c r="K879" s="5" t="s">
        <v>60</v>
      </c>
      <c r="L879" s="16"/>
      <c r="M879" s="16"/>
      <c r="N879" s="11">
        <v>1923</v>
      </c>
      <c r="O879" s="15"/>
      <c r="P879" s="8">
        <v>45143</v>
      </c>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4" t="s">
        <v>3186</v>
      </c>
      <c r="AY879" s="5" t="s">
        <v>4085</v>
      </c>
      <c r="AZ879" s="5" t="s">
        <v>38</v>
      </c>
      <c r="BA879" s="12"/>
      <c r="BB879" s="12"/>
      <c r="BC879" s="12"/>
      <c r="BD879" s="11">
        <v>0</v>
      </c>
      <c r="BE879" s="11">
        <v>1</v>
      </c>
    </row>
    <row x14ac:dyDescent="0.25" r="880" customHeight="1" ht="17.25">
      <c r="A880" s="11">
        <v>33313</v>
      </c>
      <c r="B880" s="4" t="s">
        <v>4086</v>
      </c>
      <c r="C880" s="5" t="s">
        <v>3023</v>
      </c>
      <c r="D880" s="5" t="s">
        <v>3024</v>
      </c>
      <c r="E880" s="12"/>
      <c r="F880" s="13">
        <f>"0060899220"</f>
      </c>
      <c r="G880" s="13">
        <f>"9780060899226"</f>
      </c>
      <c r="H880" s="11">
        <v>0</v>
      </c>
      <c r="I880" s="14">
        <v>4.14</v>
      </c>
      <c r="J880" s="7" t="s">
        <v>4087</v>
      </c>
      <c r="K880" s="5" t="s">
        <v>60</v>
      </c>
      <c r="L880" s="11">
        <v>312</v>
      </c>
      <c r="M880" s="11">
        <v>2007</v>
      </c>
      <c r="N880" s="11">
        <v>2000</v>
      </c>
      <c r="O880" s="15"/>
      <c r="P880" s="8">
        <v>45159</v>
      </c>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4" t="s">
        <v>2015</v>
      </c>
      <c r="AY880" s="5" t="s">
        <v>4088</v>
      </c>
      <c r="AZ880" s="5" t="s">
        <v>38</v>
      </c>
      <c r="BA880" s="12"/>
      <c r="BB880" s="12"/>
      <c r="BC880" s="12"/>
      <c r="BD880" s="11">
        <v>0</v>
      </c>
      <c r="BE880" s="11">
        <v>1</v>
      </c>
    </row>
    <row x14ac:dyDescent="0.25" r="881" customHeight="1" ht="17.25">
      <c r="A881" s="11">
        <v>838075</v>
      </c>
      <c r="B881" s="4" t="s">
        <v>4089</v>
      </c>
      <c r="C881" s="5" t="s">
        <v>4090</v>
      </c>
      <c r="D881" s="5" t="s">
        <v>4091</v>
      </c>
      <c r="E881" s="12"/>
      <c r="F881" s="13">
        <f>"0060586532"</f>
      </c>
      <c r="G881" s="13">
        <f>"9780060586539"</f>
      </c>
      <c r="H881" s="11">
        <v>0</v>
      </c>
      <c r="I881" s="14">
        <v>4.33</v>
      </c>
      <c r="J881" s="7" t="s">
        <v>4092</v>
      </c>
      <c r="K881" s="5" t="s">
        <v>4093</v>
      </c>
      <c r="L881" s="11">
        <v>192</v>
      </c>
      <c r="M881" s="11">
        <v>2004</v>
      </c>
      <c r="N881" s="11">
        <v>1974</v>
      </c>
      <c r="O881" s="15"/>
      <c r="P881" s="8">
        <v>45143</v>
      </c>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4" t="s">
        <v>3186</v>
      </c>
      <c r="AY881" s="5" t="s">
        <v>4094</v>
      </c>
      <c r="AZ881" s="5" t="s">
        <v>38</v>
      </c>
      <c r="BA881" s="12"/>
      <c r="BB881" s="12"/>
      <c r="BC881" s="12"/>
      <c r="BD881" s="11">
        <v>0</v>
      </c>
      <c r="BE881" s="11">
        <v>1</v>
      </c>
    </row>
    <row x14ac:dyDescent="0.25" r="882" customHeight="1" ht="17.25">
      <c r="A882" s="11">
        <v>13233</v>
      </c>
      <c r="B882" s="4" t="s">
        <v>4095</v>
      </c>
      <c r="C882" s="5" t="s">
        <v>4096</v>
      </c>
      <c r="D882" s="5" t="s">
        <v>4097</v>
      </c>
      <c r="E882" s="12"/>
      <c r="F882" s="13">
        <f>"0486204928"</f>
      </c>
      <c r="G882" s="13">
        <f>"9780486204925"</f>
      </c>
      <c r="H882" s="11">
        <v>0</v>
      </c>
      <c r="I882" s="14">
        <v>3.98</v>
      </c>
      <c r="J882" s="7" t="s">
        <v>571</v>
      </c>
      <c r="K882" s="5" t="s">
        <v>60</v>
      </c>
      <c r="L882" s="11">
        <v>352</v>
      </c>
      <c r="M882" s="11">
        <v>1958</v>
      </c>
      <c r="N882" s="11">
        <v>1958</v>
      </c>
      <c r="O882" s="15"/>
      <c r="P882" s="8">
        <v>45143</v>
      </c>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4" t="s">
        <v>3359</v>
      </c>
      <c r="AY882" s="5" t="s">
        <v>4098</v>
      </c>
      <c r="AZ882" s="5" t="s">
        <v>38</v>
      </c>
      <c r="BA882" s="12"/>
      <c r="BB882" s="12"/>
      <c r="BC882" s="12"/>
      <c r="BD882" s="11">
        <v>0</v>
      </c>
      <c r="BE882" s="11">
        <v>1</v>
      </c>
    </row>
    <row x14ac:dyDescent="0.25" r="883" customHeight="1" ht="15.75">
      <c r="A883" s="11">
        <v>249</v>
      </c>
      <c r="B883" s="4" t="s">
        <v>4099</v>
      </c>
      <c r="C883" s="5" t="s">
        <v>4100</v>
      </c>
      <c r="D883" s="5" t="s">
        <v>4101</v>
      </c>
      <c r="E883" s="5" t="s">
        <v>4102</v>
      </c>
      <c r="F883" s="13">
        <f>"0802131786"</f>
      </c>
      <c r="G883" s="13">
        <f>"9780802131782"</f>
      </c>
      <c r="H883" s="11">
        <v>0</v>
      </c>
      <c r="I883" s="14">
        <v>3.67</v>
      </c>
      <c r="J883" s="7" t="s">
        <v>66</v>
      </c>
      <c r="K883" s="5" t="s">
        <v>60</v>
      </c>
      <c r="L883" s="11">
        <v>318</v>
      </c>
      <c r="M883" s="11">
        <v>1994</v>
      </c>
      <c r="N883" s="11">
        <v>1934</v>
      </c>
      <c r="O883" s="15"/>
      <c r="P883" s="8">
        <v>45143</v>
      </c>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4" t="s">
        <v>2460</v>
      </c>
      <c r="AY883" s="5" t="s">
        <v>4103</v>
      </c>
      <c r="AZ883" s="5" t="s">
        <v>38</v>
      </c>
      <c r="BA883" s="12"/>
      <c r="BB883" s="12"/>
      <c r="BC883" s="12"/>
      <c r="BD883" s="11">
        <v>0</v>
      </c>
      <c r="BE883" s="11">
        <v>1</v>
      </c>
    </row>
    <row x14ac:dyDescent="0.25" r="884" customHeight="1" ht="15.75">
      <c r="A884" s="11">
        <v>123188548</v>
      </c>
      <c r="B884" s="4" t="s">
        <v>4104</v>
      </c>
      <c r="C884" s="5" t="s">
        <v>4105</v>
      </c>
      <c r="D884" s="5" t="s">
        <v>4106</v>
      </c>
      <c r="E884" s="12"/>
      <c r="F884" s="13">
        <f>"153873219X"</f>
      </c>
      <c r="G884" s="13">
        <f>"9781538732199"</f>
      </c>
      <c r="H884" s="11">
        <v>0</v>
      </c>
      <c r="I884" s="14">
        <v>4.31</v>
      </c>
      <c r="J884" s="7" t="s">
        <v>2275</v>
      </c>
      <c r="K884" s="5" t="s">
        <v>60</v>
      </c>
      <c r="L884" s="11">
        <v>423</v>
      </c>
      <c r="M884" s="11">
        <v>2020</v>
      </c>
      <c r="N884" s="11">
        <v>1998</v>
      </c>
      <c r="O884" s="15"/>
      <c r="P884" s="8">
        <v>45143</v>
      </c>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4" t="s">
        <v>2460</v>
      </c>
      <c r="AY884" s="5" t="s">
        <v>4107</v>
      </c>
      <c r="AZ884" s="5" t="s">
        <v>38</v>
      </c>
      <c r="BA884" s="12"/>
      <c r="BB884" s="12"/>
      <c r="BC884" s="12"/>
      <c r="BD884" s="11">
        <v>0</v>
      </c>
      <c r="BE884" s="11">
        <v>1</v>
      </c>
    </row>
    <row x14ac:dyDescent="0.25" r="885" customHeight="1" ht="17.25">
      <c r="A885" s="11">
        <v>440704</v>
      </c>
      <c r="B885" s="4" t="s">
        <v>4108</v>
      </c>
      <c r="C885" s="5" t="s">
        <v>4109</v>
      </c>
      <c r="D885" s="5" t="s">
        <v>4110</v>
      </c>
      <c r="E885" s="12"/>
      <c r="F885" s="13">
        <f>"0801484634"</f>
      </c>
      <c r="G885" s="13">
        <f>"9780801484636"</f>
      </c>
      <c r="H885" s="11">
        <v>0</v>
      </c>
      <c r="I885" s="14">
        <v>4.37</v>
      </c>
      <c r="J885" s="7" t="s">
        <v>2560</v>
      </c>
      <c r="K885" s="5" t="s">
        <v>60</v>
      </c>
      <c r="L885" s="11">
        <v>192</v>
      </c>
      <c r="M885" s="11">
        <v>1999</v>
      </c>
      <c r="N885" s="11">
        <v>1997</v>
      </c>
      <c r="O885" s="15"/>
      <c r="P885" s="8">
        <v>45143</v>
      </c>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4" t="s">
        <v>3359</v>
      </c>
      <c r="AY885" s="5" t="s">
        <v>4111</v>
      </c>
      <c r="AZ885" s="5" t="s">
        <v>38</v>
      </c>
      <c r="BA885" s="12"/>
      <c r="BB885" s="12"/>
      <c r="BC885" s="12"/>
      <c r="BD885" s="11">
        <v>0</v>
      </c>
      <c r="BE885" s="11">
        <v>1</v>
      </c>
    </row>
    <row x14ac:dyDescent="0.25" r="886" customHeight="1" ht="17.25">
      <c r="A886" s="11">
        <v>4594564</v>
      </c>
      <c r="B886" s="4" t="s">
        <v>4112</v>
      </c>
      <c r="C886" s="5" t="s">
        <v>4113</v>
      </c>
      <c r="D886" s="5" t="s">
        <v>4114</v>
      </c>
      <c r="E886" s="12"/>
      <c r="F886" s="13">
        <f>"0471180947"</f>
      </c>
      <c r="G886" s="13">
        <f>"9780471180944"</f>
      </c>
      <c r="H886" s="11">
        <v>0</v>
      </c>
      <c r="I886" s="14">
        <v>3.33</v>
      </c>
      <c r="J886" s="7" t="s">
        <v>2644</v>
      </c>
      <c r="K886" s="5" t="s">
        <v>60</v>
      </c>
      <c r="L886" s="11">
        <v>240</v>
      </c>
      <c r="M886" s="11">
        <v>1997</v>
      </c>
      <c r="N886" s="11">
        <v>1988</v>
      </c>
      <c r="O886" s="15"/>
      <c r="P886" s="8">
        <v>45143</v>
      </c>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4" t="s">
        <v>3216</v>
      </c>
      <c r="AY886" s="5" t="s">
        <v>4115</v>
      </c>
      <c r="AZ886" s="5" t="s">
        <v>38</v>
      </c>
      <c r="BA886" s="12"/>
      <c r="BB886" s="12"/>
      <c r="BC886" s="12"/>
      <c r="BD886" s="11">
        <v>0</v>
      </c>
      <c r="BE886" s="11">
        <v>1</v>
      </c>
    </row>
    <row x14ac:dyDescent="0.25" r="887" customHeight="1" ht="17.25">
      <c r="A887" s="11">
        <v>1081213</v>
      </c>
      <c r="B887" s="4" t="s">
        <v>4116</v>
      </c>
      <c r="C887" s="5" t="s">
        <v>4117</v>
      </c>
      <c r="D887" s="5" t="s">
        <v>4118</v>
      </c>
      <c r="E887" s="12"/>
      <c r="F887" s="13">
        <f>"0070510989"</f>
      </c>
      <c r="G887" s="13">
        <f>"9780070510982"</f>
      </c>
      <c r="H887" s="11">
        <v>0</v>
      </c>
      <c r="I887" s="14">
        <v>3.73</v>
      </c>
      <c r="J887" s="7" t="s">
        <v>4119</v>
      </c>
      <c r="K887" s="5" t="s">
        <v>60</v>
      </c>
      <c r="L887" s="11">
        <v>169</v>
      </c>
      <c r="M887" s="11">
        <v>1994</v>
      </c>
      <c r="N887" s="11">
        <v>2003</v>
      </c>
      <c r="O887" s="15"/>
      <c r="P887" s="8">
        <v>45132</v>
      </c>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4" t="s">
        <v>3359</v>
      </c>
      <c r="AY887" s="5" t="s">
        <v>4120</v>
      </c>
      <c r="AZ887" s="5" t="s">
        <v>38</v>
      </c>
      <c r="BA887" s="12"/>
      <c r="BB887" s="12"/>
      <c r="BC887" s="12"/>
      <c r="BD887" s="11">
        <v>0</v>
      </c>
      <c r="BE887" s="11">
        <v>1</v>
      </c>
    </row>
    <row x14ac:dyDescent="0.25" r="888" customHeight="1" ht="17.25">
      <c r="A888" s="11">
        <v>74640</v>
      </c>
      <c r="B888" s="4" t="s">
        <v>4121</v>
      </c>
      <c r="C888" s="5" t="s">
        <v>4122</v>
      </c>
      <c r="D888" s="5" t="s">
        <v>4123</v>
      </c>
      <c r="E888" s="12"/>
      <c r="F888" s="13">
        <f>"0192805576"</f>
      </c>
      <c r="G888" s="13">
        <f>"9780192805577"</f>
      </c>
      <c r="H888" s="11">
        <v>0</v>
      </c>
      <c r="I888" s="14">
        <v>3.72</v>
      </c>
      <c r="J888" s="7" t="s">
        <v>245</v>
      </c>
      <c r="K888" s="5" t="s">
        <v>60</v>
      </c>
      <c r="L888" s="11">
        <v>135</v>
      </c>
      <c r="M888" s="11">
        <v>2005</v>
      </c>
      <c r="N888" s="11">
        <v>2005</v>
      </c>
      <c r="O888" s="15"/>
      <c r="P888" s="8">
        <v>45129</v>
      </c>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4" t="s">
        <v>3359</v>
      </c>
      <c r="AY888" s="5" t="s">
        <v>4124</v>
      </c>
      <c r="AZ888" s="5" t="s">
        <v>38</v>
      </c>
      <c r="BA888" s="12"/>
      <c r="BB888" s="12"/>
      <c r="BC888" s="12"/>
      <c r="BD888" s="11">
        <v>0</v>
      </c>
      <c r="BE888" s="11">
        <v>1</v>
      </c>
    </row>
    <row x14ac:dyDescent="0.25" r="889" customHeight="1" ht="17.25">
      <c r="A889" s="11">
        <v>321538</v>
      </c>
      <c r="B889" s="4" t="s">
        <v>1257</v>
      </c>
      <c r="C889" s="5" t="s">
        <v>1100</v>
      </c>
      <c r="D889" s="5" t="s">
        <v>4125</v>
      </c>
      <c r="E889" s="5" t="s">
        <v>4126</v>
      </c>
      <c r="F889" s="13">
        <f>"0679731970"</f>
      </c>
      <c r="G889" s="13">
        <f>"9780679731979"</f>
      </c>
      <c r="H889" s="11">
        <v>0</v>
      </c>
      <c r="I889" s="14">
        <v>4.27</v>
      </c>
      <c r="J889" s="7" t="s">
        <v>114</v>
      </c>
      <c r="K889" s="5" t="s">
        <v>60</v>
      </c>
      <c r="L889" s="11">
        <v>960</v>
      </c>
      <c r="M889" s="11">
        <v>1991</v>
      </c>
      <c r="N889" s="11">
        <v>1976</v>
      </c>
      <c r="O889" s="15"/>
      <c r="P889" s="8">
        <v>45129</v>
      </c>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4" t="s">
        <v>3186</v>
      </c>
      <c r="AY889" s="5" t="s">
        <v>4127</v>
      </c>
      <c r="AZ889" s="5" t="s">
        <v>38</v>
      </c>
      <c r="BA889" s="12"/>
      <c r="BB889" s="12"/>
      <c r="BC889" s="12"/>
      <c r="BD889" s="11">
        <v>0</v>
      </c>
      <c r="BE889" s="11">
        <v>1</v>
      </c>
    </row>
    <row x14ac:dyDescent="0.25" r="890" customHeight="1" ht="17.25">
      <c r="A890" s="11">
        <v>138691236</v>
      </c>
      <c r="B890" s="4" t="s">
        <v>4128</v>
      </c>
      <c r="C890" s="5" t="s">
        <v>4129</v>
      </c>
      <c r="D890" s="5" t="s">
        <v>4130</v>
      </c>
      <c r="E890" s="5" t="s">
        <v>4131</v>
      </c>
      <c r="F890" s="13">
        <f>""</f>
      </c>
      <c r="G890" s="13">
        <f>""</f>
      </c>
      <c r="H890" s="11">
        <v>0</v>
      </c>
      <c r="I890" s="14">
        <v>4.12</v>
      </c>
      <c r="J890" s="7" t="s">
        <v>4132</v>
      </c>
      <c r="K890" s="5" t="s">
        <v>60</v>
      </c>
      <c r="L890" s="11">
        <v>757</v>
      </c>
      <c r="M890" s="11">
        <v>2011</v>
      </c>
      <c r="N890" s="11">
        <v>1855</v>
      </c>
      <c r="O890" s="15"/>
      <c r="P890" s="8">
        <v>45129</v>
      </c>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4" t="s">
        <v>3186</v>
      </c>
      <c r="AY890" s="5" t="s">
        <v>4133</v>
      </c>
      <c r="AZ890" s="5" t="s">
        <v>38</v>
      </c>
      <c r="BA890" s="12"/>
      <c r="BB890" s="12"/>
      <c r="BC890" s="12"/>
      <c r="BD890" s="11">
        <v>0</v>
      </c>
      <c r="BE890" s="11">
        <v>1</v>
      </c>
    </row>
    <row x14ac:dyDescent="0.25" r="891" customHeight="1" ht="17.25">
      <c r="A891" s="11">
        <v>7511949</v>
      </c>
      <c r="B891" s="4" t="s">
        <v>4134</v>
      </c>
      <c r="C891" s="5" t="s">
        <v>4135</v>
      </c>
      <c r="D891" s="5" t="s">
        <v>4136</v>
      </c>
      <c r="E891" s="5" t="s">
        <v>4137</v>
      </c>
      <c r="F891" s="13">
        <f>"0872209784"</f>
      </c>
      <c r="G891" s="13">
        <f>"9780872209787"</f>
      </c>
      <c r="H891" s="11">
        <v>0</v>
      </c>
      <c r="I891" s="14">
        <v>3.91</v>
      </c>
      <c r="J891" s="7" t="s">
        <v>4138</v>
      </c>
      <c r="K891" s="5" t="s">
        <v>60</v>
      </c>
      <c r="L891" s="11">
        <v>848</v>
      </c>
      <c r="M891" s="11">
        <v>2009</v>
      </c>
      <c r="N891" s="11">
        <v>1998</v>
      </c>
      <c r="O891" s="15"/>
      <c r="P891" s="8">
        <v>45132</v>
      </c>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4" t="s">
        <v>3359</v>
      </c>
      <c r="AY891" s="5" t="s">
        <v>4139</v>
      </c>
      <c r="AZ891" s="5" t="s">
        <v>38</v>
      </c>
      <c r="BA891" s="12"/>
      <c r="BB891" s="12"/>
      <c r="BC891" s="12"/>
      <c r="BD891" s="11">
        <v>0</v>
      </c>
      <c r="BE891" s="11">
        <v>1</v>
      </c>
    </row>
    <row x14ac:dyDescent="0.25" r="892" customHeight="1" ht="17.25">
      <c r="A892" s="11">
        <v>45865956</v>
      </c>
      <c r="B892" s="4" t="s">
        <v>4140</v>
      </c>
      <c r="C892" s="5" t="s">
        <v>4141</v>
      </c>
      <c r="D892" s="5" t="s">
        <v>4142</v>
      </c>
      <c r="E892" s="5" t="s">
        <v>2982</v>
      </c>
      <c r="F892" s="13">
        <f>""</f>
      </c>
      <c r="G892" s="13">
        <f>""</f>
      </c>
      <c r="H892" s="11">
        <v>0</v>
      </c>
      <c r="I892" s="14">
        <v>4.07</v>
      </c>
      <c r="J892" s="7" t="s">
        <v>114</v>
      </c>
      <c r="K892" s="5" t="s">
        <v>60</v>
      </c>
      <c r="L892" s="11">
        <v>393</v>
      </c>
      <c r="M892" s="11">
        <v>2010</v>
      </c>
      <c r="N892" s="11">
        <v>1984</v>
      </c>
      <c r="O892" s="15"/>
      <c r="P892" s="8">
        <v>45129</v>
      </c>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4" t="s">
        <v>3359</v>
      </c>
      <c r="AY892" s="5" t="s">
        <v>4143</v>
      </c>
      <c r="AZ892" s="5" t="s">
        <v>38</v>
      </c>
      <c r="BA892" s="12"/>
      <c r="BB892" s="12"/>
      <c r="BC892" s="12"/>
      <c r="BD892" s="11">
        <v>0</v>
      </c>
      <c r="BE892" s="11">
        <v>1</v>
      </c>
    </row>
    <row x14ac:dyDescent="0.25" r="893" customHeight="1" ht="17.25">
      <c r="A893" s="11">
        <v>926643</v>
      </c>
      <c r="B893" s="4" t="s">
        <v>4144</v>
      </c>
      <c r="C893" s="5" t="s">
        <v>4145</v>
      </c>
      <c r="D893" s="5" t="s">
        <v>4146</v>
      </c>
      <c r="E893" s="5" t="s">
        <v>4147</v>
      </c>
      <c r="F893" s="13">
        <f>"0805031359"</f>
      </c>
      <c r="G893" s="13">
        <f>"9780805031355"</f>
      </c>
      <c r="H893" s="11">
        <v>0</v>
      </c>
      <c r="I893" s="14">
        <v>3.84</v>
      </c>
      <c r="J893" s="7" t="s">
        <v>4148</v>
      </c>
      <c r="K893" s="5" t="s">
        <v>72</v>
      </c>
      <c r="L893" s="11">
        <v>124</v>
      </c>
      <c r="M893" s="11">
        <v>1994</v>
      </c>
      <c r="N893" s="11">
        <v>1994</v>
      </c>
      <c r="O893" s="15"/>
      <c r="P893" s="8">
        <v>45129</v>
      </c>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4" t="s">
        <v>3186</v>
      </c>
      <c r="AY893" s="5" t="s">
        <v>4149</v>
      </c>
      <c r="AZ893" s="5" t="s">
        <v>38</v>
      </c>
      <c r="BA893" s="12"/>
      <c r="BB893" s="12"/>
      <c r="BC893" s="12"/>
      <c r="BD893" s="11">
        <v>0</v>
      </c>
      <c r="BE893" s="11">
        <v>1</v>
      </c>
    </row>
    <row x14ac:dyDescent="0.25" r="894" customHeight="1" ht="17.25">
      <c r="A894" s="11">
        <v>715551</v>
      </c>
      <c r="B894" s="4" t="s">
        <v>4150</v>
      </c>
      <c r="C894" s="5" t="s">
        <v>4151</v>
      </c>
      <c r="D894" s="5" t="s">
        <v>4152</v>
      </c>
      <c r="E894" s="5" t="s">
        <v>4153</v>
      </c>
      <c r="F894" s="13">
        <f>"0155073966"</f>
      </c>
      <c r="G894" s="13">
        <f>"9780155073968"</f>
      </c>
      <c r="H894" s="11">
        <v>0</v>
      </c>
      <c r="I894" s="14">
        <v>3.9</v>
      </c>
      <c r="J894" s="7" t="s">
        <v>4154</v>
      </c>
      <c r="K894" s="5" t="s">
        <v>60</v>
      </c>
      <c r="L894" s="11">
        <v>434</v>
      </c>
      <c r="M894" s="11">
        <v>2000</v>
      </c>
      <c r="N894" s="11">
        <v>1956</v>
      </c>
      <c r="O894" s="15"/>
      <c r="P894" s="8">
        <v>45129</v>
      </c>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4" t="s">
        <v>3186</v>
      </c>
      <c r="AY894" s="5" t="s">
        <v>4155</v>
      </c>
      <c r="AZ894" s="5" t="s">
        <v>38</v>
      </c>
      <c r="BA894" s="12"/>
      <c r="BB894" s="12"/>
      <c r="BC894" s="12"/>
      <c r="BD894" s="11">
        <v>0</v>
      </c>
      <c r="BE894" s="11">
        <v>1</v>
      </c>
    </row>
    <row x14ac:dyDescent="0.25" r="895" customHeight="1" ht="17.25">
      <c r="A895" s="11">
        <v>51715</v>
      </c>
      <c r="B895" s="4" t="s">
        <v>4156</v>
      </c>
      <c r="C895" s="5" t="s">
        <v>4157</v>
      </c>
      <c r="D895" s="5" t="s">
        <v>4158</v>
      </c>
      <c r="E895" s="12"/>
      <c r="F895" s="13">
        <f>"0374521506"</f>
      </c>
      <c r="G895" s="13">
        <f>"9780374521509"</f>
      </c>
      <c r="H895" s="11">
        <v>0</v>
      </c>
      <c r="I895" s="14">
        <v>4.09</v>
      </c>
      <c r="J895" s="7" t="s">
        <v>120</v>
      </c>
      <c r="K895" s="5" t="s">
        <v>60</v>
      </c>
      <c r="L895" s="11">
        <v>160</v>
      </c>
      <c r="M895" s="11">
        <v>1972</v>
      </c>
      <c r="N895" s="11">
        <v>1957</v>
      </c>
      <c r="O895" s="15"/>
      <c r="P895" s="8">
        <v>45129</v>
      </c>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4" t="s">
        <v>3164</v>
      </c>
      <c r="AY895" s="5" t="s">
        <v>4159</v>
      </c>
      <c r="AZ895" s="5" t="s">
        <v>38</v>
      </c>
      <c r="BA895" s="12"/>
      <c r="BB895" s="12"/>
      <c r="BC895" s="12"/>
      <c r="BD895" s="11">
        <v>0</v>
      </c>
      <c r="BE895" s="11">
        <v>1</v>
      </c>
    </row>
    <row x14ac:dyDescent="0.25" r="896" customHeight="1" ht="17.25">
      <c r="A896" s="11">
        <v>257146</v>
      </c>
      <c r="B896" s="4" t="s">
        <v>4160</v>
      </c>
      <c r="C896" s="5" t="s">
        <v>4161</v>
      </c>
      <c r="D896" s="5" t="s">
        <v>4162</v>
      </c>
      <c r="E896" s="12"/>
      <c r="F896" s="13">
        <f>"006090528X"</f>
      </c>
      <c r="G896" s="13">
        <f>"9780060905286"</f>
      </c>
      <c r="H896" s="11">
        <v>0</v>
      </c>
      <c r="I896" s="14">
        <v>4.12</v>
      </c>
      <c r="J896" s="7" t="s">
        <v>505</v>
      </c>
      <c r="K896" s="5" t="s">
        <v>60</v>
      </c>
      <c r="L896" s="11">
        <v>252</v>
      </c>
      <c r="M896" s="11">
        <v>1968</v>
      </c>
      <c r="N896" s="11">
        <v>1952</v>
      </c>
      <c r="O896" s="15"/>
      <c r="P896" s="8">
        <v>45129</v>
      </c>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4" t="s">
        <v>3359</v>
      </c>
      <c r="AY896" s="5" t="s">
        <v>4163</v>
      </c>
      <c r="AZ896" s="5" t="s">
        <v>38</v>
      </c>
      <c r="BA896" s="12"/>
      <c r="BB896" s="12"/>
      <c r="BC896" s="12"/>
      <c r="BD896" s="11">
        <v>0</v>
      </c>
      <c r="BE896" s="11">
        <v>1</v>
      </c>
    </row>
    <row x14ac:dyDescent="0.25" r="897" customHeight="1" ht="17.25">
      <c r="A897" s="11">
        <v>461959</v>
      </c>
      <c r="B897" s="4" t="s">
        <v>4164</v>
      </c>
      <c r="C897" s="5" t="s">
        <v>4165</v>
      </c>
      <c r="D897" s="5" t="s">
        <v>4166</v>
      </c>
      <c r="E897" s="12"/>
      <c r="F897" s="13">
        <f>"1555971652"</f>
      </c>
      <c r="G897" s="13">
        <f>"9781555971656"</f>
      </c>
      <c r="H897" s="11">
        <v>0</v>
      </c>
      <c r="I897" s="14">
        <v>4.32</v>
      </c>
      <c r="J897" s="7" t="s">
        <v>1001</v>
      </c>
      <c r="K897" s="5" t="s">
        <v>60</v>
      </c>
      <c r="L897" s="11">
        <v>222</v>
      </c>
      <c r="M897" s="11">
        <v>1992</v>
      </c>
      <c r="N897" s="11">
        <v>1992</v>
      </c>
      <c r="O897" s="15"/>
      <c r="P897" s="8">
        <v>45129</v>
      </c>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4" t="s">
        <v>3186</v>
      </c>
      <c r="AY897" s="5" t="s">
        <v>4167</v>
      </c>
      <c r="AZ897" s="5" t="s">
        <v>38</v>
      </c>
      <c r="BA897" s="12"/>
      <c r="BB897" s="12"/>
      <c r="BC897" s="12"/>
      <c r="BD897" s="11">
        <v>0</v>
      </c>
      <c r="BE897" s="11">
        <v>1</v>
      </c>
    </row>
    <row x14ac:dyDescent="0.25" r="898" customHeight="1" ht="17.25">
      <c r="A898" s="11">
        <v>6313553</v>
      </c>
      <c r="B898" s="4" t="s">
        <v>4168</v>
      </c>
      <c r="C898" s="5" t="s">
        <v>4169</v>
      </c>
      <c r="D898" s="5" t="s">
        <v>4170</v>
      </c>
      <c r="E898" s="12"/>
      <c r="F898" s="13">
        <f>"1598801872"</f>
      </c>
      <c r="G898" s="13">
        <f>"9781598801873"</f>
      </c>
      <c r="H898" s="11">
        <v>0</v>
      </c>
      <c r="I898" s="14">
        <v>3.97</v>
      </c>
      <c r="J898" s="7" t="s">
        <v>4169</v>
      </c>
      <c r="K898" s="5" t="s">
        <v>60</v>
      </c>
      <c r="L898" s="11">
        <v>544</v>
      </c>
      <c r="M898" s="11">
        <v>2008</v>
      </c>
      <c r="N898" s="11">
        <v>1995</v>
      </c>
      <c r="O898" s="15"/>
      <c r="P898" s="8">
        <v>45116</v>
      </c>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4" t="s">
        <v>3216</v>
      </c>
      <c r="AY898" s="5" t="s">
        <v>4171</v>
      </c>
      <c r="AZ898" s="5" t="s">
        <v>38</v>
      </c>
      <c r="BA898" s="12"/>
      <c r="BB898" s="12"/>
      <c r="BC898" s="12"/>
      <c r="BD898" s="11">
        <v>0</v>
      </c>
      <c r="BE898" s="11">
        <v>1</v>
      </c>
    </row>
    <row x14ac:dyDescent="0.25" r="899" customHeight="1" ht="17.25">
      <c r="A899" s="11">
        <v>795929</v>
      </c>
      <c r="B899" s="4" t="s">
        <v>4172</v>
      </c>
      <c r="C899" s="5" t="s">
        <v>4173</v>
      </c>
      <c r="D899" s="5" t="s">
        <v>4174</v>
      </c>
      <c r="E899" s="5" t="s">
        <v>4175</v>
      </c>
      <c r="F899" s="13">
        <f>"0717800539"</f>
      </c>
      <c r="G899" s="13">
        <f>"9780717800537"</f>
      </c>
      <c r="H899" s="11">
        <v>0</v>
      </c>
      <c r="I899" s="14">
        <v>4.15</v>
      </c>
      <c r="J899" s="7" t="s">
        <v>4176</v>
      </c>
      <c r="K899" s="5" t="s">
        <v>60</v>
      </c>
      <c r="L899" s="11">
        <v>192</v>
      </c>
      <c r="M899" s="11">
        <v>1980</v>
      </c>
      <c r="N899" s="11">
        <v>1844</v>
      </c>
      <c r="O899" s="15"/>
      <c r="P899" s="8">
        <v>45129</v>
      </c>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4" t="s">
        <v>3359</v>
      </c>
      <c r="AY899" s="5" t="s">
        <v>4177</v>
      </c>
      <c r="AZ899" s="5" t="s">
        <v>38</v>
      </c>
      <c r="BA899" s="12"/>
      <c r="BB899" s="12"/>
      <c r="BC899" s="12"/>
      <c r="BD899" s="11">
        <v>0</v>
      </c>
      <c r="BE899" s="11">
        <v>1</v>
      </c>
    </row>
    <row x14ac:dyDescent="0.25" r="900" customHeight="1" ht="15.75">
      <c r="A900" s="11">
        <v>109395</v>
      </c>
      <c r="B900" s="4" t="s">
        <v>4178</v>
      </c>
      <c r="C900" s="5" t="s">
        <v>4179</v>
      </c>
      <c r="D900" s="5" t="s">
        <v>4180</v>
      </c>
      <c r="E900" s="5" t="s">
        <v>4181</v>
      </c>
      <c r="F900" s="13">
        <f>"0802136915"</f>
      </c>
      <c r="G900" s="13">
        <f>"9780802136916"</f>
      </c>
      <c r="H900" s="11">
        <v>0</v>
      </c>
      <c r="I900" s="14">
        <v>3.64</v>
      </c>
      <c r="J900" s="7" t="s">
        <v>66</v>
      </c>
      <c r="K900" s="5" t="s">
        <v>60</v>
      </c>
      <c r="L900" s="11">
        <v>363</v>
      </c>
      <c r="M900" s="11">
        <v>2000</v>
      </c>
      <c r="N900" s="11">
        <v>1978</v>
      </c>
      <c r="O900" s="15"/>
      <c r="P900" s="8">
        <v>45114</v>
      </c>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4" t="s">
        <v>2460</v>
      </c>
      <c r="AY900" s="5" t="s">
        <v>4182</v>
      </c>
      <c r="AZ900" s="5" t="s">
        <v>38</v>
      </c>
      <c r="BA900" s="12"/>
      <c r="BB900" s="12"/>
      <c r="BC900" s="12"/>
      <c r="BD900" s="11">
        <v>0</v>
      </c>
      <c r="BE900" s="11">
        <v>1</v>
      </c>
    </row>
    <row x14ac:dyDescent="0.25" r="901" customHeight="1" ht="15.75">
      <c r="A901" s="11">
        <v>48582344</v>
      </c>
      <c r="B901" s="4" t="s">
        <v>4183</v>
      </c>
      <c r="C901" s="5" t="s">
        <v>4184</v>
      </c>
      <c r="D901" s="5" t="s">
        <v>4185</v>
      </c>
      <c r="E901" s="5" t="s">
        <v>4186</v>
      </c>
      <c r="F901" s="13">
        <f>"0099470454"</f>
      </c>
      <c r="G901" s="13">
        <f>"9780099470458"</f>
      </c>
      <c r="H901" s="11">
        <v>0</v>
      </c>
      <c r="I901" s="14">
        <v>3.79</v>
      </c>
      <c r="J901" s="7" t="s">
        <v>114</v>
      </c>
      <c r="K901" s="5" t="s">
        <v>60</v>
      </c>
      <c r="L901" s="11">
        <v>172</v>
      </c>
      <c r="M901" s="11">
        <v>2004</v>
      </c>
      <c r="N901" s="11">
        <v>1925</v>
      </c>
      <c r="O901" s="15"/>
      <c r="P901" s="8">
        <v>45114</v>
      </c>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4" t="s">
        <v>2460</v>
      </c>
      <c r="AY901" s="5" t="s">
        <v>4187</v>
      </c>
      <c r="AZ901" s="5" t="s">
        <v>38</v>
      </c>
      <c r="BA901" s="12"/>
      <c r="BB901" s="12"/>
      <c r="BC901" s="12"/>
      <c r="BD901" s="11">
        <v>0</v>
      </c>
      <c r="BE901" s="11">
        <v>1</v>
      </c>
    </row>
    <row x14ac:dyDescent="0.25" r="902" customHeight="1" ht="17.25">
      <c r="A902" s="11">
        <v>3804239</v>
      </c>
      <c r="B902" s="4" t="s">
        <v>4188</v>
      </c>
      <c r="C902" s="5" t="s">
        <v>4189</v>
      </c>
      <c r="D902" s="5" t="s">
        <v>4190</v>
      </c>
      <c r="E902" s="12"/>
      <c r="F902" s="13">
        <f>"9509122432"</f>
      </c>
      <c r="G902" s="13">
        <f>"9789509122437"</f>
      </c>
      <c r="H902" s="11">
        <v>0</v>
      </c>
      <c r="I902" s="14">
        <v>3.64</v>
      </c>
      <c r="J902" s="7" t="s">
        <v>4191</v>
      </c>
      <c r="K902" s="5" t="s">
        <v>60</v>
      </c>
      <c r="L902" s="11">
        <v>144</v>
      </c>
      <c r="M902" s="11">
        <v>2008</v>
      </c>
      <c r="N902" s="11">
        <v>1991</v>
      </c>
      <c r="O902" s="15"/>
      <c r="P902" s="8">
        <v>45113</v>
      </c>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4" t="s">
        <v>3164</v>
      </c>
      <c r="AY902" s="5" t="s">
        <v>4192</v>
      </c>
      <c r="AZ902" s="5" t="s">
        <v>38</v>
      </c>
      <c r="BA902" s="12"/>
      <c r="BB902" s="12"/>
      <c r="BC902" s="12"/>
      <c r="BD902" s="11">
        <v>0</v>
      </c>
      <c r="BE902" s="11">
        <v>1</v>
      </c>
    </row>
    <row x14ac:dyDescent="0.25" r="903" customHeight="1" ht="17.25">
      <c r="A903" s="11">
        <v>1681593</v>
      </c>
      <c r="B903" s="4" t="s">
        <v>4193</v>
      </c>
      <c r="C903" s="5" t="s">
        <v>4194</v>
      </c>
      <c r="D903" s="5" t="s">
        <v>4195</v>
      </c>
      <c r="E903" s="5" t="s">
        <v>4196</v>
      </c>
      <c r="F903" s="13">
        <f>"0143105132"</f>
      </c>
      <c r="G903" s="13">
        <f>"9780143105138"</f>
      </c>
      <c r="H903" s="11">
        <v>0</v>
      </c>
      <c r="I903" s="14">
        <v>3.86</v>
      </c>
      <c r="J903" s="7" t="s">
        <v>263</v>
      </c>
      <c r="K903" s="5" t="s">
        <v>60</v>
      </c>
      <c r="L903" s="11">
        <v>484</v>
      </c>
      <c r="M903" s="11">
        <v>2008</v>
      </c>
      <c r="N903" s="11">
        <v>-19</v>
      </c>
      <c r="O903" s="15"/>
      <c r="P903" s="8">
        <v>45113</v>
      </c>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4" t="s">
        <v>3954</v>
      </c>
      <c r="AY903" s="5" t="s">
        <v>4197</v>
      </c>
      <c r="AZ903" s="5" t="s">
        <v>38</v>
      </c>
      <c r="BA903" s="12"/>
      <c r="BB903" s="12"/>
      <c r="BC903" s="12"/>
      <c r="BD903" s="11">
        <v>0</v>
      </c>
      <c r="BE903" s="11">
        <v>1</v>
      </c>
    </row>
    <row x14ac:dyDescent="0.25" r="904" customHeight="1" ht="17.25">
      <c r="A904" s="11">
        <v>119226</v>
      </c>
      <c r="B904" s="4" t="s">
        <v>4198</v>
      </c>
      <c r="C904" s="5" t="s">
        <v>4199</v>
      </c>
      <c r="D904" s="5" t="s">
        <v>4200</v>
      </c>
      <c r="E904" s="12"/>
      <c r="F904" s="13">
        <f>"0571105483"</f>
      </c>
      <c r="G904" s="13">
        <f>"9780571105489"</f>
      </c>
      <c r="H904" s="11">
        <v>0</v>
      </c>
      <c r="I904" s="14">
        <v>4.29</v>
      </c>
      <c r="J904" s="7" t="s">
        <v>316</v>
      </c>
      <c r="K904" s="5" t="s">
        <v>60</v>
      </c>
      <c r="L904" s="11">
        <v>238</v>
      </c>
      <c r="M904" s="11">
        <v>2002</v>
      </c>
      <c r="N904" s="11">
        <v>1963</v>
      </c>
      <c r="O904" s="15"/>
      <c r="P904" s="8">
        <v>45113</v>
      </c>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4" t="s">
        <v>3186</v>
      </c>
      <c r="AY904" s="5" t="s">
        <v>4201</v>
      </c>
      <c r="AZ904" s="5" t="s">
        <v>38</v>
      </c>
      <c r="BA904" s="12"/>
      <c r="BB904" s="12"/>
      <c r="BC904" s="12"/>
      <c r="BD904" s="11">
        <v>0</v>
      </c>
      <c r="BE904" s="11">
        <v>1</v>
      </c>
    </row>
    <row x14ac:dyDescent="0.25" r="905" customHeight="1" ht="17.25">
      <c r="A905" s="11">
        <v>150251</v>
      </c>
      <c r="B905" s="4" t="s">
        <v>4202</v>
      </c>
      <c r="C905" s="5" t="s">
        <v>669</v>
      </c>
      <c r="D905" s="5" t="s">
        <v>670</v>
      </c>
      <c r="E905" s="12"/>
      <c r="F905" s="13">
        <f>"0375708421"</f>
      </c>
      <c r="G905" s="13">
        <f>"9780375708428"</f>
      </c>
      <c r="H905" s="11">
        <v>0</v>
      </c>
      <c r="I905" s="14">
        <v>4.27</v>
      </c>
      <c r="J905" s="7" t="s">
        <v>114</v>
      </c>
      <c r="K905" s="5" t="s">
        <v>60</v>
      </c>
      <c r="L905" s="11">
        <v>260</v>
      </c>
      <c r="M905" s="11">
        <v>2000</v>
      </c>
      <c r="N905" s="11">
        <v>1995</v>
      </c>
      <c r="O905" s="15"/>
      <c r="P905" s="8">
        <v>45113</v>
      </c>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4" t="s">
        <v>3191</v>
      </c>
      <c r="AY905" s="5" t="s">
        <v>4203</v>
      </c>
      <c r="AZ905" s="5" t="s">
        <v>38</v>
      </c>
      <c r="BA905" s="12"/>
      <c r="BB905" s="12"/>
      <c r="BC905" s="12"/>
      <c r="BD905" s="11">
        <v>0</v>
      </c>
      <c r="BE905" s="11">
        <v>1</v>
      </c>
    </row>
    <row x14ac:dyDescent="0.25" r="906" customHeight="1" ht="17.25">
      <c r="A906" s="11">
        <v>32560</v>
      </c>
      <c r="B906" s="4" t="s">
        <v>4204</v>
      </c>
      <c r="C906" s="5" t="s">
        <v>195</v>
      </c>
      <c r="D906" s="5" t="s">
        <v>196</v>
      </c>
      <c r="E906" s="5" t="s">
        <v>4205</v>
      </c>
      <c r="F906" s="13">
        <f>"0805208739"</f>
      </c>
      <c r="G906" s="13">
        <f>"9780805208733"</f>
      </c>
      <c r="H906" s="11">
        <v>0</v>
      </c>
      <c r="I906" s="14">
        <v>4.34</v>
      </c>
      <c r="J906" s="7" t="s">
        <v>4206</v>
      </c>
      <c r="K906" s="5" t="s">
        <v>60</v>
      </c>
      <c r="L906" s="11">
        <v>488</v>
      </c>
      <c r="M906" s="11">
        <v>1988</v>
      </c>
      <c r="N906" s="11">
        <v>1946</v>
      </c>
      <c r="O906" s="15"/>
      <c r="P906" s="8">
        <v>45114</v>
      </c>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4" t="s">
        <v>3258</v>
      </c>
      <c r="AY906" s="5" t="s">
        <v>4207</v>
      </c>
      <c r="AZ906" s="5" t="s">
        <v>38</v>
      </c>
      <c r="BA906" s="12"/>
      <c r="BB906" s="12"/>
      <c r="BC906" s="12"/>
      <c r="BD906" s="11">
        <v>0</v>
      </c>
      <c r="BE906" s="11">
        <v>1</v>
      </c>
    </row>
    <row x14ac:dyDescent="0.25" r="907" customHeight="1" ht="17.25">
      <c r="A907" s="11">
        <v>21874691</v>
      </c>
      <c r="B907" s="4" t="s">
        <v>4208</v>
      </c>
      <c r="C907" s="5" t="s">
        <v>4131</v>
      </c>
      <c r="D907" s="5" t="s">
        <v>4209</v>
      </c>
      <c r="E907" s="5" t="s">
        <v>4210</v>
      </c>
      <c r="F907" s="13">
        <f>"0300206291"</f>
      </c>
      <c r="G907" s="13">
        <f>"9780300206296"</f>
      </c>
      <c r="H907" s="11">
        <v>0</v>
      </c>
      <c r="I907" s="14">
        <v>3.78</v>
      </c>
      <c r="J907" s="7" t="s">
        <v>576</v>
      </c>
      <c r="K907" s="5" t="s">
        <v>60</v>
      </c>
      <c r="L907" s="11">
        <v>176</v>
      </c>
      <c r="M907" s="11">
        <v>2014</v>
      </c>
      <c r="N907" s="11">
        <v>1981</v>
      </c>
      <c r="O907" s="15"/>
      <c r="P907" s="8">
        <v>45113</v>
      </c>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4" t="s">
        <v>3186</v>
      </c>
      <c r="AY907" s="5" t="s">
        <v>4211</v>
      </c>
      <c r="AZ907" s="5" t="s">
        <v>38</v>
      </c>
      <c r="BA907" s="12"/>
      <c r="BB907" s="12"/>
      <c r="BC907" s="12"/>
      <c r="BD907" s="11">
        <v>0</v>
      </c>
      <c r="BE907" s="11">
        <v>1</v>
      </c>
    </row>
    <row x14ac:dyDescent="0.25" r="908" customHeight="1" ht="17.25">
      <c r="A908" s="11">
        <v>18904171</v>
      </c>
      <c r="B908" s="4" t="s">
        <v>4212</v>
      </c>
      <c r="C908" s="5" t="s">
        <v>4213</v>
      </c>
      <c r="D908" s="5" t="s">
        <v>4214</v>
      </c>
      <c r="E908" s="5" t="s">
        <v>4215</v>
      </c>
      <c r="F908" s="13">
        <f>"0872201880"</f>
      </c>
      <c r="G908" s="13">
        <f>""</f>
      </c>
      <c r="H908" s="11">
        <v>0</v>
      </c>
      <c r="I908" s="14">
        <v>3.93</v>
      </c>
      <c r="J908" s="7" t="s">
        <v>3774</v>
      </c>
      <c r="K908" s="5" t="s">
        <v>60</v>
      </c>
      <c r="L908" s="11">
        <v>192</v>
      </c>
      <c r="M908" s="11">
        <v>1993</v>
      </c>
      <c r="N908" s="11">
        <v>395</v>
      </c>
      <c r="O908" s="15"/>
      <c r="P908" s="8">
        <v>45113</v>
      </c>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4" t="s">
        <v>3436</v>
      </c>
      <c r="AY908" s="5" t="s">
        <v>4216</v>
      </c>
      <c r="AZ908" s="5" t="s">
        <v>38</v>
      </c>
      <c r="BA908" s="12"/>
      <c r="BB908" s="12"/>
      <c r="BC908" s="12"/>
      <c r="BD908" s="11">
        <v>1</v>
      </c>
      <c r="BE908" s="11">
        <v>1</v>
      </c>
    </row>
    <row x14ac:dyDescent="0.25" r="909" customHeight="1" ht="17.25">
      <c r="A909" s="11">
        <v>2285578</v>
      </c>
      <c r="B909" s="4" t="s">
        <v>4217</v>
      </c>
      <c r="C909" s="5" t="s">
        <v>4218</v>
      </c>
      <c r="D909" s="5" t="s">
        <v>4219</v>
      </c>
      <c r="E909" s="12"/>
      <c r="F909" s="13">
        <f>"0872201562"</f>
      </c>
      <c r="G909" s="13">
        <f>"9780872201569"</f>
      </c>
      <c r="H909" s="11">
        <v>0</v>
      </c>
      <c r="I909" s="14">
        <v>3.83</v>
      </c>
      <c r="J909" s="7" t="s">
        <v>4220</v>
      </c>
      <c r="K909" s="5" t="s">
        <v>60</v>
      </c>
      <c r="L909" s="11">
        <v>112</v>
      </c>
      <c r="M909" s="11">
        <v>1992</v>
      </c>
      <c r="N909" s="11">
        <v>1986</v>
      </c>
      <c r="O909" s="15"/>
      <c r="P909" s="8">
        <v>45113</v>
      </c>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4" t="s">
        <v>3216</v>
      </c>
      <c r="AY909" s="5" t="s">
        <v>4221</v>
      </c>
      <c r="AZ909" s="5" t="s">
        <v>38</v>
      </c>
      <c r="BA909" s="12"/>
      <c r="BB909" s="12"/>
      <c r="BC909" s="12"/>
      <c r="BD909" s="11">
        <v>0</v>
      </c>
      <c r="BE909" s="11">
        <v>1</v>
      </c>
    </row>
    <row x14ac:dyDescent="0.25" r="910" customHeight="1" ht="17.25">
      <c r="A910" s="11">
        <v>56213251</v>
      </c>
      <c r="B910" s="4" t="s">
        <v>4222</v>
      </c>
      <c r="C910" s="5" t="s">
        <v>4223</v>
      </c>
      <c r="D910" s="5" t="s">
        <v>4224</v>
      </c>
      <c r="E910" s="12"/>
      <c r="F910" s="13">
        <f>"0691226032"</f>
      </c>
      <c r="G910" s="13">
        <f>"9780691226033"</f>
      </c>
      <c r="H910" s="11">
        <v>0</v>
      </c>
      <c r="I910" s="14">
        <v>3.59</v>
      </c>
      <c r="J910" s="7" t="s">
        <v>172</v>
      </c>
      <c r="K910" s="5" t="s">
        <v>72</v>
      </c>
      <c r="L910" s="11">
        <v>80</v>
      </c>
      <c r="M910" s="11">
        <v>2021</v>
      </c>
      <c r="N910" s="11">
        <v>1986</v>
      </c>
      <c r="O910" s="15"/>
      <c r="P910" s="8">
        <v>45113</v>
      </c>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4" t="s">
        <v>3359</v>
      </c>
      <c r="AY910" s="5" t="s">
        <v>4225</v>
      </c>
      <c r="AZ910" s="5" t="s">
        <v>38</v>
      </c>
      <c r="BA910" s="12"/>
      <c r="BB910" s="12"/>
      <c r="BC910" s="12"/>
      <c r="BD910" s="11">
        <v>0</v>
      </c>
      <c r="BE910" s="11">
        <v>1</v>
      </c>
    </row>
    <row x14ac:dyDescent="0.25" r="911" customHeight="1" ht="17.25">
      <c r="A911" s="11">
        <v>150250</v>
      </c>
      <c r="B911" s="4" t="s">
        <v>4226</v>
      </c>
      <c r="C911" s="5" t="s">
        <v>669</v>
      </c>
      <c r="D911" s="5" t="s">
        <v>670</v>
      </c>
      <c r="E911" s="12"/>
      <c r="F911" s="13">
        <f>"0811213021"</f>
      </c>
      <c r="G911" s="13">
        <f>"9780811213028"</f>
      </c>
      <c r="H911" s="11">
        <v>0</v>
      </c>
      <c r="I911" s="14">
        <v>4.32</v>
      </c>
      <c r="J911" s="7" t="s">
        <v>126</v>
      </c>
      <c r="K911" s="5" t="s">
        <v>60</v>
      </c>
      <c r="L911" s="11">
        <v>142</v>
      </c>
      <c r="M911" s="11">
        <v>1995</v>
      </c>
      <c r="N911" s="11">
        <v>1995</v>
      </c>
      <c r="O911" s="15"/>
      <c r="P911" s="8">
        <v>45113</v>
      </c>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4" t="s">
        <v>679</v>
      </c>
      <c r="AY911" s="5" t="s">
        <v>4227</v>
      </c>
      <c r="AZ911" s="5" t="s">
        <v>38</v>
      </c>
      <c r="BA911" s="12"/>
      <c r="BB911" s="12"/>
      <c r="BC911" s="12"/>
      <c r="BD911" s="11">
        <v>0</v>
      </c>
      <c r="BE911" s="11">
        <v>1</v>
      </c>
    </row>
    <row x14ac:dyDescent="0.25" r="912" customHeight="1" ht="17.25">
      <c r="A912" s="11">
        <v>20626006</v>
      </c>
      <c r="B912" s="4" t="s">
        <v>4228</v>
      </c>
      <c r="C912" s="5" t="s">
        <v>4229</v>
      </c>
      <c r="D912" s="5" t="s">
        <v>4230</v>
      </c>
      <c r="E912" s="12"/>
      <c r="F912" s="13">
        <f>""</f>
      </c>
      <c r="G912" s="13">
        <f>""</f>
      </c>
      <c r="H912" s="11">
        <v>0</v>
      </c>
      <c r="I912" s="14">
        <v>3.71</v>
      </c>
      <c r="J912" s="7" t="s">
        <v>263</v>
      </c>
      <c r="K912" s="5" t="s">
        <v>60</v>
      </c>
      <c r="L912" s="11">
        <v>728</v>
      </c>
      <c r="M912" s="11">
        <v>1985</v>
      </c>
      <c r="N912" s="11">
        <v>1651</v>
      </c>
      <c r="O912" s="15"/>
      <c r="P912" s="8">
        <v>45113</v>
      </c>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4" t="s">
        <v>3359</v>
      </c>
      <c r="AY912" s="5" t="s">
        <v>4231</v>
      </c>
      <c r="AZ912" s="5" t="s">
        <v>38</v>
      </c>
      <c r="BA912" s="12"/>
      <c r="BB912" s="12"/>
      <c r="BC912" s="12"/>
      <c r="BD912" s="11">
        <v>0</v>
      </c>
      <c r="BE912" s="11">
        <v>1</v>
      </c>
    </row>
    <row x14ac:dyDescent="0.25" r="913" customHeight="1" ht="17.25">
      <c r="A913" s="11">
        <v>18687491</v>
      </c>
      <c r="B913" s="4" t="s">
        <v>4232</v>
      </c>
      <c r="C913" s="5" t="s">
        <v>1058</v>
      </c>
      <c r="D913" s="5" t="s">
        <v>1059</v>
      </c>
      <c r="E913" s="5" t="s">
        <v>4233</v>
      </c>
      <c r="F913" s="13">
        <f>""</f>
      </c>
      <c r="G913" s="13">
        <f>""</f>
      </c>
      <c r="H913" s="11">
        <v>0</v>
      </c>
      <c r="I913" s="14">
        <v>4.16</v>
      </c>
      <c r="J913" s="7" t="s">
        <v>114</v>
      </c>
      <c r="K913" s="5" t="s">
        <v>90</v>
      </c>
      <c r="L913" s="11">
        <v>836</v>
      </c>
      <c r="M913" s="11">
        <v>2012</v>
      </c>
      <c r="N913" s="11">
        <v>1949</v>
      </c>
      <c r="O913" s="15"/>
      <c r="P913" s="8">
        <v>45113</v>
      </c>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4" t="s">
        <v>4234</v>
      </c>
      <c r="AY913" s="5" t="s">
        <v>4235</v>
      </c>
      <c r="AZ913" s="5" t="s">
        <v>38</v>
      </c>
      <c r="BA913" s="12"/>
      <c r="BB913" s="12"/>
      <c r="BC913" s="12"/>
      <c r="BD913" s="11">
        <v>0</v>
      </c>
      <c r="BE913" s="11">
        <v>1</v>
      </c>
    </row>
    <row x14ac:dyDescent="0.25" r="914" customHeight="1" ht="17.25">
      <c r="A914" s="11">
        <v>762359</v>
      </c>
      <c r="B914" s="4" t="s">
        <v>4236</v>
      </c>
      <c r="C914" s="5" t="s">
        <v>4237</v>
      </c>
      <c r="D914" s="5" t="s">
        <v>4238</v>
      </c>
      <c r="E914" s="5" t="s">
        <v>4239</v>
      </c>
      <c r="F914" s="13">
        <f>"0192832719"</f>
      </c>
      <c r="G914" s="13">
        <f>"9780192832719"</f>
      </c>
      <c r="H914" s="11">
        <v>0</v>
      </c>
      <c r="I914" s="14">
        <v>4.01</v>
      </c>
      <c r="J914" s="7" t="s">
        <v>245</v>
      </c>
      <c r="K914" s="5" t="s">
        <v>60</v>
      </c>
      <c r="L914" s="11">
        <v>448</v>
      </c>
      <c r="M914" s="11">
        <v>2001</v>
      </c>
      <c r="N914" s="11">
        <v>121</v>
      </c>
      <c r="O914" s="15"/>
      <c r="P914" s="8">
        <v>45113</v>
      </c>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4" t="s">
        <v>3501</v>
      </c>
      <c r="AY914" s="5" t="s">
        <v>4240</v>
      </c>
      <c r="AZ914" s="5" t="s">
        <v>38</v>
      </c>
      <c r="BA914" s="12"/>
      <c r="BB914" s="12"/>
      <c r="BC914" s="12"/>
      <c r="BD914" s="11">
        <v>0</v>
      </c>
      <c r="BE914" s="11">
        <v>1</v>
      </c>
    </row>
    <row x14ac:dyDescent="0.25" r="915" customHeight="1" ht="17.25">
      <c r="A915" s="11">
        <v>54017</v>
      </c>
      <c r="B915" s="4" t="s">
        <v>4241</v>
      </c>
      <c r="C915" s="5" t="s">
        <v>3467</v>
      </c>
      <c r="D915" s="5" t="s">
        <v>3468</v>
      </c>
      <c r="E915" s="12"/>
      <c r="F915" s="13">
        <f>"9500702029"</f>
      </c>
      <c r="G915" s="13">
        <f>"9789500702027"</f>
      </c>
      <c r="H915" s="11">
        <v>0</v>
      </c>
      <c r="I915" s="14">
        <v>4.3</v>
      </c>
      <c r="J915" s="7" t="s">
        <v>4242</v>
      </c>
      <c r="K915" s="5" t="s">
        <v>60</v>
      </c>
      <c r="L915" s="11">
        <v>200</v>
      </c>
      <c r="M915" s="11">
        <v>1966</v>
      </c>
      <c r="N915" s="11">
        <v>1966</v>
      </c>
      <c r="O915" s="15"/>
      <c r="P915" s="8">
        <v>44814</v>
      </c>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4" t="s">
        <v>3258</v>
      </c>
      <c r="AY915" s="5" t="s">
        <v>4243</v>
      </c>
      <c r="AZ915" s="5" t="s">
        <v>38</v>
      </c>
      <c r="BA915" s="12"/>
      <c r="BB915" s="12"/>
      <c r="BC915" s="12"/>
      <c r="BD915" s="11">
        <v>0</v>
      </c>
      <c r="BE915" s="11">
        <v>1</v>
      </c>
    </row>
    <row x14ac:dyDescent="0.25" r="916" customHeight="1" ht="17.25">
      <c r="A916" s="11">
        <v>526929</v>
      </c>
      <c r="B916" s="4" t="s">
        <v>4244</v>
      </c>
      <c r="C916" s="5" t="s">
        <v>1285</v>
      </c>
      <c r="D916" s="5" t="s">
        <v>1286</v>
      </c>
      <c r="E916" s="5" t="s">
        <v>4245</v>
      </c>
      <c r="F916" s="13">
        <f>"0394172701"</f>
      </c>
      <c r="G916" s="13">
        <f>"9780394172705"</f>
      </c>
      <c r="H916" s="11">
        <v>0</v>
      </c>
      <c r="I916" s="14">
        <v>4.36</v>
      </c>
      <c r="J916" s="7" t="s">
        <v>4246</v>
      </c>
      <c r="K916" s="5" t="s">
        <v>60</v>
      </c>
      <c r="L916" s="11">
        <v>210</v>
      </c>
      <c r="M916" s="11">
        <v>1967</v>
      </c>
      <c r="N916" s="11">
        <v>1961</v>
      </c>
      <c r="O916" s="15"/>
      <c r="P916" s="8">
        <v>44814</v>
      </c>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4" t="s">
        <v>3191</v>
      </c>
      <c r="AY916" s="5" t="s">
        <v>4247</v>
      </c>
      <c r="AZ916" s="5" t="s">
        <v>38</v>
      </c>
      <c r="BA916" s="12"/>
      <c r="BB916" s="12"/>
      <c r="BC916" s="12"/>
      <c r="BD916" s="11">
        <v>0</v>
      </c>
      <c r="BE916" s="11">
        <v>1</v>
      </c>
    </row>
    <row x14ac:dyDescent="0.25" r="917" customHeight="1" ht="15.75">
      <c r="A917" s="11">
        <v>9777</v>
      </c>
      <c r="B917" s="4" t="s">
        <v>4248</v>
      </c>
      <c r="C917" s="5" t="s">
        <v>4249</v>
      </c>
      <c r="D917" s="5" t="s">
        <v>4250</v>
      </c>
      <c r="E917" s="12"/>
      <c r="F917" s="13">
        <f>"0679457313"</f>
      </c>
      <c r="G917" s="13">
        <f>"9780679457312"</f>
      </c>
      <c r="H917" s="11">
        <v>0</v>
      </c>
      <c r="I917" s="14">
        <v>3.95</v>
      </c>
      <c r="J917" s="7" t="s">
        <v>1018</v>
      </c>
      <c r="K917" s="5" t="s">
        <v>60</v>
      </c>
      <c r="L917" s="11">
        <v>321</v>
      </c>
      <c r="M917" s="11">
        <v>1997</v>
      </c>
      <c r="N917" s="11">
        <v>1997</v>
      </c>
      <c r="O917" s="15"/>
      <c r="P917" s="8">
        <v>45111</v>
      </c>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4" t="s">
        <v>4251</v>
      </c>
      <c r="AY917" s="5" t="s">
        <v>4252</v>
      </c>
      <c r="AZ917" s="5" t="s">
        <v>38</v>
      </c>
      <c r="BA917" s="12"/>
      <c r="BB917" s="12"/>
      <c r="BC917" s="12"/>
      <c r="BD917" s="11">
        <v>0</v>
      </c>
      <c r="BE917" s="11">
        <v>1</v>
      </c>
    </row>
    <row x14ac:dyDescent="0.25" r="918" customHeight="1" ht="15.75">
      <c r="A918" s="11">
        <v>51815480</v>
      </c>
      <c r="B918" s="4" t="s">
        <v>4253</v>
      </c>
      <c r="C918" s="5" t="s">
        <v>4254</v>
      </c>
      <c r="D918" s="5" t="s">
        <v>4255</v>
      </c>
      <c r="E918" s="12"/>
      <c r="F918" s="13">
        <f>"0312924585"</f>
      </c>
      <c r="G918" s="13">
        <f>"9780312924584"</f>
      </c>
      <c r="H918" s="11">
        <v>0</v>
      </c>
      <c r="I918" s="14">
        <v>4.24</v>
      </c>
      <c r="J918" s="7" t="s">
        <v>4256</v>
      </c>
      <c r="K918" s="5" t="s">
        <v>346</v>
      </c>
      <c r="L918" s="11">
        <v>367</v>
      </c>
      <c r="M918" s="11">
        <v>1989</v>
      </c>
      <c r="N918" s="11">
        <v>1988</v>
      </c>
      <c r="O918" s="15"/>
      <c r="P918" s="8">
        <v>45113</v>
      </c>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4" t="s">
        <v>2460</v>
      </c>
      <c r="AY918" s="5" t="s">
        <v>4257</v>
      </c>
      <c r="AZ918" s="5" t="s">
        <v>38</v>
      </c>
      <c r="BA918" s="12"/>
      <c r="BB918" s="12"/>
      <c r="BC918" s="12"/>
      <c r="BD918" s="11">
        <v>0</v>
      </c>
      <c r="BE918" s="11">
        <v>1</v>
      </c>
    </row>
    <row x14ac:dyDescent="0.25" r="919" customHeight="1" ht="17.25">
      <c r="A919" s="11">
        <v>753252</v>
      </c>
      <c r="B919" s="4" t="s">
        <v>4258</v>
      </c>
      <c r="C919" s="5" t="s">
        <v>520</v>
      </c>
      <c r="D919" s="5" t="s">
        <v>521</v>
      </c>
      <c r="E919" s="12"/>
      <c r="F919" s="13">
        <f>"0679733485"</f>
      </c>
      <c r="G919" s="13">
        <f>"9780679733485"</f>
      </c>
      <c r="H919" s="11">
        <v>0</v>
      </c>
      <c r="I919" s="14">
        <v>4.24</v>
      </c>
      <c r="J919" s="7" t="s">
        <v>114</v>
      </c>
      <c r="K919" s="5" t="s">
        <v>60</v>
      </c>
      <c r="L919" s="11">
        <v>416</v>
      </c>
      <c r="M919" s="11">
        <v>1994</v>
      </c>
      <c r="N919" s="11">
        <v>1988</v>
      </c>
      <c r="O919" s="15"/>
      <c r="P919" s="8">
        <v>44965</v>
      </c>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4" t="s">
        <v>4259</v>
      </c>
      <c r="AY919" s="5" t="s">
        <v>4260</v>
      </c>
      <c r="AZ919" s="5" t="s">
        <v>38</v>
      </c>
      <c r="BA919" s="12"/>
      <c r="BB919" s="12"/>
      <c r="BC919" s="12"/>
      <c r="BD919" s="11">
        <v>0</v>
      </c>
      <c r="BE919" s="11">
        <v>1</v>
      </c>
    </row>
    <row x14ac:dyDescent="0.25" r="920" customHeight="1" ht="15.75">
      <c r="A920" s="11">
        <v>11904658</v>
      </c>
      <c r="B920" s="11">
        <v>1984</v>
      </c>
      <c r="C920" s="5" t="s">
        <v>2116</v>
      </c>
      <c r="D920" s="5" t="s">
        <v>2117</v>
      </c>
      <c r="E920" s="5" t="s">
        <v>4261</v>
      </c>
      <c r="F920" s="13">
        <f>"0451518004"</f>
      </c>
      <c r="G920" s="13">
        <f>"9780451518002"</f>
      </c>
      <c r="H920" s="11">
        <v>0</v>
      </c>
      <c r="I920" s="14">
        <v>4.19</v>
      </c>
      <c r="J920" s="7" t="s">
        <v>4262</v>
      </c>
      <c r="K920" s="5" t="s">
        <v>346</v>
      </c>
      <c r="L920" s="11">
        <v>268</v>
      </c>
      <c r="M920" s="11">
        <v>1983</v>
      </c>
      <c r="N920" s="11">
        <v>1949</v>
      </c>
      <c r="O920" s="15"/>
      <c r="P920" s="8">
        <v>45113</v>
      </c>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4" t="s">
        <v>2460</v>
      </c>
      <c r="AY920" s="5" t="s">
        <v>4263</v>
      </c>
      <c r="AZ920" s="5" t="s">
        <v>38</v>
      </c>
      <c r="BA920" s="12"/>
      <c r="BB920" s="12"/>
      <c r="BC920" s="12"/>
      <c r="BD920" s="11">
        <v>0</v>
      </c>
      <c r="BE920" s="11">
        <v>1</v>
      </c>
    </row>
    <row x14ac:dyDescent="0.25" r="921" customHeight="1" ht="17.25">
      <c r="A921" s="11">
        <v>13284053</v>
      </c>
      <c r="B921" s="4" t="s">
        <v>4264</v>
      </c>
      <c r="C921" s="5" t="s">
        <v>4265</v>
      </c>
      <c r="D921" s="5" t="s">
        <v>4266</v>
      </c>
      <c r="E921" s="5" t="s">
        <v>4267</v>
      </c>
      <c r="F921" s="13">
        <f>"1844677125"</f>
      </c>
      <c r="G921" s="13">
        <f>"9781844677122"</f>
      </c>
      <c r="H921" s="11">
        <v>0</v>
      </c>
      <c r="I921" s="14">
        <v>3.49</v>
      </c>
      <c r="J921" s="7" t="s">
        <v>1155</v>
      </c>
      <c r="K921" s="5" t="s">
        <v>60</v>
      </c>
      <c r="L921" s="11">
        <v>240</v>
      </c>
      <c r="M921" s="11">
        <v>2012</v>
      </c>
      <c r="N921" s="11">
        <v>1992</v>
      </c>
      <c r="O921" s="15"/>
      <c r="P921" s="8">
        <v>44814</v>
      </c>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4" t="s">
        <v>3369</v>
      </c>
      <c r="AY921" s="5" t="s">
        <v>4268</v>
      </c>
      <c r="AZ921" s="5" t="s">
        <v>38</v>
      </c>
      <c r="BA921" s="12"/>
      <c r="BB921" s="12"/>
      <c r="BC921" s="12"/>
      <c r="BD921" s="11">
        <v>0</v>
      </c>
      <c r="BE921" s="11">
        <v>1</v>
      </c>
    </row>
    <row x14ac:dyDescent="0.25" r="922" customHeight="1" ht="15.75">
      <c r="A922" s="11">
        <v>138028985</v>
      </c>
      <c r="B922" s="4" t="s">
        <v>4269</v>
      </c>
      <c r="C922" s="5" t="s">
        <v>3939</v>
      </c>
      <c r="D922" s="5" t="s">
        <v>3940</v>
      </c>
      <c r="E922" s="12"/>
      <c r="F922" s="13">
        <f>""</f>
      </c>
      <c r="G922" s="13">
        <f>""</f>
      </c>
      <c r="H922" s="11">
        <v>0</v>
      </c>
      <c r="I922" s="14">
        <v>3.74</v>
      </c>
      <c r="J922" s="7" t="s">
        <v>4270</v>
      </c>
      <c r="K922" s="5" t="s">
        <v>72</v>
      </c>
      <c r="L922" s="16"/>
      <c r="M922" s="11">
        <v>1973</v>
      </c>
      <c r="N922" s="11">
        <v>1969</v>
      </c>
      <c r="O922" s="15"/>
      <c r="P922" s="8">
        <v>44814</v>
      </c>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4" t="s">
        <v>2460</v>
      </c>
      <c r="AY922" s="5" t="s">
        <v>4271</v>
      </c>
      <c r="AZ922" s="5" t="s">
        <v>38</v>
      </c>
      <c r="BA922" s="12"/>
      <c r="BB922" s="12"/>
      <c r="BC922" s="12"/>
      <c r="BD922" s="11">
        <v>0</v>
      </c>
      <c r="BE922" s="11">
        <v>1</v>
      </c>
    </row>
    <row x14ac:dyDescent="0.25" r="923" customHeight="1" ht="17.25">
      <c r="A923" s="11">
        <v>33418</v>
      </c>
      <c r="B923" s="4" t="s">
        <v>4272</v>
      </c>
      <c r="C923" s="5" t="s">
        <v>4273</v>
      </c>
      <c r="D923" s="5" t="s">
        <v>4274</v>
      </c>
      <c r="E923" s="12"/>
      <c r="F923" s="13">
        <f>"1400033721"</f>
      </c>
      <c r="G923" s="13">
        <f>"9781400033720"</f>
      </c>
      <c r="H923" s="11">
        <v>0</v>
      </c>
      <c r="I923" s="14">
        <v>4.21</v>
      </c>
      <c r="J923" s="7" t="s">
        <v>2044</v>
      </c>
      <c r="K923" s="5" t="s">
        <v>60</v>
      </c>
      <c r="L923" s="11">
        <v>361</v>
      </c>
      <c r="M923" s="11">
        <v>2006</v>
      </c>
      <c r="N923" s="11">
        <v>2004</v>
      </c>
      <c r="O923" s="15"/>
      <c r="P923" s="8">
        <v>44814</v>
      </c>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4" t="s">
        <v>3164</v>
      </c>
      <c r="AY923" s="5" t="s">
        <v>4275</v>
      </c>
      <c r="AZ923" s="5" t="s">
        <v>38</v>
      </c>
      <c r="BA923" s="12"/>
      <c r="BB923" s="12"/>
      <c r="BC923" s="12"/>
      <c r="BD923" s="11">
        <v>0</v>
      </c>
      <c r="BE923" s="11">
        <v>1</v>
      </c>
    </row>
    <row x14ac:dyDescent="0.25" r="924" customHeight="1" ht="17.25">
      <c r="A924" s="11">
        <v>57002466</v>
      </c>
      <c r="B924" s="4" t="s">
        <v>4276</v>
      </c>
      <c r="C924" s="5" t="s">
        <v>4277</v>
      </c>
      <c r="D924" s="5" t="s">
        <v>4278</v>
      </c>
      <c r="E924" s="12"/>
      <c r="F924" s="13">
        <f>""</f>
      </c>
      <c r="G924" s="13">
        <f>""</f>
      </c>
      <c r="H924" s="11">
        <v>0</v>
      </c>
      <c r="I924" s="14">
        <v>3.87</v>
      </c>
      <c r="J924" s="7" t="s">
        <v>3196</v>
      </c>
      <c r="K924" s="5" t="s">
        <v>72</v>
      </c>
      <c r="L924" s="11">
        <v>376</v>
      </c>
      <c r="M924" s="11">
        <v>1981</v>
      </c>
      <c r="N924" s="11">
        <v>1977</v>
      </c>
      <c r="O924" s="15"/>
      <c r="P924" s="8">
        <v>44814</v>
      </c>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4" t="s">
        <v>3164</v>
      </c>
      <c r="AY924" s="5" t="s">
        <v>4279</v>
      </c>
      <c r="AZ924" s="5" t="s">
        <v>38</v>
      </c>
      <c r="BA924" s="12"/>
      <c r="BB924" s="12"/>
      <c r="BC924" s="12"/>
      <c r="BD924" s="11">
        <v>0</v>
      </c>
      <c r="BE924" s="11">
        <v>1</v>
      </c>
    </row>
    <row x14ac:dyDescent="0.25" r="925" customHeight="1" ht="15.75">
      <c r="A925" s="11">
        <v>34629308</v>
      </c>
      <c r="B925" s="4" t="s">
        <v>4280</v>
      </c>
      <c r="C925" s="5" t="s">
        <v>4281</v>
      </c>
      <c r="D925" s="5" t="s">
        <v>4282</v>
      </c>
      <c r="E925" s="12"/>
      <c r="F925" s="13">
        <f>""</f>
      </c>
      <c r="G925" s="13">
        <f>""</f>
      </c>
      <c r="H925" s="11">
        <v>0</v>
      </c>
      <c r="I925" s="14">
        <v>3.85</v>
      </c>
      <c r="J925" s="7" t="s">
        <v>4283</v>
      </c>
      <c r="K925" s="1"/>
      <c r="L925" s="11">
        <v>140</v>
      </c>
      <c r="M925" s="11">
        <v>1966</v>
      </c>
      <c r="N925" s="11">
        <v>1965</v>
      </c>
      <c r="O925" s="15"/>
      <c r="P925" s="8">
        <v>44814</v>
      </c>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4" t="s">
        <v>2460</v>
      </c>
      <c r="AY925" s="5" t="s">
        <v>4284</v>
      </c>
      <c r="AZ925" s="5" t="s">
        <v>38</v>
      </c>
      <c r="BA925" s="12"/>
      <c r="BB925" s="12"/>
      <c r="BC925" s="12"/>
      <c r="BD925" s="11">
        <v>0</v>
      </c>
      <c r="BE925" s="11">
        <v>1</v>
      </c>
    </row>
    <row x14ac:dyDescent="0.25" r="926" customHeight="1" ht="17.25">
      <c r="A926" s="11">
        <v>17961</v>
      </c>
      <c r="B926" s="4" t="s">
        <v>4285</v>
      </c>
      <c r="C926" s="5" t="s">
        <v>1285</v>
      </c>
      <c r="D926" s="5" t="s">
        <v>1286</v>
      </c>
      <c r="E926" s="12"/>
      <c r="F926" s="13">
        <f>"0140286802"</f>
      </c>
      <c r="G926" s="13">
        <f>"9780140286809"</f>
      </c>
      <c r="H926" s="11">
        <v>0</v>
      </c>
      <c r="I926" s="14">
        <v>4.57</v>
      </c>
      <c r="J926" s="7" t="s">
        <v>4286</v>
      </c>
      <c r="K926" s="5" t="s">
        <v>60</v>
      </c>
      <c r="L926" s="11">
        <v>565</v>
      </c>
      <c r="M926" s="11">
        <v>1999</v>
      </c>
      <c r="N926" s="11">
        <v>1998</v>
      </c>
      <c r="O926" s="15"/>
      <c r="P926" s="8">
        <v>44814</v>
      </c>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4" t="s">
        <v>3191</v>
      </c>
      <c r="AY926" s="5" t="s">
        <v>4287</v>
      </c>
      <c r="AZ926" s="5" t="s">
        <v>38</v>
      </c>
      <c r="BA926" s="12"/>
      <c r="BB926" s="12"/>
      <c r="BC926" s="12"/>
      <c r="BD926" s="11">
        <v>0</v>
      </c>
      <c r="BE926" s="11">
        <v>1</v>
      </c>
    </row>
    <row x14ac:dyDescent="0.25" r="927" customHeight="1" ht="17.25">
      <c r="A927" s="11">
        <v>34927404</v>
      </c>
      <c r="B927" s="4" t="s">
        <v>4288</v>
      </c>
      <c r="C927" s="5" t="s">
        <v>4289</v>
      </c>
      <c r="D927" s="5" t="s">
        <v>4290</v>
      </c>
      <c r="E927" s="12"/>
      <c r="F927" s="13">
        <f>"0134685997"</f>
      </c>
      <c r="G927" s="13">
        <f>"9780134685991"</f>
      </c>
      <c r="H927" s="11">
        <v>0</v>
      </c>
      <c r="I927" s="14">
        <v>4.51</v>
      </c>
      <c r="J927" s="7" t="s">
        <v>2938</v>
      </c>
      <c r="K927" s="5" t="s">
        <v>60</v>
      </c>
      <c r="L927" s="11">
        <v>412</v>
      </c>
      <c r="M927" s="11">
        <v>2017</v>
      </c>
      <c r="N927" s="11">
        <v>2001</v>
      </c>
      <c r="O927" s="15"/>
      <c r="P927" s="8">
        <v>44814</v>
      </c>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4" t="s">
        <v>3164</v>
      </c>
      <c r="AY927" s="5" t="s">
        <v>4291</v>
      </c>
      <c r="AZ927" s="5" t="s">
        <v>38</v>
      </c>
      <c r="BA927" s="12"/>
      <c r="BB927" s="12"/>
      <c r="BC927" s="12"/>
      <c r="BD927" s="11">
        <v>0</v>
      </c>
      <c r="BE927" s="11">
        <v>1</v>
      </c>
    </row>
    <row x14ac:dyDescent="0.25" r="928" customHeight="1" ht="17.25">
      <c r="A928" s="11">
        <v>37912479</v>
      </c>
      <c r="B928" s="4" t="s">
        <v>4292</v>
      </c>
      <c r="C928" s="5" t="s">
        <v>4293</v>
      </c>
      <c r="D928" s="5" t="s">
        <v>4294</v>
      </c>
      <c r="E928" s="12"/>
      <c r="F928" s="13">
        <f>"1617294942"</f>
      </c>
      <c r="G928" s="13">
        <f>"9781617294945"</f>
      </c>
      <c r="H928" s="11">
        <v>0</v>
      </c>
      <c r="I928" s="14">
        <v>3.94</v>
      </c>
      <c r="J928" s="7" t="s">
        <v>4295</v>
      </c>
      <c r="K928" s="5" t="s">
        <v>60</v>
      </c>
      <c r="L928" s="11">
        <v>520</v>
      </c>
      <c r="M928" s="11">
        <v>2018</v>
      </c>
      <c r="N928" s="16"/>
      <c r="O928" s="15"/>
      <c r="P928" s="8">
        <v>44814</v>
      </c>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4" t="s">
        <v>3216</v>
      </c>
      <c r="AY928" s="5" t="s">
        <v>4296</v>
      </c>
      <c r="AZ928" s="5" t="s">
        <v>38</v>
      </c>
      <c r="BA928" s="12"/>
      <c r="BB928" s="12"/>
      <c r="BC928" s="12"/>
      <c r="BD928" s="11">
        <v>0</v>
      </c>
      <c r="BE928" s="11">
        <v>1</v>
      </c>
    </row>
    <row x14ac:dyDescent="0.25" r="929" customHeight="1" ht="17.25">
      <c r="A929" s="11">
        <v>436053</v>
      </c>
      <c r="B929" s="4" t="s">
        <v>4297</v>
      </c>
      <c r="C929" s="5" t="s">
        <v>4298</v>
      </c>
      <c r="D929" s="5" t="s">
        <v>4299</v>
      </c>
      <c r="E929" s="12"/>
      <c r="F929" s="13">
        <f>"0971646678"</f>
      </c>
      <c r="G929" s="13">
        <f>"9780971646674"</f>
      </c>
      <c r="H929" s="11">
        <v>0</v>
      </c>
      <c r="I929" s="14">
        <v>4.06</v>
      </c>
      <c r="J929" s="17" t="s">
        <v>4300</v>
      </c>
      <c r="K929" s="5" t="s">
        <v>60</v>
      </c>
      <c r="L929" s="11">
        <v>224</v>
      </c>
      <c r="M929" s="11">
        <v>2012</v>
      </c>
      <c r="N929" s="11">
        <v>2007</v>
      </c>
      <c r="O929" s="15"/>
      <c r="P929" s="8">
        <v>44814</v>
      </c>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11">
        <v>0</v>
      </c>
      <c r="AY929" s="5" t="s">
        <v>4301</v>
      </c>
      <c r="AZ929" s="5" t="s">
        <v>158</v>
      </c>
      <c r="BA929" s="12"/>
      <c r="BB929" s="12"/>
      <c r="BC929" s="12"/>
      <c r="BD929" s="11">
        <v>1</v>
      </c>
      <c r="BE929" s="11">
        <v>1</v>
      </c>
    </row>
    <row x14ac:dyDescent="0.25" r="930" customHeight="1" ht="17.25">
      <c r="A930" s="11">
        <v>51330</v>
      </c>
      <c r="B930" s="4" t="s">
        <v>4302</v>
      </c>
      <c r="C930" s="5" t="s">
        <v>4303</v>
      </c>
      <c r="D930" s="5" t="s">
        <v>4304</v>
      </c>
      <c r="E930" s="12"/>
      <c r="F930" s="13">
        <f>"0385260326"</f>
      </c>
      <c r="G930" s="13">
        <f>"9780385260329"</f>
      </c>
      <c r="H930" s="11">
        <v>4</v>
      </c>
      <c r="I930" s="14">
        <v>3.97</v>
      </c>
      <c r="J930" s="7" t="s">
        <v>2044</v>
      </c>
      <c r="K930" s="5" t="s">
        <v>60</v>
      </c>
      <c r="L930" s="11">
        <v>282</v>
      </c>
      <c r="M930" s="11">
        <v>1989</v>
      </c>
      <c r="N930" s="11">
        <v>1988</v>
      </c>
      <c r="O930" s="9">
        <v>44510</v>
      </c>
      <c r="P930" s="8">
        <v>44508</v>
      </c>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4" t="s">
        <v>3501</v>
      </c>
      <c r="AY930" s="5" t="s">
        <v>4305</v>
      </c>
      <c r="AZ930" s="5" t="s">
        <v>38</v>
      </c>
      <c r="BA930" s="12"/>
      <c r="BB930" s="12"/>
      <c r="BC930" s="12"/>
      <c r="BD930" s="11">
        <v>1</v>
      </c>
      <c r="BE930" s="11">
        <v>1</v>
      </c>
    </row>
    <row x14ac:dyDescent="0.25" r="931" customHeight="1" ht="17.25">
      <c r="A931" s="11">
        <v>584019</v>
      </c>
      <c r="B931" s="4" t="s">
        <v>4306</v>
      </c>
      <c r="C931" s="5" t="s">
        <v>4307</v>
      </c>
      <c r="D931" s="5" t="s">
        <v>4308</v>
      </c>
      <c r="E931" s="5" t="s">
        <v>4309</v>
      </c>
      <c r="F931" s="13">
        <f>"0670875279"</f>
      </c>
      <c r="G931" s="13">
        <f>"9780670875276"</f>
      </c>
      <c r="H931" s="11">
        <v>0</v>
      </c>
      <c r="I931" s="14">
        <v>4.24</v>
      </c>
      <c r="J931" s="7" t="s">
        <v>4310</v>
      </c>
      <c r="K931" s="5" t="s">
        <v>72</v>
      </c>
      <c r="L931" s="11">
        <v>819</v>
      </c>
      <c r="M931" s="11">
        <v>1997</v>
      </c>
      <c r="N931" s="11">
        <v>1997</v>
      </c>
      <c r="O931" s="15"/>
      <c r="P931" s="8">
        <v>44814</v>
      </c>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4" t="s">
        <v>3164</v>
      </c>
      <c r="AY931" s="5" t="s">
        <v>4311</v>
      </c>
      <c r="AZ931" s="5" t="s">
        <v>38</v>
      </c>
      <c r="BA931" s="12"/>
      <c r="BB931" s="12"/>
      <c r="BC931" s="12"/>
      <c r="BD931" s="11">
        <v>0</v>
      </c>
      <c r="BE931" s="11">
        <v>1</v>
      </c>
    </row>
    <row x14ac:dyDescent="0.25" r="932" customHeight="1" ht="15.75">
      <c r="A932" s="11">
        <v>114872</v>
      </c>
      <c r="B932" s="4" t="s">
        <v>4312</v>
      </c>
      <c r="C932" s="5" t="s">
        <v>948</v>
      </c>
      <c r="D932" s="5" t="s">
        <v>949</v>
      </c>
      <c r="E932" s="12"/>
      <c r="F932" s="13">
        <f>"0880014296"</f>
      </c>
      <c r="G932" s="13">
        <f>"9780880014298"</f>
      </c>
      <c r="H932" s="11">
        <v>0</v>
      </c>
      <c r="I932" s="14">
        <v>3.59</v>
      </c>
      <c r="J932" s="7" t="s">
        <v>218</v>
      </c>
      <c r="K932" s="5" t="s">
        <v>60</v>
      </c>
      <c r="L932" s="11">
        <v>112</v>
      </c>
      <c r="M932" s="11">
        <v>1995</v>
      </c>
      <c r="N932" s="11">
        <v>1929</v>
      </c>
      <c r="O932" s="15"/>
      <c r="P932" s="8">
        <v>44810</v>
      </c>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4" t="s">
        <v>2460</v>
      </c>
      <c r="AY932" s="5" t="s">
        <v>4313</v>
      </c>
      <c r="AZ932" s="5" t="s">
        <v>38</v>
      </c>
      <c r="BA932" s="12"/>
      <c r="BB932" s="12"/>
      <c r="BC932" s="12"/>
      <c r="BD932" s="11">
        <v>0</v>
      </c>
      <c r="BE932" s="11">
        <v>1</v>
      </c>
    </row>
    <row x14ac:dyDescent="0.25" r="933" customHeight="1" ht="17.25">
      <c r="A933" s="11">
        <v>126811</v>
      </c>
      <c r="B933" s="4" t="s">
        <v>4314</v>
      </c>
      <c r="C933" s="5" t="s">
        <v>4307</v>
      </c>
      <c r="D933" s="5" t="s">
        <v>4308</v>
      </c>
      <c r="E933" s="5" t="s">
        <v>4315</v>
      </c>
      <c r="F933" s="13">
        <f>"0670858579"</f>
      </c>
      <c r="G933" s="13">
        <f>"9780670858576"</f>
      </c>
      <c r="H933" s="11">
        <v>0</v>
      </c>
      <c r="I933" s="14">
        <v>4.24</v>
      </c>
      <c r="J933" s="7" t="s">
        <v>4316</v>
      </c>
      <c r="K933" s="5" t="s">
        <v>72</v>
      </c>
      <c r="L933" s="11">
        <v>832</v>
      </c>
      <c r="M933" s="11">
        <v>1994</v>
      </c>
      <c r="N933" s="11">
        <v>1994</v>
      </c>
      <c r="O933" s="15"/>
      <c r="P933" s="8">
        <v>44814</v>
      </c>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4" t="s">
        <v>3164</v>
      </c>
      <c r="AY933" s="5" t="s">
        <v>4317</v>
      </c>
      <c r="AZ933" s="5" t="s">
        <v>38</v>
      </c>
      <c r="BA933" s="12"/>
      <c r="BB933" s="12"/>
      <c r="BC933" s="12"/>
      <c r="BD933" s="11">
        <v>0</v>
      </c>
      <c r="BE933" s="11">
        <v>1</v>
      </c>
    </row>
    <row x14ac:dyDescent="0.25" r="934" customHeight="1" ht="17.25">
      <c r="A934" s="11">
        <v>41964822</v>
      </c>
      <c r="B934" s="4" t="s">
        <v>4318</v>
      </c>
      <c r="C934" s="5" t="s">
        <v>4319</v>
      </c>
      <c r="D934" s="5" t="s">
        <v>4320</v>
      </c>
      <c r="E934" s="12"/>
      <c r="F934" s="13">
        <f>"1585421618"</f>
      </c>
      <c r="G934" s="13">
        <f>""</f>
      </c>
      <c r="H934" s="11">
        <v>0</v>
      </c>
      <c r="I934" s="14">
        <v>4.51</v>
      </c>
      <c r="J934" s="7" t="s">
        <v>4321</v>
      </c>
      <c r="K934" s="5" t="s">
        <v>60</v>
      </c>
      <c r="L934" s="11">
        <v>670</v>
      </c>
      <c r="M934" s="11">
        <v>2002</v>
      </c>
      <c r="N934" s="11">
        <v>1980</v>
      </c>
      <c r="O934" s="15"/>
      <c r="P934" s="8">
        <v>44800</v>
      </c>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4" t="s">
        <v>3265</v>
      </c>
      <c r="AY934" s="5" t="s">
        <v>4322</v>
      </c>
      <c r="AZ934" s="5" t="s">
        <v>38</v>
      </c>
      <c r="BA934" s="12"/>
      <c r="BB934" s="12"/>
      <c r="BC934" s="12"/>
      <c r="BD934" s="11">
        <v>0</v>
      </c>
      <c r="BE934" s="11">
        <v>1</v>
      </c>
    </row>
    <row x14ac:dyDescent="0.25" r="935" customHeight="1" ht="17.25">
      <c r="A935" s="11">
        <v>544021</v>
      </c>
      <c r="B935" s="4" t="s">
        <v>4323</v>
      </c>
      <c r="C935" s="5" t="s">
        <v>4324</v>
      </c>
      <c r="D935" s="5" t="s">
        <v>4325</v>
      </c>
      <c r="E935" s="12"/>
      <c r="F935" s="13">
        <f>"052148328X"</f>
      </c>
      <c r="G935" s="13">
        <f>"9780521483285"</f>
      </c>
      <c r="H935" s="11">
        <v>0</v>
      </c>
      <c r="I935" s="14">
        <v>4.24</v>
      </c>
      <c r="J935" s="7" t="s">
        <v>636</v>
      </c>
      <c r="K935" s="5" t="s">
        <v>60</v>
      </c>
      <c r="L935" s="11">
        <v>912</v>
      </c>
      <c r="M935" s="11">
        <v>1995</v>
      </c>
      <c r="N935" s="11">
        <v>1995</v>
      </c>
      <c r="O935" s="15"/>
      <c r="P935" s="8">
        <v>44444</v>
      </c>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4" t="s">
        <v>3359</v>
      </c>
      <c r="AY935" s="5" t="s">
        <v>4326</v>
      </c>
      <c r="AZ935" s="5" t="s">
        <v>38</v>
      </c>
      <c r="BA935" s="12"/>
      <c r="BB935" s="12"/>
      <c r="BC935" s="12"/>
      <c r="BD935" s="11">
        <v>0</v>
      </c>
      <c r="BE935" s="11">
        <v>1</v>
      </c>
    </row>
    <row x14ac:dyDescent="0.25" r="936" customHeight="1" ht="15.75">
      <c r="A936" s="11">
        <v>53388537</v>
      </c>
      <c r="B936" s="4" t="s">
        <v>4327</v>
      </c>
      <c r="C936" s="5" t="s">
        <v>4328</v>
      </c>
      <c r="D936" s="5" t="s">
        <v>4329</v>
      </c>
      <c r="E936" s="12"/>
      <c r="F936" s="13">
        <f>""</f>
      </c>
      <c r="G936" s="13">
        <f>""</f>
      </c>
      <c r="H936" s="11">
        <v>0</v>
      </c>
      <c r="I936" s="14">
        <v>4.06</v>
      </c>
      <c r="J936" s="7" t="s">
        <v>4330</v>
      </c>
      <c r="K936" s="5" t="s">
        <v>60</v>
      </c>
      <c r="L936" s="11">
        <v>460</v>
      </c>
      <c r="M936" s="11">
        <v>1977</v>
      </c>
      <c r="N936" s="11">
        <v>1958</v>
      </c>
      <c r="O936" s="15"/>
      <c r="P936" s="8">
        <v>44097</v>
      </c>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4" t="s">
        <v>2460</v>
      </c>
      <c r="AY936" s="5" t="s">
        <v>4331</v>
      </c>
      <c r="AZ936" s="5" t="s">
        <v>38</v>
      </c>
      <c r="BA936" s="12"/>
      <c r="BB936" s="12"/>
      <c r="BC936" s="12"/>
      <c r="BD936" s="11">
        <v>0</v>
      </c>
      <c r="BE936" s="11">
        <v>1</v>
      </c>
    </row>
    <row x14ac:dyDescent="0.25" r="937" customHeight="1" ht="15.75">
      <c r="A937" s="11">
        <v>938816</v>
      </c>
      <c r="B937" s="4" t="s">
        <v>4332</v>
      </c>
      <c r="C937" s="5" t="s">
        <v>4333</v>
      </c>
      <c r="D937" s="5" t="s">
        <v>4334</v>
      </c>
      <c r="E937" s="5" t="s">
        <v>4335</v>
      </c>
      <c r="F937" s="13">
        <f>""</f>
      </c>
      <c r="G937" s="13">
        <f>""</f>
      </c>
      <c r="H937" s="11">
        <v>0</v>
      </c>
      <c r="I937" s="14">
        <v>3.89</v>
      </c>
      <c r="J937" s="7" t="s">
        <v>4336</v>
      </c>
      <c r="K937" s="5" t="s">
        <v>60</v>
      </c>
      <c r="L937" s="11">
        <v>256</v>
      </c>
      <c r="M937" s="11">
        <v>1964</v>
      </c>
      <c r="N937" s="11">
        <v>1964</v>
      </c>
      <c r="O937" s="15"/>
      <c r="P937" s="8">
        <v>43939</v>
      </c>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4" t="s">
        <v>2460</v>
      </c>
      <c r="AY937" s="5" t="s">
        <v>4337</v>
      </c>
      <c r="AZ937" s="5" t="s">
        <v>38</v>
      </c>
      <c r="BA937" s="12"/>
      <c r="BB937" s="12"/>
      <c r="BC937" s="12"/>
      <c r="BD937" s="11">
        <v>0</v>
      </c>
      <c r="BE937" s="11">
        <v>1</v>
      </c>
    </row>
    <row x14ac:dyDescent="0.25" r="938" customHeight="1" ht="17.25">
      <c r="A938" s="11">
        <v>17799243</v>
      </c>
      <c r="B938" s="4" t="s">
        <v>4338</v>
      </c>
      <c r="C938" s="5" t="s">
        <v>1078</v>
      </c>
      <c r="D938" s="5" t="s">
        <v>1079</v>
      </c>
      <c r="E938" s="12"/>
      <c r="F938" s="13">
        <f>""</f>
      </c>
      <c r="G938" s="13">
        <f>""</f>
      </c>
      <c r="H938" s="11">
        <v>0</v>
      </c>
      <c r="I938" s="14">
        <v>3.83</v>
      </c>
      <c r="J938" s="7" t="s">
        <v>4339</v>
      </c>
      <c r="K938" s="5" t="s">
        <v>72</v>
      </c>
      <c r="L938" s="11">
        <v>411</v>
      </c>
      <c r="M938" s="11">
        <v>1936</v>
      </c>
      <c r="N938" s="11">
        <v>1936</v>
      </c>
      <c r="O938" s="15"/>
      <c r="P938" s="8">
        <v>43922</v>
      </c>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4" t="s">
        <v>3164</v>
      </c>
      <c r="AY938" s="5" t="s">
        <v>4340</v>
      </c>
      <c r="AZ938" s="5" t="s">
        <v>38</v>
      </c>
      <c r="BA938" s="12"/>
      <c r="BB938" s="12"/>
      <c r="BC938" s="12"/>
      <c r="BD938" s="11">
        <v>0</v>
      </c>
      <c r="BE938" s="11">
        <v>1</v>
      </c>
    </row>
    <row x14ac:dyDescent="0.25" r="939" customHeight="1" ht="17.25">
      <c r="A939" s="11">
        <v>833885</v>
      </c>
      <c r="B939" s="4" t="s">
        <v>4341</v>
      </c>
      <c r="C939" s="5" t="s">
        <v>4342</v>
      </c>
      <c r="D939" s="5" t="s">
        <v>4343</v>
      </c>
      <c r="E939" s="12"/>
      <c r="F939" s="13">
        <f>"0802220835"</f>
      </c>
      <c r="G939" s="13">
        <f>"9780802220837"</f>
      </c>
      <c r="H939" s="11">
        <v>0</v>
      </c>
      <c r="I939" s="14">
        <v>4.14</v>
      </c>
      <c r="J939" s="7" t="s">
        <v>4344</v>
      </c>
      <c r="K939" s="5" t="s">
        <v>72</v>
      </c>
      <c r="L939" s="11">
        <v>419</v>
      </c>
      <c r="M939" s="11">
        <v>1971</v>
      </c>
      <c r="N939" s="11">
        <v>1958</v>
      </c>
      <c r="O939" s="15"/>
      <c r="P939" s="8">
        <v>43934</v>
      </c>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4" t="s">
        <v>3587</v>
      </c>
      <c r="AY939" s="5" t="s">
        <v>4345</v>
      </c>
      <c r="AZ939" s="5" t="s">
        <v>38</v>
      </c>
      <c r="BA939" s="12"/>
      <c r="BB939" s="12"/>
      <c r="BC939" s="12"/>
      <c r="BD939" s="11">
        <v>0</v>
      </c>
      <c r="BE939" s="11">
        <v>1</v>
      </c>
    </row>
    <row x14ac:dyDescent="0.25" r="940" customHeight="1" ht="17.25">
      <c r="A940" s="11">
        <v>53159</v>
      </c>
      <c r="B940" s="4" t="s">
        <v>4346</v>
      </c>
      <c r="C940" s="5" t="s">
        <v>1258</v>
      </c>
      <c r="D940" s="5" t="s">
        <v>1259</v>
      </c>
      <c r="E940" s="12"/>
      <c r="F940" s="13">
        <f>"0374523819"</f>
      </c>
      <c r="G940" s="13">
        <f>"9780374523817"</f>
      </c>
      <c r="H940" s="11">
        <v>4</v>
      </c>
      <c r="I940" s="14">
        <v>4.09</v>
      </c>
      <c r="J940" s="7" t="s">
        <v>120</v>
      </c>
      <c r="K940" s="5" t="s">
        <v>60</v>
      </c>
      <c r="L940" s="11">
        <v>96</v>
      </c>
      <c r="M940" s="11">
        <v>1993</v>
      </c>
      <c r="N940" s="11">
        <v>1992</v>
      </c>
      <c r="O940" s="8">
        <v>43967</v>
      </c>
      <c r="P940" s="8">
        <v>43180</v>
      </c>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4" t="s">
        <v>3295</v>
      </c>
      <c r="AY940" s="5" t="s">
        <v>4347</v>
      </c>
      <c r="AZ940" s="5" t="s">
        <v>158</v>
      </c>
      <c r="BA940" s="12"/>
      <c r="BB940" s="12"/>
      <c r="BC940" s="12"/>
      <c r="BD940" s="11">
        <v>1</v>
      </c>
      <c r="BE940" s="11">
        <v>1</v>
      </c>
    </row>
    <row x14ac:dyDescent="0.25" r="941" customHeight="1" ht="17.25">
      <c r="A941" s="11">
        <v>118287</v>
      </c>
      <c r="B941" s="4" t="s">
        <v>4348</v>
      </c>
      <c r="C941" s="5" t="s">
        <v>4349</v>
      </c>
      <c r="D941" s="5" t="s">
        <v>4350</v>
      </c>
      <c r="E941" s="12"/>
      <c r="F941" s="13">
        <f>"0195049969"</f>
      </c>
      <c r="G941" s="13">
        <f>"9780195049961"</f>
      </c>
      <c r="H941" s="11">
        <v>0</v>
      </c>
      <c r="I941" s="14">
        <v>4.13</v>
      </c>
      <c r="J941" s="7" t="s">
        <v>245</v>
      </c>
      <c r="K941" s="5" t="s">
        <v>60</v>
      </c>
      <c r="L941" s="11">
        <v>400</v>
      </c>
      <c r="M941" s="11">
        <v>1987</v>
      </c>
      <c r="N941" s="11">
        <v>1985</v>
      </c>
      <c r="O941" s="15"/>
      <c r="P941" s="8">
        <v>42816</v>
      </c>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4" t="s">
        <v>3359</v>
      </c>
      <c r="AY941" s="5" t="s">
        <v>4351</v>
      </c>
      <c r="AZ941" s="5" t="s">
        <v>38</v>
      </c>
      <c r="BA941" s="12"/>
      <c r="BB941" s="12"/>
      <c r="BC941" s="12"/>
      <c r="BD941" s="11">
        <v>0</v>
      </c>
      <c r="BE941" s="11">
        <v>1</v>
      </c>
    </row>
    <row x14ac:dyDescent="0.25" r="942" customHeight="1" ht="15.75">
      <c r="A942" s="11">
        <v>24800</v>
      </c>
      <c r="B942" s="4" t="s">
        <v>4352</v>
      </c>
      <c r="C942" s="5" t="s">
        <v>4353</v>
      </c>
      <c r="D942" s="5" t="s">
        <v>4354</v>
      </c>
      <c r="E942" s="12"/>
      <c r="F942" s="13">
        <f>"038560310X"</f>
      </c>
      <c r="G942" s="13">
        <f>"9780385603102"</f>
      </c>
      <c r="H942" s="11">
        <v>0</v>
      </c>
      <c r="I942" s="14">
        <v>4.09</v>
      </c>
      <c r="J942" s="7" t="s">
        <v>1018</v>
      </c>
      <c r="K942" s="5" t="s">
        <v>60</v>
      </c>
      <c r="L942" s="11">
        <v>710</v>
      </c>
      <c r="M942" s="11">
        <v>2000</v>
      </c>
      <c r="N942" s="11">
        <v>2000</v>
      </c>
      <c r="O942" s="15"/>
      <c r="P942" s="8">
        <v>41663</v>
      </c>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4" t="s">
        <v>2460</v>
      </c>
      <c r="AY942" s="5" t="s">
        <v>4355</v>
      </c>
      <c r="AZ942" s="5" t="s">
        <v>38</v>
      </c>
      <c r="BA942" s="12"/>
      <c r="BB942" s="12"/>
      <c r="BC942" s="12"/>
      <c r="BD942" s="11">
        <v>0</v>
      </c>
      <c r="BE942" s="11">
        <v>1</v>
      </c>
    </row>
    <row x14ac:dyDescent="0.25" r="943" customHeight="1" ht="15.75">
      <c r="A943" s="11">
        <v>18594486</v>
      </c>
      <c r="B943" s="4" t="s">
        <v>4356</v>
      </c>
      <c r="C943" s="5" t="s">
        <v>4357</v>
      </c>
      <c r="D943" s="5" t="s">
        <v>4358</v>
      </c>
      <c r="E943" s="12"/>
      <c r="F943" s="13">
        <f>"1620407086"</f>
      </c>
      <c r="G943" s="13">
        <f>"9781620407080"</f>
      </c>
      <c r="H943" s="11">
        <v>0</v>
      </c>
      <c r="I943" s="14">
        <v>3.95</v>
      </c>
      <c r="J943" s="7" t="s">
        <v>881</v>
      </c>
      <c r="K943" s="5" t="s">
        <v>60</v>
      </c>
      <c r="L943" s="11">
        <v>272</v>
      </c>
      <c r="M943" s="11">
        <v>2014</v>
      </c>
      <c r="N943" s="11">
        <v>1993</v>
      </c>
      <c r="O943" s="15"/>
      <c r="P943" s="8">
        <v>42041</v>
      </c>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4" t="s">
        <v>2460</v>
      </c>
      <c r="AY943" s="5" t="s">
        <v>4359</v>
      </c>
      <c r="AZ943" s="5" t="s">
        <v>38</v>
      </c>
      <c r="BA943" s="12"/>
      <c r="BB943" s="12"/>
      <c r="BC943" s="12"/>
      <c r="BD943" s="11">
        <v>0</v>
      </c>
      <c r="BE943" s="11">
        <v>1</v>
      </c>
    </row>
    <row x14ac:dyDescent="0.25" r="944" customHeight="1" ht="15.75">
      <c r="A944" s="11">
        <v>17288631</v>
      </c>
      <c r="B944" s="4" t="s">
        <v>4360</v>
      </c>
      <c r="C944" s="5" t="s">
        <v>995</v>
      </c>
      <c r="D944" s="5" t="s">
        <v>996</v>
      </c>
      <c r="E944" s="12"/>
      <c r="F944" s="13">
        <f>"0345806565"</f>
      </c>
      <c r="G944" s="13">
        <f>"9780345806567"</f>
      </c>
      <c r="H944" s="11">
        <v>5</v>
      </c>
      <c r="I944" s="14">
        <v>4.31</v>
      </c>
      <c r="J944" s="7" t="s">
        <v>294</v>
      </c>
      <c r="K944" s="5" t="s">
        <v>60</v>
      </c>
      <c r="L944" s="11">
        <v>169</v>
      </c>
      <c r="M944" s="11">
        <v>2013</v>
      </c>
      <c r="N944" s="11">
        <v>1956</v>
      </c>
      <c r="O944" s="8">
        <v>42115</v>
      </c>
      <c r="P944" s="8">
        <v>42105</v>
      </c>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4" t="s">
        <v>3991</v>
      </c>
      <c r="AY944" s="5" t="s">
        <v>4361</v>
      </c>
      <c r="AZ944" s="5" t="s">
        <v>158</v>
      </c>
      <c r="BA944" s="12"/>
      <c r="BB944" s="12"/>
      <c r="BC944" s="12"/>
      <c r="BD944" s="11">
        <v>1</v>
      </c>
      <c r="BE944" s="11">
        <v>1</v>
      </c>
    </row>
    <row x14ac:dyDescent="0.25" r="945" customHeight="1" ht="15.75">
      <c r="A945" s="11">
        <v>9995541</v>
      </c>
      <c r="B945" s="4" t="s">
        <v>4362</v>
      </c>
      <c r="C945" s="5" t="s">
        <v>4363</v>
      </c>
      <c r="D945" s="5" t="s">
        <v>4364</v>
      </c>
      <c r="E945" s="12"/>
      <c r="F945" s="13">
        <f>"1451626657"</f>
      </c>
      <c r="G945" s="13">
        <f>"9781451626650"</f>
      </c>
      <c r="H945" s="11">
        <v>0</v>
      </c>
      <c r="I945" s="14">
        <v>3.99</v>
      </c>
      <c r="J945" s="7" t="s">
        <v>376</v>
      </c>
      <c r="K945" s="5" t="s">
        <v>60</v>
      </c>
      <c r="L945" s="11">
        <v>524</v>
      </c>
      <c r="M945" s="11">
        <v>2011</v>
      </c>
      <c r="N945" s="11">
        <v>1961</v>
      </c>
      <c r="O945" s="15"/>
      <c r="P945" s="8">
        <v>42134</v>
      </c>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4" t="s">
        <v>2460</v>
      </c>
      <c r="AY945" s="5" t="s">
        <v>4365</v>
      </c>
      <c r="AZ945" s="5" t="s">
        <v>38</v>
      </c>
      <c r="BA945" s="12"/>
      <c r="BB945" s="12"/>
      <c r="BC945" s="12"/>
      <c r="BD945" s="11">
        <v>0</v>
      </c>
      <c r="BE945" s="11">
        <v>1</v>
      </c>
    </row>
    <row x14ac:dyDescent="0.25" r="946" customHeight="1" ht="15.75">
      <c r="A946" s="11">
        <v>415</v>
      </c>
      <c r="B946" s="4" t="s">
        <v>4366</v>
      </c>
      <c r="C946" s="5" t="s">
        <v>4367</v>
      </c>
      <c r="D946" s="5" t="s">
        <v>4368</v>
      </c>
      <c r="E946" s="12"/>
      <c r="F946" s="13">
        <f>"0143039946"</f>
      </c>
      <c r="G946" s="13">
        <f>"9780143039945"</f>
      </c>
      <c r="H946" s="11">
        <v>0</v>
      </c>
      <c r="I946" s="11">
        <v>4</v>
      </c>
      <c r="J946" s="7" t="s">
        <v>491</v>
      </c>
      <c r="K946" s="5" t="s">
        <v>60</v>
      </c>
      <c r="L946" s="11">
        <v>776</v>
      </c>
      <c r="M946" s="11">
        <v>2006</v>
      </c>
      <c r="N946" s="11">
        <v>1973</v>
      </c>
      <c r="O946" s="15"/>
      <c r="P946" s="8">
        <v>41529</v>
      </c>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4" t="s">
        <v>2460</v>
      </c>
      <c r="AY946" s="5" t="s">
        <v>4369</v>
      </c>
      <c r="AZ946" s="5" t="s">
        <v>38</v>
      </c>
      <c r="BA946" s="12"/>
      <c r="BB946" s="12"/>
      <c r="BC946" s="12"/>
      <c r="BD946" s="11">
        <v>0</v>
      </c>
      <c r="BE946" s="11">
        <v>1</v>
      </c>
    </row>
    <row x14ac:dyDescent="0.25" r="947" customHeight="1" ht="17.25">
      <c r="A947" s="11">
        <v>51208</v>
      </c>
      <c r="B947" s="4" t="s">
        <v>4370</v>
      </c>
      <c r="C947" s="5" t="s">
        <v>4371</v>
      </c>
      <c r="D947" s="5" t="s">
        <v>4372</v>
      </c>
      <c r="E947" s="12"/>
      <c r="F947" s="13">
        <f>"0451163168"</f>
      </c>
      <c r="G947" s="13">
        <f>"9780451163165"</f>
      </c>
      <c r="H947" s="11">
        <v>4</v>
      </c>
      <c r="I947" s="14">
        <v>3.98</v>
      </c>
      <c r="J947" s="7" t="s">
        <v>4336</v>
      </c>
      <c r="K947" s="5" t="s">
        <v>346</v>
      </c>
      <c r="L947" s="11">
        <v>142</v>
      </c>
      <c r="M947" s="11">
        <v>1974</v>
      </c>
      <c r="N947" s="11">
        <v>1947</v>
      </c>
      <c r="O947" s="8">
        <v>41407</v>
      </c>
      <c r="P947" s="8">
        <v>41396</v>
      </c>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4" t="s">
        <v>4003</v>
      </c>
      <c r="AY947" s="5" t="s">
        <v>4373</v>
      </c>
      <c r="AZ947" s="5" t="s">
        <v>158</v>
      </c>
      <c r="BA947" s="12"/>
      <c r="BB947" s="12"/>
      <c r="BC947" s="12"/>
      <c r="BD947" s="11">
        <v>1</v>
      </c>
      <c r="BE947" s="11">
        <v>1</v>
      </c>
    </row>
    <row x14ac:dyDescent="0.25" r="948" customHeight="1" ht="17.25">
      <c r="A948" s="11">
        <v>9362</v>
      </c>
      <c r="B948" s="4" t="s">
        <v>4374</v>
      </c>
      <c r="C948" s="5" t="s">
        <v>687</v>
      </c>
      <c r="D948" s="5" t="s">
        <v>688</v>
      </c>
      <c r="E948" s="5" t="s">
        <v>4375</v>
      </c>
      <c r="F948" s="13">
        <f>"0452286360"</f>
      </c>
      <c r="G948" s="13">
        <f>"9780452286368"</f>
      </c>
      <c r="H948" s="11">
        <v>0</v>
      </c>
      <c r="I948" s="14">
        <v>3.69</v>
      </c>
      <c r="J948" s="7" t="s">
        <v>4376</v>
      </c>
      <c r="K948" s="5" t="s">
        <v>60</v>
      </c>
      <c r="L948" s="11">
        <v>1192</v>
      </c>
      <c r="M948" s="11">
        <v>2004</v>
      </c>
      <c r="N948" s="11">
        <v>1957</v>
      </c>
      <c r="O948" s="8">
        <v>41552</v>
      </c>
      <c r="P948" s="8">
        <v>41517</v>
      </c>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11">
        <v>0</v>
      </c>
      <c r="AY948" s="5" t="s">
        <v>4377</v>
      </c>
      <c r="AZ948" s="5" t="s">
        <v>158</v>
      </c>
      <c r="BA948" s="12"/>
      <c r="BB948" s="12"/>
      <c r="BC948" s="12"/>
      <c r="BD948" s="11">
        <v>1</v>
      </c>
      <c r="BE948" s="11">
        <v>1</v>
      </c>
    </row>
    <row x14ac:dyDescent="0.25" r="949" customHeight="1" ht="15.75">
      <c r="A949" s="11">
        <v>563798</v>
      </c>
      <c r="B949" s="4" t="s">
        <v>4378</v>
      </c>
      <c r="C949" s="5" t="s">
        <v>4379</v>
      </c>
      <c r="D949" s="5" t="s">
        <v>4380</v>
      </c>
      <c r="E949" s="12"/>
      <c r="F949" s="13">
        <f>"0802132952"</f>
      </c>
      <c r="G949" s="13">
        <f>"9780802132956"</f>
      </c>
      <c r="H949" s="11">
        <v>0</v>
      </c>
      <c r="I949" s="14">
        <v>3.46</v>
      </c>
      <c r="J949" s="7" t="s">
        <v>4381</v>
      </c>
      <c r="K949" s="5" t="s">
        <v>60</v>
      </c>
      <c r="L949" s="11">
        <v>255</v>
      </c>
      <c r="M949" s="11">
        <v>1992</v>
      </c>
      <c r="N949" s="11">
        <v>1959</v>
      </c>
      <c r="O949" s="15"/>
      <c r="P949" s="8">
        <v>40986</v>
      </c>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4" t="s">
        <v>3601</v>
      </c>
      <c r="AY949" s="5" t="s">
        <v>4382</v>
      </c>
      <c r="AZ949" s="5" t="s">
        <v>158</v>
      </c>
      <c r="BA949" s="12"/>
      <c r="BB949" s="12"/>
      <c r="BC949" s="12"/>
      <c r="BD949" s="11">
        <v>1</v>
      </c>
      <c r="BE949" s="11">
        <v>1</v>
      </c>
    </row>
    <row x14ac:dyDescent="0.25" r="950" customHeight="1" ht="15.75">
      <c r="A950" s="11">
        <v>248704</v>
      </c>
      <c r="B950" s="4" t="s">
        <v>4383</v>
      </c>
      <c r="C950" s="5" t="s">
        <v>4384</v>
      </c>
      <c r="D950" s="5" t="s">
        <v>4385</v>
      </c>
      <c r="E950" s="12"/>
      <c r="F950" s="13">
        <f>"078685197X"</f>
      </c>
      <c r="G950" s="13">
        <f>"9780786851973"</f>
      </c>
      <c r="H950" s="11">
        <v>3</v>
      </c>
      <c r="I950" s="14">
        <v>4.09</v>
      </c>
      <c r="J950" s="7" t="s">
        <v>4386</v>
      </c>
      <c r="K950" s="5" t="s">
        <v>60</v>
      </c>
      <c r="L950" s="11">
        <v>444</v>
      </c>
      <c r="M950" s="11">
        <v>2007</v>
      </c>
      <c r="N950" s="11">
        <v>2006</v>
      </c>
      <c r="O950" s="8">
        <v>41026</v>
      </c>
      <c r="P950" s="9">
        <v>40894</v>
      </c>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4" t="s">
        <v>3601</v>
      </c>
      <c r="AY950" s="5" t="s">
        <v>4387</v>
      </c>
      <c r="AZ950" s="5" t="s">
        <v>158</v>
      </c>
      <c r="BA950" s="12"/>
      <c r="BB950" s="12"/>
      <c r="BC950" s="12"/>
      <c r="BD950" s="11">
        <v>1</v>
      </c>
      <c r="BE950" s="11">
        <v>1</v>
      </c>
    </row>
    <row x14ac:dyDescent="0.25" r="951" customHeight="1" ht="17.25">
      <c r="A951" s="11">
        <v>251802</v>
      </c>
      <c r="B951" s="4" t="s">
        <v>4388</v>
      </c>
      <c r="C951" s="5" t="s">
        <v>4389</v>
      </c>
      <c r="D951" s="5" t="s">
        <v>4390</v>
      </c>
      <c r="E951" s="5" t="s">
        <v>4391</v>
      </c>
      <c r="F951" s="13">
        <f>"0435072374"</f>
      </c>
      <c r="G951" s="13">
        <f>"9780435072377"</f>
      </c>
      <c r="H951" s="11">
        <v>0</v>
      </c>
      <c r="I951" s="14">
        <v>4.16</v>
      </c>
      <c r="J951" s="7" t="s">
        <v>4392</v>
      </c>
      <c r="K951" s="5" t="s">
        <v>60</v>
      </c>
      <c r="L951" s="11">
        <v>255</v>
      </c>
      <c r="M951" s="11">
        <v>1997</v>
      </c>
      <c r="N951" s="11">
        <v>1997</v>
      </c>
      <c r="O951" s="15"/>
      <c r="P951" s="8">
        <v>45164</v>
      </c>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4" t="s">
        <v>38</v>
      </c>
      <c r="AY951" s="5" t="s">
        <v>4393</v>
      </c>
      <c r="AZ951" s="5" t="s">
        <v>38</v>
      </c>
      <c r="BA951" s="12"/>
      <c r="BB951" s="12"/>
      <c r="BC951" s="12"/>
      <c r="BD951" s="11">
        <v>0</v>
      </c>
      <c r="BE951" s="11">
        <v>0</v>
      </c>
    </row>
    <row x14ac:dyDescent="0.25" r="952" customHeight="1" ht="17.25">
      <c r="A952" s="11">
        <v>91686</v>
      </c>
      <c r="B952" s="4" t="s">
        <v>4394</v>
      </c>
      <c r="C952" s="5" t="s">
        <v>4395</v>
      </c>
      <c r="D952" s="5" t="s">
        <v>4396</v>
      </c>
      <c r="E952" s="5" t="s">
        <v>143</v>
      </c>
      <c r="F952" s="13">
        <f>"1590170067"</f>
      </c>
      <c r="G952" s="13">
        <f>"9781590170069"</f>
      </c>
      <c r="H952" s="11">
        <v>0</v>
      </c>
      <c r="I952" s="14">
        <v>3.88</v>
      </c>
      <c r="J952" s="7" t="s">
        <v>108</v>
      </c>
      <c r="K952" s="5" t="s">
        <v>60</v>
      </c>
      <c r="L952" s="11">
        <v>319</v>
      </c>
      <c r="M952" s="11">
        <v>2002</v>
      </c>
      <c r="N952" s="11">
        <v>1984</v>
      </c>
      <c r="O952" s="15"/>
      <c r="P952" s="8">
        <v>45164</v>
      </c>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4" t="s">
        <v>38</v>
      </c>
      <c r="AY952" s="5" t="s">
        <v>4397</v>
      </c>
      <c r="AZ952" s="5" t="s">
        <v>38</v>
      </c>
      <c r="BA952" s="12"/>
      <c r="BB952" s="12"/>
      <c r="BC952" s="12"/>
      <c r="BD952" s="11">
        <v>0</v>
      </c>
      <c r="BE952" s="11">
        <v>0</v>
      </c>
    </row>
    <row x14ac:dyDescent="0.25" r="953" customHeight="1" ht="17.25">
      <c r="A953" s="11">
        <v>25937937</v>
      </c>
      <c r="B953" s="4" t="s">
        <v>4398</v>
      </c>
      <c r="C953" s="5" t="s">
        <v>4399</v>
      </c>
      <c r="D953" s="5" t="s">
        <v>4400</v>
      </c>
      <c r="E953" s="5" t="s">
        <v>143</v>
      </c>
      <c r="F953" s="13">
        <f>"1101902752"</f>
      </c>
      <c r="G953" s="13">
        <f>"9781101902752"</f>
      </c>
      <c r="H953" s="11">
        <v>0</v>
      </c>
      <c r="I953" s="14">
        <v>4.13</v>
      </c>
      <c r="J953" s="7" t="s">
        <v>3196</v>
      </c>
      <c r="K953" s="5" t="s">
        <v>72</v>
      </c>
      <c r="L953" s="11">
        <v>305</v>
      </c>
      <c r="M953" s="11">
        <v>2016</v>
      </c>
      <c r="N953" s="11">
        <v>2016</v>
      </c>
      <c r="O953" s="15"/>
      <c r="P953" s="8">
        <v>45164</v>
      </c>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4" t="s">
        <v>38</v>
      </c>
      <c r="AY953" s="5" t="s">
        <v>4401</v>
      </c>
      <c r="AZ953" s="5" t="s">
        <v>38</v>
      </c>
      <c r="BA953" s="12"/>
      <c r="BB953" s="12"/>
      <c r="BC953" s="12"/>
      <c r="BD953" s="11">
        <v>0</v>
      </c>
      <c r="BE953" s="11">
        <v>0</v>
      </c>
    </row>
    <row x14ac:dyDescent="0.25" r="954" customHeight="1" ht="17.25">
      <c r="A954" s="11">
        <v>22363242</v>
      </c>
      <c r="B954" s="4" t="s">
        <v>4402</v>
      </c>
      <c r="C954" s="5" t="s">
        <v>143</v>
      </c>
      <c r="D954" s="5" t="s">
        <v>2008</v>
      </c>
      <c r="E954" s="12"/>
      <c r="F954" s="13">
        <f>""</f>
      </c>
      <c r="G954" s="13">
        <f>""</f>
      </c>
      <c r="H954" s="11">
        <v>0</v>
      </c>
      <c r="I954" s="14">
        <v>3.89</v>
      </c>
      <c r="J954" s="7" t="s">
        <v>132</v>
      </c>
      <c r="K954" s="5" t="s">
        <v>90</v>
      </c>
      <c r="L954" s="11">
        <v>30</v>
      </c>
      <c r="M954" s="11">
        <v>2014</v>
      </c>
      <c r="N954" s="11">
        <v>2014</v>
      </c>
      <c r="O954" s="15"/>
      <c r="P954" s="8">
        <v>45164</v>
      </c>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4" t="s">
        <v>38</v>
      </c>
      <c r="AY954" s="5" t="s">
        <v>4403</v>
      </c>
      <c r="AZ954" s="5" t="s">
        <v>38</v>
      </c>
      <c r="BA954" s="12"/>
      <c r="BB954" s="12"/>
      <c r="BC954" s="12"/>
      <c r="BD954" s="11">
        <v>0</v>
      </c>
      <c r="BE954" s="11">
        <v>0</v>
      </c>
    </row>
    <row x14ac:dyDescent="0.25" r="955" customHeight="1" ht="17.25">
      <c r="A955" s="11">
        <v>17737025</v>
      </c>
      <c r="B955" s="4" t="s">
        <v>4404</v>
      </c>
      <c r="C955" s="5" t="s">
        <v>4405</v>
      </c>
      <c r="D955" s="5" t="s">
        <v>4406</v>
      </c>
      <c r="E955" s="12"/>
      <c r="F955" s="13">
        <f>"0307269876"</f>
      </c>
      <c r="G955" s="13">
        <f>"9780307269874"</f>
      </c>
      <c r="H955" s="11">
        <v>0</v>
      </c>
      <c r="I955" s="14">
        <v>3.85</v>
      </c>
      <c r="J955" s="7" t="s">
        <v>665</v>
      </c>
      <c r="K955" s="5" t="s">
        <v>72</v>
      </c>
      <c r="L955" s="11">
        <v>416</v>
      </c>
      <c r="M955" s="11">
        <v>2014</v>
      </c>
      <c r="N955" s="11">
        <v>2014</v>
      </c>
      <c r="O955" s="15"/>
      <c r="P955" s="8">
        <v>45164</v>
      </c>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4" t="s">
        <v>38</v>
      </c>
      <c r="AY955" s="5" t="s">
        <v>4407</v>
      </c>
      <c r="AZ955" s="5" t="s">
        <v>38</v>
      </c>
      <c r="BA955" s="12"/>
      <c r="BB955" s="12"/>
      <c r="BC955" s="12"/>
      <c r="BD955" s="11">
        <v>0</v>
      </c>
      <c r="BE955" s="11">
        <v>0</v>
      </c>
    </row>
    <row x14ac:dyDescent="0.25" r="956" customHeight="1" ht="17.25">
      <c r="A956" s="11">
        <v>79816</v>
      </c>
      <c r="B956" s="4" t="s">
        <v>4408</v>
      </c>
      <c r="C956" s="5" t="s">
        <v>3143</v>
      </c>
      <c r="D956" s="5" t="s">
        <v>3144</v>
      </c>
      <c r="E956" s="12"/>
      <c r="F956" s="13">
        <f>"0195179862"</f>
      </c>
      <c r="G956" s="13">
        <f>"9780195179866"</f>
      </c>
      <c r="H956" s="11">
        <v>0</v>
      </c>
      <c r="I956" s="14">
        <v>3.67</v>
      </c>
      <c r="J956" s="7" t="s">
        <v>245</v>
      </c>
      <c r="K956" s="5" t="s">
        <v>60</v>
      </c>
      <c r="L956" s="11">
        <v>416</v>
      </c>
      <c r="M956" s="11">
        <v>2005</v>
      </c>
      <c r="N956" s="11">
        <v>2003</v>
      </c>
      <c r="O956" s="15"/>
      <c r="P956" s="8">
        <v>45164</v>
      </c>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4" t="s">
        <v>38</v>
      </c>
      <c r="AY956" s="5" t="s">
        <v>4409</v>
      </c>
      <c r="AZ956" s="5" t="s">
        <v>38</v>
      </c>
      <c r="BA956" s="12"/>
      <c r="BB956" s="12"/>
      <c r="BC956" s="12"/>
      <c r="BD956" s="11">
        <v>0</v>
      </c>
      <c r="BE956" s="11">
        <v>0</v>
      </c>
    </row>
    <row x14ac:dyDescent="0.25" r="957" customHeight="1" ht="17.25">
      <c r="A957" s="11">
        <v>31894</v>
      </c>
      <c r="B957" s="4" t="s">
        <v>4410</v>
      </c>
      <c r="C957" s="5" t="s">
        <v>4411</v>
      </c>
      <c r="D957" s="5" t="s">
        <v>4412</v>
      </c>
      <c r="E957" s="12"/>
      <c r="F957" s="13">
        <f>"0198752725"</f>
      </c>
      <c r="G957" s="13">
        <f>"9780198752721"</f>
      </c>
      <c r="H957" s="11">
        <v>0</v>
      </c>
      <c r="I957" s="14">
        <v>3.94</v>
      </c>
      <c r="J957" s="7" t="s">
        <v>1215</v>
      </c>
      <c r="K957" s="5" t="s">
        <v>60</v>
      </c>
      <c r="L957" s="11">
        <v>341</v>
      </c>
      <c r="M957" s="11">
        <v>2006</v>
      </c>
      <c r="N957" s="11">
        <v>2004</v>
      </c>
      <c r="O957" s="15"/>
      <c r="P957" s="8">
        <v>45163</v>
      </c>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4" t="s">
        <v>38</v>
      </c>
      <c r="AY957" s="5" t="s">
        <v>4413</v>
      </c>
      <c r="AZ957" s="5" t="s">
        <v>38</v>
      </c>
      <c r="BA957" s="12"/>
      <c r="BB957" s="12"/>
      <c r="BC957" s="12"/>
      <c r="BD957" s="11">
        <v>0</v>
      </c>
      <c r="BE957" s="11">
        <v>0</v>
      </c>
    </row>
    <row x14ac:dyDescent="0.25" r="958" customHeight="1" ht="17.25">
      <c r="A958" s="11">
        <v>166547</v>
      </c>
      <c r="B958" s="4" t="s">
        <v>4414</v>
      </c>
      <c r="C958" s="5" t="s">
        <v>4411</v>
      </c>
      <c r="D958" s="5" t="s">
        <v>4412</v>
      </c>
      <c r="E958" s="12"/>
      <c r="F958" s="13">
        <f>"0631201327"</f>
      </c>
      <c r="G958" s="13">
        <f>"9780631201328"</f>
      </c>
      <c r="H958" s="11">
        <v>0</v>
      </c>
      <c r="I958" s="14">
        <v>3.71</v>
      </c>
      <c r="J958" s="7" t="s">
        <v>1344</v>
      </c>
      <c r="K958" s="5" t="s">
        <v>60</v>
      </c>
      <c r="L958" s="11">
        <v>365</v>
      </c>
      <c r="M958" s="11">
        <v>1998</v>
      </c>
      <c r="N958" s="11">
        <v>1998</v>
      </c>
      <c r="O958" s="15"/>
      <c r="P958" s="8">
        <v>45163</v>
      </c>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4" t="s">
        <v>38</v>
      </c>
      <c r="AY958" s="5" t="s">
        <v>4415</v>
      </c>
      <c r="AZ958" s="5" t="s">
        <v>38</v>
      </c>
      <c r="BA958" s="12"/>
      <c r="BB958" s="12"/>
      <c r="BC958" s="12"/>
      <c r="BD958" s="11">
        <v>0</v>
      </c>
      <c r="BE958" s="11">
        <v>0</v>
      </c>
    </row>
    <row x14ac:dyDescent="0.25" r="959" customHeight="1" ht="17.25">
      <c r="A959" s="11">
        <v>162124</v>
      </c>
      <c r="B959" s="4" t="s">
        <v>4416</v>
      </c>
      <c r="C959" s="5" t="s">
        <v>3097</v>
      </c>
      <c r="D959" s="5" t="s">
        <v>3098</v>
      </c>
      <c r="E959" s="12"/>
      <c r="F959" s="13">
        <f>"0192802674"</f>
      </c>
      <c r="G959" s="13">
        <f>"9780192802675"</f>
      </c>
      <c r="H959" s="11">
        <v>0</v>
      </c>
      <c r="I959" s="14">
        <v>3.5</v>
      </c>
      <c r="J959" s="7" t="s">
        <v>245</v>
      </c>
      <c r="K959" s="5" t="s">
        <v>60</v>
      </c>
      <c r="L959" s="11">
        <v>256</v>
      </c>
      <c r="M959" s="11">
        <v>2003</v>
      </c>
      <c r="N959" s="11">
        <v>2002</v>
      </c>
      <c r="O959" s="15"/>
      <c r="P959" s="8">
        <v>45163</v>
      </c>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4" t="s">
        <v>38</v>
      </c>
      <c r="AY959" s="5" t="s">
        <v>4417</v>
      </c>
      <c r="AZ959" s="5" t="s">
        <v>38</v>
      </c>
      <c r="BA959" s="12"/>
      <c r="BB959" s="12"/>
      <c r="BC959" s="12"/>
      <c r="BD959" s="11">
        <v>0</v>
      </c>
      <c r="BE959" s="11">
        <v>0</v>
      </c>
    </row>
    <row x14ac:dyDescent="0.25" r="960" customHeight="1" ht="17.25">
      <c r="A960" s="11">
        <v>36992441</v>
      </c>
      <c r="B960" s="4" t="s">
        <v>4418</v>
      </c>
      <c r="C960" s="5" t="s">
        <v>4419</v>
      </c>
      <c r="D960" s="5" t="s">
        <v>4420</v>
      </c>
      <c r="E960" s="5" t="s">
        <v>4421</v>
      </c>
      <c r="F960" s="13">
        <f>""</f>
      </c>
      <c r="G960" s="13">
        <f>""</f>
      </c>
      <c r="H960" s="11">
        <v>0</v>
      </c>
      <c r="I960" s="14">
        <v>4.12</v>
      </c>
      <c r="J960" s="7" t="s">
        <v>4422</v>
      </c>
      <c r="K960" s="5" t="s">
        <v>72</v>
      </c>
      <c r="L960" s="11">
        <v>288</v>
      </c>
      <c r="M960" s="11">
        <v>2018</v>
      </c>
      <c r="N960" s="11">
        <v>2013</v>
      </c>
      <c r="O960" s="15"/>
      <c r="P960" s="8">
        <v>45163</v>
      </c>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4" t="s">
        <v>38</v>
      </c>
      <c r="AY960" s="5" t="s">
        <v>4423</v>
      </c>
      <c r="AZ960" s="5" t="s">
        <v>38</v>
      </c>
      <c r="BA960" s="12"/>
      <c r="BB960" s="12"/>
      <c r="BC960" s="12"/>
      <c r="BD960" s="11">
        <v>0</v>
      </c>
      <c r="BE960" s="11">
        <v>0</v>
      </c>
    </row>
    <row x14ac:dyDescent="0.25" r="961" customHeight="1" ht="17.25">
      <c r="A961" s="11">
        <v>9791</v>
      </c>
      <c r="B961" s="4" t="s">
        <v>4424</v>
      </c>
      <c r="C961" s="5" t="s">
        <v>4425</v>
      </c>
      <c r="D961" s="5" t="s">
        <v>4426</v>
      </c>
      <c r="E961" s="12"/>
      <c r="F961" s="13">
        <f>"0307279464"</f>
      </c>
      <c r="G961" s="13">
        <f>"9780307279460"</f>
      </c>
      <c r="H961" s="11">
        <v>0</v>
      </c>
      <c r="I961" s="14">
        <v>4.06</v>
      </c>
      <c r="J961" s="7" t="s">
        <v>2044</v>
      </c>
      <c r="K961" s="5" t="s">
        <v>346</v>
      </c>
      <c r="L961" s="11">
        <v>397</v>
      </c>
      <c r="M961" s="11">
        <v>2006</v>
      </c>
      <c r="N961" s="11">
        <v>1998</v>
      </c>
      <c r="O961" s="15"/>
      <c r="P961" s="8">
        <v>45163</v>
      </c>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4" t="s">
        <v>38</v>
      </c>
      <c r="AY961" s="5" t="s">
        <v>4427</v>
      </c>
      <c r="AZ961" s="5" t="s">
        <v>38</v>
      </c>
      <c r="BA961" s="12"/>
      <c r="BB961" s="12"/>
      <c r="BC961" s="12"/>
      <c r="BD961" s="11">
        <v>0</v>
      </c>
      <c r="BE961" s="11">
        <v>0</v>
      </c>
    </row>
    <row x14ac:dyDescent="0.25" r="962" customHeight="1" ht="17.25">
      <c r="A962" s="11">
        <v>84737</v>
      </c>
      <c r="B962" s="4" t="s">
        <v>4428</v>
      </c>
      <c r="C962" s="5" t="s">
        <v>4429</v>
      </c>
      <c r="D962" s="5" t="s">
        <v>4430</v>
      </c>
      <c r="E962" s="5" t="s">
        <v>4431</v>
      </c>
      <c r="F962" s="13">
        <f>"0375727760"</f>
      </c>
      <c r="G962" s="13">
        <f>"9780375727764"</f>
      </c>
      <c r="H962" s="11">
        <v>0</v>
      </c>
      <c r="I962" s="14">
        <v>3.78</v>
      </c>
      <c r="J962" s="7" t="s">
        <v>114</v>
      </c>
      <c r="K962" s="5" t="s">
        <v>60</v>
      </c>
      <c r="L962" s="11">
        <v>437</v>
      </c>
      <c r="M962" s="11">
        <v>2003</v>
      </c>
      <c r="N962" s="11">
        <v>1923</v>
      </c>
      <c r="O962" s="15"/>
      <c r="P962" s="8">
        <v>45163</v>
      </c>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4" t="s">
        <v>38</v>
      </c>
      <c r="AY962" s="5" t="s">
        <v>4432</v>
      </c>
      <c r="AZ962" s="5" t="s">
        <v>38</v>
      </c>
      <c r="BA962" s="12"/>
      <c r="BB962" s="12"/>
      <c r="BC962" s="12"/>
      <c r="BD962" s="11">
        <v>0</v>
      </c>
      <c r="BE962" s="11">
        <v>0</v>
      </c>
    </row>
    <row x14ac:dyDescent="0.25" r="963" customHeight="1" ht="17.25">
      <c r="A963" s="11">
        <v>1380489</v>
      </c>
      <c r="B963" s="4" t="s">
        <v>4433</v>
      </c>
      <c r="C963" s="5" t="s">
        <v>4434</v>
      </c>
      <c r="D963" s="5" t="s">
        <v>4435</v>
      </c>
      <c r="E963" s="5" t="s">
        <v>4436</v>
      </c>
      <c r="F963" s="13">
        <f>"0895267136"</f>
      </c>
      <c r="G963" s="13">
        <f>"9780895267139"</f>
      </c>
      <c r="H963" s="11">
        <v>0</v>
      </c>
      <c r="I963" s="14">
        <v>3.69</v>
      </c>
      <c r="J963" s="7" t="s">
        <v>4437</v>
      </c>
      <c r="K963" s="5" t="s">
        <v>60</v>
      </c>
      <c r="L963" s="11">
        <v>71</v>
      </c>
      <c r="M963" s="11">
        <v>1996</v>
      </c>
      <c r="N963" s="11">
        <v>1486</v>
      </c>
      <c r="O963" s="15"/>
      <c r="P963" s="8">
        <v>45163</v>
      </c>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4" t="s">
        <v>38</v>
      </c>
      <c r="AY963" s="5" t="s">
        <v>4438</v>
      </c>
      <c r="AZ963" s="5" t="s">
        <v>38</v>
      </c>
      <c r="BA963" s="12"/>
      <c r="BB963" s="12"/>
      <c r="BC963" s="12"/>
      <c r="BD963" s="11">
        <v>0</v>
      </c>
      <c r="BE963" s="11">
        <v>0</v>
      </c>
    </row>
    <row x14ac:dyDescent="0.25" r="964" customHeight="1" ht="17.25">
      <c r="A964" s="11">
        <v>68039</v>
      </c>
      <c r="B964" s="4" t="s">
        <v>4439</v>
      </c>
      <c r="C964" s="5" t="s">
        <v>1612</v>
      </c>
      <c r="D964" s="5" t="s">
        <v>1613</v>
      </c>
      <c r="E964" s="12"/>
      <c r="F964" s="13">
        <f>"0802135293"</f>
      </c>
      <c r="G964" s="13">
        <f>"9780802135292"</f>
      </c>
      <c r="H964" s="11">
        <v>0</v>
      </c>
      <c r="I964" s="14">
        <v>4.12</v>
      </c>
      <c r="J964" s="7" t="s">
        <v>66</v>
      </c>
      <c r="K964" s="5" t="s">
        <v>60</v>
      </c>
      <c r="L964" s="11">
        <v>320</v>
      </c>
      <c r="M964" s="11">
        <v>1997</v>
      </c>
      <c r="N964" s="11">
        <v>1989</v>
      </c>
      <c r="O964" s="15"/>
      <c r="P964" s="8">
        <v>45163</v>
      </c>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4" t="s">
        <v>38</v>
      </c>
      <c r="AY964" s="5" t="s">
        <v>4440</v>
      </c>
      <c r="AZ964" s="5" t="s">
        <v>38</v>
      </c>
      <c r="BA964" s="12"/>
      <c r="BB964" s="12"/>
      <c r="BC964" s="12"/>
      <c r="BD964" s="11">
        <v>0</v>
      </c>
      <c r="BE964" s="11">
        <v>0</v>
      </c>
    </row>
    <row x14ac:dyDescent="0.25" r="965" customHeight="1" ht="17.25">
      <c r="A965" s="11">
        <v>58730652</v>
      </c>
      <c r="B965" s="4" t="s">
        <v>4441</v>
      </c>
      <c r="C965" s="5" t="s">
        <v>4442</v>
      </c>
      <c r="D965" s="5" t="s">
        <v>4443</v>
      </c>
      <c r="E965" s="5" t="s">
        <v>4444</v>
      </c>
      <c r="F965" s="13">
        <f>"1913097870"</f>
      </c>
      <c r="G965" s="13">
        <f>"9781913097875"</f>
      </c>
      <c r="H965" s="11">
        <v>0</v>
      </c>
      <c r="I965" s="14">
        <v>3.69</v>
      </c>
      <c r="J965" s="7" t="s">
        <v>169</v>
      </c>
      <c r="K965" s="5" t="s">
        <v>60</v>
      </c>
      <c r="L965" s="11">
        <v>118</v>
      </c>
      <c r="M965" s="11">
        <v>2022</v>
      </c>
      <c r="N965" s="11">
        <v>2021</v>
      </c>
      <c r="O965" s="15"/>
      <c r="P965" s="8">
        <v>45163</v>
      </c>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4" t="s">
        <v>38</v>
      </c>
      <c r="AY965" s="5" t="s">
        <v>4445</v>
      </c>
      <c r="AZ965" s="5" t="s">
        <v>38</v>
      </c>
      <c r="BA965" s="12"/>
      <c r="BB965" s="12"/>
      <c r="BC965" s="12"/>
      <c r="BD965" s="11">
        <v>0</v>
      </c>
      <c r="BE965" s="11">
        <v>0</v>
      </c>
    </row>
    <row x14ac:dyDescent="0.25" r="966" customHeight="1" ht="17.25">
      <c r="A966" s="11">
        <v>8524528</v>
      </c>
      <c r="B966" s="4" t="s">
        <v>4446</v>
      </c>
      <c r="C966" s="5" t="s">
        <v>4447</v>
      </c>
      <c r="D966" s="5" t="s">
        <v>4448</v>
      </c>
      <c r="E966" s="5" t="s">
        <v>4449</v>
      </c>
      <c r="F966" s="13">
        <f>"098242969X"</f>
      </c>
      <c r="G966" s="13">
        <f>"9780982429693"</f>
      </c>
      <c r="H966" s="11">
        <v>0</v>
      </c>
      <c r="I966" s="14">
        <v>4.05</v>
      </c>
      <c r="J966" s="7" t="s">
        <v>4450</v>
      </c>
      <c r="K966" s="5" t="s">
        <v>72</v>
      </c>
      <c r="L966" s="11">
        <v>240</v>
      </c>
      <c r="M966" s="11">
        <v>2010</v>
      </c>
      <c r="N966" s="11">
        <v>2011</v>
      </c>
      <c r="O966" s="15"/>
      <c r="P966" s="8">
        <v>45163</v>
      </c>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4" t="s">
        <v>38</v>
      </c>
      <c r="AY966" s="5" t="s">
        <v>4451</v>
      </c>
      <c r="AZ966" s="5" t="s">
        <v>38</v>
      </c>
      <c r="BA966" s="12"/>
      <c r="BB966" s="12"/>
      <c r="BC966" s="12"/>
      <c r="BD966" s="11">
        <v>0</v>
      </c>
      <c r="BE966" s="11">
        <v>0</v>
      </c>
    </row>
    <row x14ac:dyDescent="0.25" r="967" customHeight="1" ht="17.25">
      <c r="A967" s="11">
        <v>579462</v>
      </c>
      <c r="B967" s="4" t="s">
        <v>4452</v>
      </c>
      <c r="C967" s="5" t="s">
        <v>252</v>
      </c>
      <c r="D967" s="5" t="s">
        <v>253</v>
      </c>
      <c r="E967" s="5" t="s">
        <v>1699</v>
      </c>
      <c r="F967" s="13">
        <f>""</f>
      </c>
      <c r="G967" s="13">
        <f>""</f>
      </c>
      <c r="H967" s="11">
        <v>0</v>
      </c>
      <c r="I967" s="14">
        <v>4.18</v>
      </c>
      <c r="J967" s="7" t="s">
        <v>255</v>
      </c>
      <c r="K967" s="5" t="s">
        <v>60</v>
      </c>
      <c r="L967" s="11">
        <v>128</v>
      </c>
      <c r="M967" s="11">
        <v>2013</v>
      </c>
      <c r="N967" s="11">
        <v>1969</v>
      </c>
      <c r="O967" s="15"/>
      <c r="P967" s="8">
        <v>45163</v>
      </c>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4" t="s">
        <v>38</v>
      </c>
      <c r="AY967" s="5" t="s">
        <v>4453</v>
      </c>
      <c r="AZ967" s="5" t="s">
        <v>38</v>
      </c>
      <c r="BA967" s="12"/>
      <c r="BB967" s="12"/>
      <c r="BC967" s="12"/>
      <c r="BD967" s="11">
        <v>0</v>
      </c>
      <c r="BE967" s="11">
        <v>0</v>
      </c>
    </row>
    <row x14ac:dyDescent="0.25" r="968" customHeight="1" ht="17.25">
      <c r="A968" s="11">
        <v>335989</v>
      </c>
      <c r="B968" s="4" t="s">
        <v>4454</v>
      </c>
      <c r="C968" s="5" t="s">
        <v>4455</v>
      </c>
      <c r="D968" s="5" t="s">
        <v>4456</v>
      </c>
      <c r="E968" s="5" t="s">
        <v>4457</v>
      </c>
      <c r="F968" s="13">
        <f>"0262730065"</f>
      </c>
      <c r="G968" s="13">
        <f>"9780262730068"</f>
      </c>
      <c r="H968" s="11">
        <v>0</v>
      </c>
      <c r="I968" s="14">
        <v>3.94</v>
      </c>
      <c r="J968" s="7" t="s">
        <v>4458</v>
      </c>
      <c r="K968" s="5" t="s">
        <v>60</v>
      </c>
      <c r="L968" s="11">
        <v>290</v>
      </c>
      <c r="M968" s="11">
        <v>1964</v>
      </c>
      <c r="N968" s="11">
        <v>1956</v>
      </c>
      <c r="O968" s="15"/>
      <c r="P968" s="8">
        <v>45163</v>
      </c>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4" t="s">
        <v>38</v>
      </c>
      <c r="AY968" s="5" t="s">
        <v>4459</v>
      </c>
      <c r="AZ968" s="5" t="s">
        <v>38</v>
      </c>
      <c r="BA968" s="12"/>
      <c r="BB968" s="12"/>
      <c r="BC968" s="12"/>
      <c r="BD968" s="11">
        <v>0</v>
      </c>
      <c r="BE968" s="11">
        <v>0</v>
      </c>
    </row>
    <row x14ac:dyDescent="0.25" r="969" customHeight="1" ht="17.25">
      <c r="A969" s="11">
        <v>64582</v>
      </c>
      <c r="B969" s="4" t="s">
        <v>4460</v>
      </c>
      <c r="C969" s="5" t="s">
        <v>4461</v>
      </c>
      <c r="D969" s="5" t="s">
        <v>4462</v>
      </c>
      <c r="E969" s="12"/>
      <c r="F969" s="13">
        <f>"0140092501"</f>
      </c>
      <c r="G969" s="13">
        <f>"9780140092509"</f>
      </c>
      <c r="H969" s="11">
        <v>0</v>
      </c>
      <c r="I969" s="14">
        <v>4.03</v>
      </c>
      <c r="J969" s="7" t="s">
        <v>615</v>
      </c>
      <c r="K969" s="5" t="s">
        <v>60</v>
      </c>
      <c r="L969" s="11">
        <v>352</v>
      </c>
      <c r="M969" s="11">
        <v>1988</v>
      </c>
      <c r="N969" s="11">
        <v>1987</v>
      </c>
      <c r="O969" s="15"/>
      <c r="P969" s="8">
        <v>45163</v>
      </c>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4" t="s">
        <v>38</v>
      </c>
      <c r="AY969" s="5" t="s">
        <v>4463</v>
      </c>
      <c r="AZ969" s="5" t="s">
        <v>38</v>
      </c>
      <c r="BA969" s="12"/>
      <c r="BB969" s="12"/>
      <c r="BC969" s="12"/>
      <c r="BD969" s="11">
        <v>0</v>
      </c>
      <c r="BE969" s="11">
        <v>0</v>
      </c>
    </row>
    <row x14ac:dyDescent="0.25" r="970" customHeight="1" ht="15.75">
      <c r="A970" s="11">
        <v>7144</v>
      </c>
      <c r="B970" s="4" t="s">
        <v>4464</v>
      </c>
      <c r="C970" s="5" t="s">
        <v>4465</v>
      </c>
      <c r="D970" s="5" t="s">
        <v>4466</v>
      </c>
      <c r="E970" s="5" t="s">
        <v>4467</v>
      </c>
      <c r="F970" s="13">
        <f>"0143058142"</f>
      </c>
      <c r="G970" s="13">
        <f>"9780143058144"</f>
      </c>
      <c r="H970" s="11">
        <v>0</v>
      </c>
      <c r="I970" s="14">
        <v>4.26</v>
      </c>
      <c r="J970" s="7" t="s">
        <v>182</v>
      </c>
      <c r="K970" s="5" t="s">
        <v>60</v>
      </c>
      <c r="L970" s="11">
        <v>671</v>
      </c>
      <c r="M970" s="11">
        <v>2002</v>
      </c>
      <c r="N970" s="11">
        <v>1866</v>
      </c>
      <c r="O970" s="15"/>
      <c r="P970" s="8">
        <v>44814</v>
      </c>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4" t="s">
        <v>419</v>
      </c>
      <c r="AY970" s="5" t="s">
        <v>4468</v>
      </c>
      <c r="AZ970" s="5" t="s">
        <v>38</v>
      </c>
      <c r="BA970" s="12"/>
      <c r="BB970" s="12"/>
      <c r="BC970" s="5" t="s">
        <v>2462</v>
      </c>
      <c r="BD970" s="11">
        <v>0</v>
      </c>
      <c r="BE970" s="11">
        <v>0</v>
      </c>
    </row>
    <row x14ac:dyDescent="0.25" r="971" customHeight="1" ht="15.75">
      <c r="A971" s="11">
        <v>1262916</v>
      </c>
      <c r="B971" s="4" t="s">
        <v>4469</v>
      </c>
      <c r="C971" s="5" t="s">
        <v>4470</v>
      </c>
      <c r="D971" s="5" t="s">
        <v>4471</v>
      </c>
      <c r="E971" s="12"/>
      <c r="F971" s="13">
        <f>"0671727699"</f>
      </c>
      <c r="G971" s="13">
        <f>"9780671727697"</f>
      </c>
      <c r="H971" s="11">
        <v>0</v>
      </c>
      <c r="I971" s="14">
        <v>3.52</v>
      </c>
      <c r="J971" s="7" t="s">
        <v>376</v>
      </c>
      <c r="K971" s="5" t="s">
        <v>346</v>
      </c>
      <c r="L971" s="11">
        <v>480</v>
      </c>
      <c r="M971" s="11">
        <v>1990</v>
      </c>
      <c r="N971" s="11">
        <v>1400</v>
      </c>
      <c r="O971" s="15"/>
      <c r="P971" s="8">
        <v>44814</v>
      </c>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4" t="s">
        <v>419</v>
      </c>
      <c r="AY971" s="5" t="s">
        <v>4472</v>
      </c>
      <c r="AZ971" s="5" t="s">
        <v>38</v>
      </c>
      <c r="BA971" s="12"/>
      <c r="BB971" s="12"/>
      <c r="BC971" s="5" t="s">
        <v>2462</v>
      </c>
      <c r="BD971" s="11">
        <v>0</v>
      </c>
      <c r="BE971" s="11">
        <v>0</v>
      </c>
    </row>
    <row x14ac:dyDescent="0.25" r="972" customHeight="1" ht="17.25">
      <c r="A972" s="11">
        <v>129263635</v>
      </c>
      <c r="B972" s="4" t="s">
        <v>4473</v>
      </c>
      <c r="C972" s="5" t="s">
        <v>3888</v>
      </c>
      <c r="D972" s="5" t="s">
        <v>3889</v>
      </c>
      <c r="E972" s="5" t="s">
        <v>4474</v>
      </c>
      <c r="F972" s="13">
        <f>"1609809483"</f>
      </c>
      <c r="G972" s="13">
        <f>"9781609809485"</f>
      </c>
      <c r="H972" s="11">
        <v>0</v>
      </c>
      <c r="I972" s="14">
        <v>4.32</v>
      </c>
      <c r="J972" s="7" t="s">
        <v>1984</v>
      </c>
      <c r="K972" s="5" t="s">
        <v>60</v>
      </c>
      <c r="L972" s="11">
        <v>96</v>
      </c>
      <c r="M972" s="11">
        <v>2022</v>
      </c>
      <c r="N972" s="11">
        <v>2000</v>
      </c>
      <c r="O972" s="15"/>
      <c r="P972" s="8">
        <v>45163</v>
      </c>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4" t="s">
        <v>38</v>
      </c>
      <c r="AY972" s="5" t="s">
        <v>4475</v>
      </c>
      <c r="AZ972" s="5" t="s">
        <v>38</v>
      </c>
      <c r="BA972" s="12"/>
      <c r="BB972" s="12"/>
      <c r="BC972" s="12"/>
      <c r="BD972" s="11">
        <v>0</v>
      </c>
      <c r="BE972" s="11">
        <v>0</v>
      </c>
    </row>
    <row x14ac:dyDescent="0.25" r="973" customHeight="1" ht="17.25">
      <c r="A973" s="11">
        <v>12609433</v>
      </c>
      <c r="B973" s="4" t="s">
        <v>4476</v>
      </c>
      <c r="C973" s="5" t="s">
        <v>4477</v>
      </c>
      <c r="D973" s="5" t="s">
        <v>4478</v>
      </c>
      <c r="E973" s="12"/>
      <c r="F973" s="13">
        <f>"1400069289"</f>
      </c>
      <c r="G973" s="13">
        <f>"9781400069286"</f>
      </c>
      <c r="H973" s="11">
        <v>0</v>
      </c>
      <c r="I973" s="14">
        <v>4.13</v>
      </c>
      <c r="J973" s="7" t="s">
        <v>1018</v>
      </c>
      <c r="K973" s="5" t="s">
        <v>72</v>
      </c>
      <c r="L973" s="11">
        <v>375</v>
      </c>
      <c r="M973" s="11">
        <v>2012</v>
      </c>
      <c r="N973" s="11">
        <v>2012</v>
      </c>
      <c r="O973" s="15"/>
      <c r="P973" s="8">
        <v>45163</v>
      </c>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4" t="s">
        <v>38</v>
      </c>
      <c r="AY973" s="5" t="s">
        <v>4479</v>
      </c>
      <c r="AZ973" s="5" t="s">
        <v>38</v>
      </c>
      <c r="BA973" s="12"/>
      <c r="BB973" s="12"/>
      <c r="BC973" s="12"/>
      <c r="BD973" s="11">
        <v>0</v>
      </c>
      <c r="BE973" s="11">
        <v>0</v>
      </c>
    </row>
    <row x14ac:dyDescent="0.25" r="974" customHeight="1" ht="17.25">
      <c r="A974" s="11">
        <v>50316</v>
      </c>
      <c r="B974" s="4" t="s">
        <v>4480</v>
      </c>
      <c r="C974" s="5" t="s">
        <v>1103</v>
      </c>
      <c r="D974" s="5" t="s">
        <v>1104</v>
      </c>
      <c r="E974" s="12"/>
      <c r="F974" s="13">
        <f>"0061139742"</f>
      </c>
      <c r="G974" s="13">
        <f>"9780061139741"</f>
      </c>
      <c r="H974" s="11">
        <v>4</v>
      </c>
      <c r="I974" s="14">
        <v>4.34</v>
      </c>
      <c r="J974" s="7" t="s">
        <v>225</v>
      </c>
      <c r="K974" s="5" t="s">
        <v>72</v>
      </c>
      <c r="L974" s="11">
        <v>1216</v>
      </c>
      <c r="M974" s="11">
        <v>2006</v>
      </c>
      <c r="N974" s="11">
        <v>2006</v>
      </c>
      <c r="O974" s="8">
        <v>41611</v>
      </c>
      <c r="P974" s="8">
        <v>41364</v>
      </c>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4" t="s">
        <v>4481</v>
      </c>
      <c r="AY974" s="5" t="s">
        <v>4482</v>
      </c>
      <c r="AZ974" s="5" t="s">
        <v>158</v>
      </c>
      <c r="BA974" s="12"/>
      <c r="BB974" s="12"/>
      <c r="BC974" s="12"/>
      <c r="BD974" s="11">
        <v>1</v>
      </c>
      <c r="BE974" s="11">
        <v>0</v>
      </c>
    </row>
    <row x14ac:dyDescent="0.25" r="975" customHeight="1" ht="17.25">
      <c r="A975" s="11">
        <v>556109</v>
      </c>
      <c r="B975" s="4" t="s">
        <v>4483</v>
      </c>
      <c r="C975" s="5" t="s">
        <v>1103</v>
      </c>
      <c r="D975" s="5" t="s">
        <v>1104</v>
      </c>
      <c r="E975" s="12"/>
      <c r="F975" s="13">
        <f>"0060192941"</f>
      </c>
      <c r="G975" s="13">
        <f>"9780060192945"</f>
      </c>
      <c r="H975" s="11">
        <v>4</v>
      </c>
      <c r="I975" s="14">
        <v>4.12</v>
      </c>
      <c r="J975" s="7" t="s">
        <v>225</v>
      </c>
      <c r="K975" s="5" t="s">
        <v>4484</v>
      </c>
      <c r="L975" s="11">
        <v>560</v>
      </c>
      <c r="M975" s="11">
        <v>2000</v>
      </c>
      <c r="N975" s="11">
        <v>2013</v>
      </c>
      <c r="O975" s="8">
        <v>41611</v>
      </c>
      <c r="P975" s="8">
        <v>41464</v>
      </c>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4" t="s">
        <v>1225</v>
      </c>
      <c r="AY975" s="5" t="s">
        <v>4485</v>
      </c>
      <c r="AZ975" s="5" t="s">
        <v>38</v>
      </c>
      <c r="BA975" s="12"/>
      <c r="BB975" s="12"/>
      <c r="BC975" s="12"/>
      <c r="BD975" s="11">
        <v>1</v>
      </c>
      <c r="BE975" s="11">
        <v>0</v>
      </c>
    </row>
    <row x14ac:dyDescent="0.25" r="976" customHeight="1" ht="17.25">
      <c r="A976" s="11">
        <v>138505710</v>
      </c>
      <c r="B976" s="4" t="s">
        <v>4486</v>
      </c>
      <c r="C976" s="5" t="s">
        <v>4487</v>
      </c>
      <c r="D976" s="5" t="s">
        <v>4488</v>
      </c>
      <c r="E976" s="12"/>
      <c r="F976" s="13">
        <f>"0374610320"</f>
      </c>
      <c r="G976" s="13">
        <f>"9780374610326"</f>
      </c>
      <c r="H976" s="11">
        <v>0</v>
      </c>
      <c r="I976" s="14">
        <v>4.41</v>
      </c>
      <c r="J976" s="7" t="s">
        <v>120</v>
      </c>
      <c r="K976" s="5" t="s">
        <v>72</v>
      </c>
      <c r="L976" s="11">
        <v>416</v>
      </c>
      <c r="M976" s="11">
        <v>2023</v>
      </c>
      <c r="N976" s="11">
        <v>2023</v>
      </c>
      <c r="O976" s="15"/>
      <c r="P976" s="8">
        <v>45161</v>
      </c>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4" t="s">
        <v>38</v>
      </c>
      <c r="AY976" s="5" t="s">
        <v>4489</v>
      </c>
      <c r="AZ976" s="5" t="s">
        <v>38</v>
      </c>
      <c r="BA976" s="12"/>
      <c r="BB976" s="12"/>
      <c r="BC976" s="12"/>
      <c r="BD976" s="11">
        <v>0</v>
      </c>
      <c r="BE976" s="11">
        <v>0</v>
      </c>
    </row>
    <row x14ac:dyDescent="0.25" r="977" customHeight="1" ht="17.25">
      <c r="A977" s="11">
        <v>28114392</v>
      </c>
      <c r="B977" s="4" t="s">
        <v>4490</v>
      </c>
      <c r="C977" s="5" t="s">
        <v>4491</v>
      </c>
      <c r="D977" s="5" t="s">
        <v>4492</v>
      </c>
      <c r="E977" s="5" t="s">
        <v>4493</v>
      </c>
      <c r="F977" s="13">
        <f>"0544812115"</f>
      </c>
      <c r="G977" s="13">
        <f>"9780544812116"</f>
      </c>
      <c r="H977" s="11">
        <v>0</v>
      </c>
      <c r="I977" s="14">
        <v>3.85</v>
      </c>
      <c r="J977" s="7" t="s">
        <v>434</v>
      </c>
      <c r="K977" s="5" t="s">
        <v>60</v>
      </c>
      <c r="L977" s="11">
        <v>432</v>
      </c>
      <c r="M977" s="11">
        <v>2016</v>
      </c>
      <c r="N977" s="11">
        <v>2016</v>
      </c>
      <c r="O977" s="15"/>
      <c r="P977" s="8">
        <v>45114</v>
      </c>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4" t="s">
        <v>3164</v>
      </c>
      <c r="AY977" s="5" t="s">
        <v>4494</v>
      </c>
      <c r="AZ977" s="5" t="s">
        <v>38</v>
      </c>
      <c r="BA977" s="12"/>
      <c r="BB977" s="12"/>
      <c r="BC977" s="12"/>
      <c r="BD977" s="11">
        <v>0</v>
      </c>
      <c r="BE977" s="11">
        <v>0</v>
      </c>
    </row>
    <row x14ac:dyDescent="0.25" r="978" customHeight="1" ht="17.25">
      <c r="A978" s="11">
        <v>25628253</v>
      </c>
      <c r="B978" s="4" t="s">
        <v>4495</v>
      </c>
      <c r="C978" s="5" t="s">
        <v>4496</v>
      </c>
      <c r="D978" s="5" t="s">
        <v>4497</v>
      </c>
      <c r="E978" s="12"/>
      <c r="F978" s="13">
        <f>"0813937353"</f>
      </c>
      <c r="G978" s="13">
        <f>"9780813937359"</f>
      </c>
      <c r="H978" s="11">
        <v>0</v>
      </c>
      <c r="I978" s="14">
        <v>3.63</v>
      </c>
      <c r="J978" s="7" t="s">
        <v>4498</v>
      </c>
      <c r="K978" s="5" t="s">
        <v>90</v>
      </c>
      <c r="L978" s="11">
        <v>176</v>
      </c>
      <c r="M978" s="11">
        <v>2015</v>
      </c>
      <c r="N978" s="11">
        <v>2015</v>
      </c>
      <c r="O978" s="15"/>
      <c r="P978" s="8">
        <v>45161</v>
      </c>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4" t="s">
        <v>38</v>
      </c>
      <c r="AY978" s="5" t="s">
        <v>4499</v>
      </c>
      <c r="AZ978" s="5" t="s">
        <v>38</v>
      </c>
      <c r="BA978" s="12"/>
      <c r="BB978" s="12"/>
      <c r="BC978" s="12"/>
      <c r="BD978" s="11">
        <v>0</v>
      </c>
      <c r="BE978" s="11">
        <v>0</v>
      </c>
    </row>
    <row x14ac:dyDescent="0.25" r="979" customHeight="1" ht="17.25">
      <c r="A979" s="11">
        <v>40887358</v>
      </c>
      <c r="B979" s="4" t="s">
        <v>4500</v>
      </c>
      <c r="C979" s="5" t="s">
        <v>4501</v>
      </c>
      <c r="D979" s="5" t="s">
        <v>4502</v>
      </c>
      <c r="E979" s="5" t="s">
        <v>4503</v>
      </c>
      <c r="F979" s="13">
        <f>"030023824X"</f>
      </c>
      <c r="G979" s="13">
        <f>"9780300238242"</f>
      </c>
      <c r="H979" s="11">
        <v>0</v>
      </c>
      <c r="I979" s="14">
        <v>3.85</v>
      </c>
      <c r="J979" s="7" t="s">
        <v>576</v>
      </c>
      <c r="K979" s="5" t="s">
        <v>72</v>
      </c>
      <c r="L979" s="11">
        <v>216</v>
      </c>
      <c r="M979" s="11">
        <v>2019</v>
      </c>
      <c r="N979" s="16"/>
      <c r="O979" s="15"/>
      <c r="P979" s="8">
        <v>45161</v>
      </c>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4" t="s">
        <v>38</v>
      </c>
      <c r="AY979" s="5" t="s">
        <v>4504</v>
      </c>
      <c r="AZ979" s="5" t="s">
        <v>38</v>
      </c>
      <c r="BA979" s="12"/>
      <c r="BB979" s="12"/>
      <c r="BC979" s="12"/>
      <c r="BD979" s="11">
        <v>0</v>
      </c>
      <c r="BE979" s="11">
        <v>0</v>
      </c>
    </row>
    <row x14ac:dyDescent="0.25" r="980" customHeight="1" ht="17.25">
      <c r="A980" s="11">
        <v>44953</v>
      </c>
      <c r="B980" s="4" t="s">
        <v>4505</v>
      </c>
      <c r="C980" s="5" t="s">
        <v>4506</v>
      </c>
      <c r="D980" s="5" t="s">
        <v>4507</v>
      </c>
      <c r="E980" s="12"/>
      <c r="F980" s="13">
        <f>"0486247619"</f>
      </c>
      <c r="G980" s="13">
        <f>"9780486247618"</f>
      </c>
      <c r="H980" s="11">
        <v>0</v>
      </c>
      <c r="I980" s="14">
        <v>3.89</v>
      </c>
      <c r="J980" s="7" t="s">
        <v>571</v>
      </c>
      <c r="K980" s="5" t="s">
        <v>60</v>
      </c>
      <c r="L980" s="11">
        <v>96</v>
      </c>
      <c r="M980" s="11">
        <v>1984</v>
      </c>
      <c r="N980" s="11">
        <v>1972</v>
      </c>
      <c r="O980" s="15"/>
      <c r="P980" s="8">
        <v>45160</v>
      </c>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4" t="s">
        <v>38</v>
      </c>
      <c r="AY980" s="5" t="s">
        <v>4508</v>
      </c>
      <c r="AZ980" s="5" t="s">
        <v>38</v>
      </c>
      <c r="BA980" s="12"/>
      <c r="BB980" s="12"/>
      <c r="BC980" s="12"/>
      <c r="BD980" s="11">
        <v>0</v>
      </c>
      <c r="BE980" s="11">
        <v>0</v>
      </c>
    </row>
    <row x14ac:dyDescent="0.25" r="981" customHeight="1" ht="17.25">
      <c r="A981" s="11">
        <v>85766</v>
      </c>
      <c r="B981" s="4" t="s">
        <v>4509</v>
      </c>
      <c r="C981" s="5" t="s">
        <v>4510</v>
      </c>
      <c r="D981" s="5" t="s">
        <v>4511</v>
      </c>
      <c r="E981" s="12"/>
      <c r="F981" s="13">
        <f>"0520078748"</f>
      </c>
      <c r="G981" s="13">
        <f>"9780520078741"</f>
      </c>
      <c r="H981" s="11">
        <v>0</v>
      </c>
      <c r="I981" s="14">
        <v>4.11</v>
      </c>
      <c r="J981" s="7" t="s">
        <v>1335</v>
      </c>
      <c r="K981" s="5" t="s">
        <v>60</v>
      </c>
      <c r="L981" s="11">
        <v>258</v>
      </c>
      <c r="M981" s="11">
        <v>1990</v>
      </c>
      <c r="N981" s="11">
        <v>1990</v>
      </c>
      <c r="O981" s="15"/>
      <c r="P981" s="8">
        <v>45157</v>
      </c>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4" t="s">
        <v>38</v>
      </c>
      <c r="AY981" s="5" t="s">
        <v>4512</v>
      </c>
      <c r="AZ981" s="5" t="s">
        <v>38</v>
      </c>
      <c r="BA981" s="12"/>
      <c r="BB981" s="12"/>
      <c r="BC981" s="12"/>
      <c r="BD981" s="11">
        <v>0</v>
      </c>
      <c r="BE981" s="11">
        <v>0</v>
      </c>
    </row>
    <row x14ac:dyDescent="0.25" r="982" customHeight="1" ht="17.25">
      <c r="A982" s="11">
        <v>39934</v>
      </c>
      <c r="B982" s="4" t="s">
        <v>4513</v>
      </c>
      <c r="C982" s="5" t="s">
        <v>1682</v>
      </c>
      <c r="D982" s="5" t="s">
        <v>4514</v>
      </c>
      <c r="E982" s="12"/>
      <c r="F982" s="13">
        <f>"0060777052"</f>
      </c>
      <c r="G982" s="13">
        <f>"9780060777050"</f>
      </c>
      <c r="H982" s="11">
        <v>0</v>
      </c>
      <c r="I982" s="14">
        <v>3.78</v>
      </c>
      <c r="J982" s="7" t="s">
        <v>505</v>
      </c>
      <c r="K982" s="5" t="s">
        <v>60</v>
      </c>
      <c r="L982" s="11">
        <v>302</v>
      </c>
      <c r="M982" s="11">
        <v>2007</v>
      </c>
      <c r="N982" s="11">
        <v>2006</v>
      </c>
      <c r="O982" s="15"/>
      <c r="P982" s="8">
        <v>45157</v>
      </c>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4" t="s">
        <v>38</v>
      </c>
      <c r="AY982" s="5" t="s">
        <v>4515</v>
      </c>
      <c r="AZ982" s="5" t="s">
        <v>38</v>
      </c>
      <c r="BA982" s="12"/>
      <c r="BB982" s="12"/>
      <c r="BC982" s="12"/>
      <c r="BD982" s="11">
        <v>0</v>
      </c>
      <c r="BE982" s="11">
        <v>0</v>
      </c>
    </row>
    <row x14ac:dyDescent="0.25" r="983" customHeight="1" ht="17.25">
      <c r="A983" s="11">
        <v>228264</v>
      </c>
      <c r="B983" s="4" t="s">
        <v>4516</v>
      </c>
      <c r="C983" s="5" t="s">
        <v>4517</v>
      </c>
      <c r="D983" s="5" t="s">
        <v>4518</v>
      </c>
      <c r="E983" s="12"/>
      <c r="F983" s="13">
        <f>"019285383X"</f>
      </c>
      <c r="G983" s="13">
        <f>"9780192853837"</f>
      </c>
      <c r="H983" s="11">
        <v>0</v>
      </c>
      <c r="I983" s="14">
        <v>3.66</v>
      </c>
      <c r="J983" s="7" t="s">
        <v>245</v>
      </c>
      <c r="K983" s="5" t="s">
        <v>60</v>
      </c>
      <c r="L983" s="11">
        <v>144</v>
      </c>
      <c r="M983" s="11">
        <v>2000</v>
      </c>
      <c r="N983" s="11">
        <v>1997</v>
      </c>
      <c r="O983" s="15"/>
      <c r="P983" s="8">
        <v>45157</v>
      </c>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4" t="s">
        <v>38</v>
      </c>
      <c r="AY983" s="5" t="s">
        <v>4519</v>
      </c>
      <c r="AZ983" s="5" t="s">
        <v>38</v>
      </c>
      <c r="BA983" s="12"/>
      <c r="BB983" s="12"/>
      <c r="BC983" s="12"/>
      <c r="BD983" s="11">
        <v>0</v>
      </c>
      <c r="BE983" s="11">
        <v>0</v>
      </c>
    </row>
    <row x14ac:dyDescent="0.25" r="984" customHeight="1" ht="17.25">
      <c r="A984" s="11">
        <v>39933</v>
      </c>
      <c r="B984" s="4" t="s">
        <v>4520</v>
      </c>
      <c r="C984" s="5" t="s">
        <v>4521</v>
      </c>
      <c r="D984" s="5" t="s">
        <v>4522</v>
      </c>
      <c r="E984" s="12"/>
      <c r="F984" s="13">
        <f>"006000942X"</f>
      </c>
      <c r="G984" s="13">
        <f>"9780060009427"</f>
      </c>
      <c r="H984" s="11">
        <v>0</v>
      </c>
      <c r="I984" s="14">
        <v>3.61</v>
      </c>
      <c r="J984" s="7" t="s">
        <v>505</v>
      </c>
      <c r="K984" s="5" t="s">
        <v>60</v>
      </c>
      <c r="L984" s="11">
        <v>314</v>
      </c>
      <c r="M984" s="11">
        <v>2003</v>
      </c>
      <c r="N984" s="11">
        <v>2003</v>
      </c>
      <c r="O984" s="15"/>
      <c r="P984" s="8">
        <v>45157</v>
      </c>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4" t="s">
        <v>38</v>
      </c>
      <c r="AY984" s="5" t="s">
        <v>4523</v>
      </c>
      <c r="AZ984" s="5" t="s">
        <v>38</v>
      </c>
      <c r="BA984" s="12"/>
      <c r="BB984" s="12"/>
      <c r="BC984" s="12"/>
      <c r="BD984" s="11">
        <v>0</v>
      </c>
      <c r="BE984" s="11">
        <v>0</v>
      </c>
    </row>
    <row x14ac:dyDescent="0.25" r="985" customHeight="1" ht="17.25">
      <c r="A985" s="11">
        <v>13528351</v>
      </c>
      <c r="B985" s="4" t="s">
        <v>4524</v>
      </c>
      <c r="C985" s="5" t="s">
        <v>2323</v>
      </c>
      <c r="D985" s="5" t="s">
        <v>2324</v>
      </c>
      <c r="E985" s="12"/>
      <c r="F985" s="13">
        <f>"0316182370"</f>
      </c>
      <c r="G985" s="13">
        <f>"9780316182379"</f>
      </c>
      <c r="H985" s="11">
        <v>0</v>
      </c>
      <c r="I985" s="14">
        <v>3.86</v>
      </c>
      <c r="J985" s="7" t="s">
        <v>411</v>
      </c>
      <c r="K985" s="5" t="s">
        <v>72</v>
      </c>
      <c r="L985" s="11">
        <v>328</v>
      </c>
      <c r="M985" s="11">
        <v>2012</v>
      </c>
      <c r="N985" s="11">
        <v>2012</v>
      </c>
      <c r="O985" s="15"/>
      <c r="P985" s="8">
        <v>45157</v>
      </c>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4" t="s">
        <v>38</v>
      </c>
      <c r="AY985" s="5" t="s">
        <v>4525</v>
      </c>
      <c r="AZ985" s="5" t="s">
        <v>38</v>
      </c>
      <c r="BA985" s="12"/>
      <c r="BB985" s="12"/>
      <c r="BC985" s="12"/>
      <c r="BD985" s="11">
        <v>0</v>
      </c>
      <c r="BE985" s="11">
        <v>0</v>
      </c>
    </row>
    <row x14ac:dyDescent="0.25" r="986" customHeight="1" ht="17.25">
      <c r="A986" s="11">
        <v>433567</v>
      </c>
      <c r="B986" s="4" t="s">
        <v>4526</v>
      </c>
      <c r="C986" s="5" t="s">
        <v>4527</v>
      </c>
      <c r="D986" s="5" t="s">
        <v>4528</v>
      </c>
      <c r="E986" s="12"/>
      <c r="F986" s="13">
        <f>"048627263X"</f>
      </c>
      <c r="G986" s="13">
        <f>"9780486272634"</f>
      </c>
      <c r="H986" s="11">
        <v>0</v>
      </c>
      <c r="I986" s="14">
        <v>3.81</v>
      </c>
      <c r="J986" s="7" t="s">
        <v>4529</v>
      </c>
      <c r="K986" s="5" t="s">
        <v>60</v>
      </c>
      <c r="L986" s="11">
        <v>96</v>
      </c>
      <c r="M986" s="11">
        <v>1992</v>
      </c>
      <c r="N986" s="11">
        <v>1884</v>
      </c>
      <c r="O986" s="15"/>
      <c r="P986" s="8">
        <v>45157</v>
      </c>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4" t="s">
        <v>38</v>
      </c>
      <c r="AY986" s="5" t="s">
        <v>4530</v>
      </c>
      <c r="AZ986" s="5" t="s">
        <v>38</v>
      </c>
      <c r="BA986" s="12"/>
      <c r="BB986" s="12"/>
      <c r="BC986" s="12"/>
      <c r="BD986" s="11">
        <v>0</v>
      </c>
      <c r="BE986" s="11">
        <v>0</v>
      </c>
    </row>
    <row x14ac:dyDescent="0.25" r="987" customHeight="1" ht="17.25">
      <c r="A987" s="11">
        <v>60213</v>
      </c>
      <c r="B987" s="4" t="s">
        <v>4531</v>
      </c>
      <c r="C987" s="5" t="s">
        <v>4532</v>
      </c>
      <c r="D987" s="5" t="s">
        <v>4533</v>
      </c>
      <c r="E987" s="12"/>
      <c r="F987" s="13">
        <f>"0312890338"</f>
      </c>
      <c r="G987" s="13">
        <f>"9780312890339"</f>
      </c>
      <c r="H987" s="11">
        <v>0</v>
      </c>
      <c r="I987" s="14">
        <v>4.1</v>
      </c>
      <c r="J987" s="7" t="s">
        <v>1862</v>
      </c>
      <c r="K987" s="5" t="s">
        <v>60</v>
      </c>
      <c r="L987" s="11">
        <v>272</v>
      </c>
      <c r="M987" s="11">
        <v>1995</v>
      </c>
      <c r="N987" s="11">
        <v>1975</v>
      </c>
      <c r="O987" s="15"/>
      <c r="P987" s="8">
        <v>45157</v>
      </c>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4" t="s">
        <v>38</v>
      </c>
      <c r="AY987" s="5" t="s">
        <v>4534</v>
      </c>
      <c r="AZ987" s="5" t="s">
        <v>38</v>
      </c>
      <c r="BA987" s="12"/>
      <c r="BB987" s="12"/>
      <c r="BC987" s="12"/>
      <c r="BD987" s="11">
        <v>0</v>
      </c>
      <c r="BE987" s="11">
        <v>0</v>
      </c>
    </row>
    <row x14ac:dyDescent="0.25" r="988" customHeight="1" ht="17.25">
      <c r="A988" s="11">
        <v>143224</v>
      </c>
      <c r="B988" s="4" t="s">
        <v>4535</v>
      </c>
      <c r="C988" s="5" t="s">
        <v>2529</v>
      </c>
      <c r="D988" s="5" t="s">
        <v>2530</v>
      </c>
      <c r="E988" s="12"/>
      <c r="F988" s="13">
        <f>"1419132474"</f>
      </c>
      <c r="G988" s="13">
        <f>"9781419132476"</f>
      </c>
      <c r="H988" s="11">
        <v>0</v>
      </c>
      <c r="I988" s="14">
        <v>3.89</v>
      </c>
      <c r="J988" s="7" t="s">
        <v>4536</v>
      </c>
      <c r="K988" s="5" t="s">
        <v>60</v>
      </c>
      <c r="L988" s="11">
        <v>221</v>
      </c>
      <c r="M988" s="11">
        <v>2004</v>
      </c>
      <c r="N988" s="11">
        <v>1930</v>
      </c>
      <c r="O988" s="15"/>
      <c r="P988" s="8">
        <v>45156</v>
      </c>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4" t="s">
        <v>38</v>
      </c>
      <c r="AY988" s="5" t="s">
        <v>4537</v>
      </c>
      <c r="AZ988" s="5" t="s">
        <v>38</v>
      </c>
      <c r="BA988" s="12"/>
      <c r="BB988" s="12"/>
      <c r="BC988" s="12"/>
      <c r="BD988" s="11">
        <v>0</v>
      </c>
      <c r="BE988" s="11">
        <v>0</v>
      </c>
    </row>
    <row x14ac:dyDescent="0.25" r="989" customHeight="1" ht="17.25">
      <c r="A989" s="11">
        <v>114523</v>
      </c>
      <c r="B989" s="4" t="s">
        <v>4538</v>
      </c>
      <c r="C989" s="5" t="s">
        <v>4539</v>
      </c>
      <c r="D989" s="5" t="s">
        <v>4540</v>
      </c>
      <c r="E989" s="12"/>
      <c r="F989" s="13">
        <f>"0380726335"</f>
      </c>
      <c r="G989" s="13">
        <f>"9780380726332"</f>
      </c>
      <c r="H989" s="11">
        <v>0</v>
      </c>
      <c r="I989" s="14">
        <v>3.98</v>
      </c>
      <c r="J989" s="7" t="s">
        <v>2587</v>
      </c>
      <c r="K989" s="5" t="s">
        <v>60</v>
      </c>
      <c r="L989" s="11">
        <v>416</v>
      </c>
      <c r="M989" s="11">
        <v>1995</v>
      </c>
      <c r="N989" s="11">
        <v>1994</v>
      </c>
      <c r="O989" s="15"/>
      <c r="P989" s="8">
        <v>45156</v>
      </c>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4" t="s">
        <v>38</v>
      </c>
      <c r="AY989" s="5" t="s">
        <v>4541</v>
      </c>
      <c r="AZ989" s="5" t="s">
        <v>38</v>
      </c>
      <c r="BA989" s="12"/>
      <c r="BB989" s="12"/>
      <c r="BC989" s="12"/>
      <c r="BD989" s="11">
        <v>0</v>
      </c>
      <c r="BE989" s="11">
        <v>0</v>
      </c>
    </row>
    <row x14ac:dyDescent="0.25" r="990" customHeight="1" ht="17.25">
      <c r="A990" s="11">
        <v>1214607</v>
      </c>
      <c r="B990" s="4" t="s">
        <v>4542</v>
      </c>
      <c r="C990" s="5" t="s">
        <v>4543</v>
      </c>
      <c r="D990" s="5" t="s">
        <v>4544</v>
      </c>
      <c r="E990" s="5" t="s">
        <v>4545</v>
      </c>
      <c r="F990" s="13">
        <f>"0345434889"</f>
      </c>
      <c r="G990" s="13">
        <f>"9780345434883"</f>
      </c>
      <c r="H990" s="11">
        <v>0</v>
      </c>
      <c r="I990" s="14">
        <v>3.86</v>
      </c>
      <c r="J990" s="7" t="s">
        <v>352</v>
      </c>
      <c r="K990" s="5" t="s">
        <v>60</v>
      </c>
      <c r="L990" s="11">
        <v>651</v>
      </c>
      <c r="M990" s="11">
        <v>2001</v>
      </c>
      <c r="N990" s="11">
        <v>1999</v>
      </c>
      <c r="O990" s="15"/>
      <c r="P990" s="8">
        <v>45156</v>
      </c>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4" t="s">
        <v>38</v>
      </c>
      <c r="AY990" s="5" t="s">
        <v>4546</v>
      </c>
      <c r="AZ990" s="5" t="s">
        <v>38</v>
      </c>
      <c r="BA990" s="12"/>
      <c r="BB990" s="12"/>
      <c r="BC990" s="12"/>
      <c r="BD990" s="11">
        <v>0</v>
      </c>
      <c r="BE990" s="11">
        <v>0</v>
      </c>
    </row>
    <row x14ac:dyDescent="0.25" r="991" customHeight="1" ht="17.25">
      <c r="A991" s="11">
        <v>2857990</v>
      </c>
      <c r="B991" s="4" t="s">
        <v>4547</v>
      </c>
      <c r="C991" s="5" t="s">
        <v>4548</v>
      </c>
      <c r="D991" s="5" t="s">
        <v>4549</v>
      </c>
      <c r="E991" s="12"/>
      <c r="F991" s="13">
        <f>"1846551374"</f>
      </c>
      <c r="G991" s="13">
        <f>"9781846551376"</f>
      </c>
      <c r="H991" s="11">
        <v>0</v>
      </c>
      <c r="I991" s="14">
        <v>3.87</v>
      </c>
      <c r="J991" s="7" t="s">
        <v>4550</v>
      </c>
      <c r="K991" s="5" t="s">
        <v>72</v>
      </c>
      <c r="L991" s="11">
        <v>256</v>
      </c>
      <c r="M991" s="11">
        <v>2008</v>
      </c>
      <c r="N991" s="11">
        <v>2006</v>
      </c>
      <c r="O991" s="15"/>
      <c r="P991" s="8">
        <v>45155</v>
      </c>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4" t="s">
        <v>3164</v>
      </c>
      <c r="AY991" s="5" t="s">
        <v>4551</v>
      </c>
      <c r="AZ991" s="5" t="s">
        <v>38</v>
      </c>
      <c r="BA991" s="12"/>
      <c r="BB991" s="12"/>
      <c r="BC991" s="12"/>
      <c r="BD991" s="11">
        <v>0</v>
      </c>
      <c r="BE991" s="11">
        <v>0</v>
      </c>
    </row>
    <row x14ac:dyDescent="0.25" r="992" customHeight="1" ht="15.75">
      <c r="A992" s="11">
        <v>44696835</v>
      </c>
      <c r="B992" s="4" t="s">
        <v>4552</v>
      </c>
      <c r="C992" s="5" t="s">
        <v>4553</v>
      </c>
      <c r="D992" s="5" t="s">
        <v>4554</v>
      </c>
      <c r="E992" s="12"/>
      <c r="F992" s="13">
        <f>"0671027344"</f>
      </c>
      <c r="G992" s="13">
        <f>"9780671027346"</f>
      </c>
      <c r="H992" s="11">
        <v>0</v>
      </c>
      <c r="I992" s="14">
        <v>4.23</v>
      </c>
      <c r="J992" s="7" t="s">
        <v>4555</v>
      </c>
      <c r="K992" s="5" t="s">
        <v>60</v>
      </c>
      <c r="L992" s="11">
        <v>213</v>
      </c>
      <c r="M992" s="11">
        <v>2002</v>
      </c>
      <c r="N992" s="11">
        <v>1999</v>
      </c>
      <c r="O992" s="15"/>
      <c r="P992" s="8">
        <v>44814</v>
      </c>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4" t="s">
        <v>419</v>
      </c>
      <c r="AY992" s="5" t="s">
        <v>4556</v>
      </c>
      <c r="AZ992" s="5" t="s">
        <v>38</v>
      </c>
      <c r="BA992" s="12"/>
      <c r="BB992" s="12"/>
      <c r="BC992" s="12"/>
      <c r="BD992" s="11">
        <v>0</v>
      </c>
      <c r="BE992" s="11">
        <v>0</v>
      </c>
    </row>
    <row x14ac:dyDescent="0.25" r="993" customHeight="1" ht="15.75">
      <c r="A993" s="11">
        <v>84943</v>
      </c>
      <c r="B993" s="4" t="s">
        <v>4557</v>
      </c>
      <c r="C993" s="5" t="s">
        <v>4558</v>
      </c>
      <c r="D993" s="5" t="s">
        <v>4559</v>
      </c>
      <c r="E993" s="5" t="s">
        <v>4560</v>
      </c>
      <c r="F993" s="13">
        <f>""</f>
      </c>
      <c r="G993" s="13">
        <f>""</f>
      </c>
      <c r="H993" s="11">
        <v>0</v>
      </c>
      <c r="I993" s="14">
        <v>3.69</v>
      </c>
      <c r="J993" s="7" t="s">
        <v>4561</v>
      </c>
      <c r="K993" s="5" t="s">
        <v>346</v>
      </c>
      <c r="L993" s="11">
        <v>202</v>
      </c>
      <c r="M993" s="11">
        <v>2003</v>
      </c>
      <c r="N993" s="11">
        <v>1954</v>
      </c>
      <c r="O993" s="15"/>
      <c r="P993" s="8">
        <v>44814</v>
      </c>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4" t="s">
        <v>419</v>
      </c>
      <c r="AY993" s="5" t="s">
        <v>4562</v>
      </c>
      <c r="AZ993" s="5" t="s">
        <v>38</v>
      </c>
      <c r="BA993" s="12"/>
      <c r="BB993" s="12"/>
      <c r="BC993" s="12"/>
      <c r="BD993" s="11">
        <v>0</v>
      </c>
      <c r="BE993" s="11">
        <v>0</v>
      </c>
    </row>
    <row x14ac:dyDescent="0.25" r="994" customHeight="1" ht="15.75">
      <c r="A994" s="11">
        <v>17262518</v>
      </c>
      <c r="B994" s="4" t="s">
        <v>4563</v>
      </c>
      <c r="C994" s="5" t="s">
        <v>4564</v>
      </c>
      <c r="D994" s="5" t="s">
        <v>4565</v>
      </c>
      <c r="E994" s="5" t="s">
        <v>4566</v>
      </c>
      <c r="F994" s="13">
        <f>"1590176677"</f>
      </c>
      <c r="G994" s="13">
        <f>"9781590176672"</f>
      </c>
      <c r="H994" s="11">
        <v>0</v>
      </c>
      <c r="I994" s="14">
        <v>3.74</v>
      </c>
      <c r="J994" s="7" t="s">
        <v>108</v>
      </c>
      <c r="K994" s="5" t="s">
        <v>60</v>
      </c>
      <c r="L994" s="11">
        <v>152</v>
      </c>
      <c r="M994" s="11">
        <v>2013</v>
      </c>
      <c r="N994" s="11">
        <v>1958</v>
      </c>
      <c r="O994" s="15"/>
      <c r="P994" s="8">
        <v>44814</v>
      </c>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4" t="s">
        <v>419</v>
      </c>
      <c r="AY994" s="5" t="s">
        <v>4567</v>
      </c>
      <c r="AZ994" s="5" t="s">
        <v>38</v>
      </c>
      <c r="BA994" s="12"/>
      <c r="BB994" s="12"/>
      <c r="BC994" s="12"/>
      <c r="BD994" s="11">
        <v>0</v>
      </c>
      <c r="BE994" s="11">
        <v>0</v>
      </c>
    </row>
    <row x14ac:dyDescent="0.25" r="995" customHeight="1" ht="17.25">
      <c r="A995" s="11">
        <v>24482</v>
      </c>
      <c r="B995" s="4" t="s">
        <v>4568</v>
      </c>
      <c r="C995" s="5" t="s">
        <v>4569</v>
      </c>
      <c r="D995" s="5" t="s">
        <v>4570</v>
      </c>
      <c r="E995" s="5" t="s">
        <v>4571</v>
      </c>
      <c r="F995" s="13">
        <f>"1590170199"</f>
      </c>
      <c r="G995" s="13">
        <f>"9781590170199"</f>
      </c>
      <c r="H995" s="11">
        <v>0</v>
      </c>
      <c r="I995" s="14">
        <v>3.76</v>
      </c>
      <c r="J995" s="7" t="s">
        <v>4572</v>
      </c>
      <c r="K995" s="5" t="s">
        <v>60</v>
      </c>
      <c r="L995" s="11">
        <v>76</v>
      </c>
      <c r="M995" s="11">
        <v>2002</v>
      </c>
      <c r="N995" s="11">
        <v>1972</v>
      </c>
      <c r="O995" s="15"/>
      <c r="P995" s="8">
        <v>44814</v>
      </c>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4" t="s">
        <v>3164</v>
      </c>
      <c r="AY995" s="5" t="s">
        <v>4573</v>
      </c>
      <c r="AZ995" s="5" t="s">
        <v>38</v>
      </c>
      <c r="BA995" s="12"/>
      <c r="BB995" s="12"/>
      <c r="BC995" s="12"/>
      <c r="BD995" s="11">
        <v>0</v>
      </c>
      <c r="BE995" s="11">
        <v>0</v>
      </c>
    </row>
    <row x14ac:dyDescent="0.25" r="996" customHeight="1" ht="17.25">
      <c r="A996" s="11">
        <v>16057072</v>
      </c>
      <c r="B996" s="4" t="s">
        <v>4574</v>
      </c>
      <c r="C996" s="5" t="s">
        <v>4575</v>
      </c>
      <c r="D996" s="5" t="s">
        <v>4576</v>
      </c>
      <c r="E996" s="12"/>
      <c r="F996" s="13">
        <f>"193674757X"</f>
      </c>
      <c r="G996" s="13">
        <f>"9781936747573"</f>
      </c>
      <c r="H996" s="11">
        <v>0</v>
      </c>
      <c r="I996" s="14">
        <v>4.14</v>
      </c>
      <c r="J996" s="7" t="s">
        <v>4577</v>
      </c>
      <c r="K996" s="5" t="s">
        <v>60</v>
      </c>
      <c r="L996" s="11">
        <v>192</v>
      </c>
      <c r="M996" s="11">
        <v>2013</v>
      </c>
      <c r="N996" s="11">
        <v>2013</v>
      </c>
      <c r="O996" s="15"/>
      <c r="P996" s="8">
        <v>44814</v>
      </c>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4" t="s">
        <v>3164</v>
      </c>
      <c r="AY996" s="5" t="s">
        <v>4578</v>
      </c>
      <c r="AZ996" s="5" t="s">
        <v>38</v>
      </c>
      <c r="BA996" s="12"/>
      <c r="BB996" s="12"/>
      <c r="BC996" s="12"/>
      <c r="BD996" s="11">
        <v>0</v>
      </c>
      <c r="BE996" s="11">
        <v>0</v>
      </c>
    </row>
    <row x14ac:dyDescent="0.25" r="997" customHeight="1" ht="17.25">
      <c r="A997" s="11">
        <v>18310181</v>
      </c>
      <c r="B997" s="4" t="s">
        <v>4579</v>
      </c>
      <c r="C997" s="5" t="s">
        <v>714</v>
      </c>
      <c r="D997" s="5" t="s">
        <v>715</v>
      </c>
      <c r="E997" s="12"/>
      <c r="F997" s="13">
        <f>""</f>
      </c>
      <c r="G997" s="13">
        <f>""</f>
      </c>
      <c r="H997" s="11">
        <v>5</v>
      </c>
      <c r="I997" s="14">
        <v>3.73</v>
      </c>
      <c r="J997" s="7" t="s">
        <v>4580</v>
      </c>
      <c r="K997" s="5" t="s">
        <v>60</v>
      </c>
      <c r="L997" s="11">
        <v>473</v>
      </c>
      <c r="M997" s="11">
        <v>2014</v>
      </c>
      <c r="N997" s="11">
        <v>2013</v>
      </c>
      <c r="O997" s="8">
        <v>42375</v>
      </c>
      <c r="P997" s="8">
        <v>42339</v>
      </c>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4" t="s">
        <v>19</v>
      </c>
      <c r="AY997" s="5" t="s">
        <v>4581</v>
      </c>
      <c r="AZ997" s="5" t="s">
        <v>158</v>
      </c>
      <c r="BA997" s="12"/>
      <c r="BB997" s="12"/>
      <c r="BC997" s="12"/>
      <c r="BD997" s="11">
        <v>1</v>
      </c>
      <c r="BE997" s="11">
        <v>0</v>
      </c>
    </row>
    <row x14ac:dyDescent="0.25" r="998" customHeight="1" ht="17.25">
      <c r="A998" s="11">
        <v>119561</v>
      </c>
      <c r="B998" s="4" t="s">
        <v>4582</v>
      </c>
      <c r="C998" s="5" t="s">
        <v>2982</v>
      </c>
      <c r="D998" s="5" t="s">
        <v>2983</v>
      </c>
      <c r="E998" s="12"/>
      <c r="F998" s="13">
        <f>"0679753354"</f>
      </c>
      <c r="G998" s="13">
        <f>"9780679753353"</f>
      </c>
      <c r="H998" s="11">
        <v>0</v>
      </c>
      <c r="I998" s="14">
        <v>4.12</v>
      </c>
      <c r="J998" s="7" t="s">
        <v>114</v>
      </c>
      <c r="K998" s="5" t="s">
        <v>60</v>
      </c>
      <c r="L998" s="11">
        <v>416</v>
      </c>
      <c r="M998" s="11">
        <v>1994</v>
      </c>
      <c r="N998" s="11">
        <v>1966</v>
      </c>
      <c r="O998" s="15"/>
      <c r="P998" s="8">
        <v>45154</v>
      </c>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4" t="s">
        <v>38</v>
      </c>
      <c r="AY998" s="5" t="s">
        <v>4583</v>
      </c>
      <c r="AZ998" s="5" t="s">
        <v>38</v>
      </c>
      <c r="BA998" s="12"/>
      <c r="BB998" s="12"/>
      <c r="BC998" s="12"/>
      <c r="BD998" s="11">
        <v>0</v>
      </c>
      <c r="BE998" s="11">
        <v>0</v>
      </c>
    </row>
    <row x14ac:dyDescent="0.25" r="999" customHeight="1" ht="17.25">
      <c r="A999" s="11">
        <v>78250</v>
      </c>
      <c r="B999" s="4" t="s">
        <v>4584</v>
      </c>
      <c r="C999" s="5" t="s">
        <v>4585</v>
      </c>
      <c r="D999" s="5" t="s">
        <v>4586</v>
      </c>
      <c r="E999" s="12"/>
      <c r="F999" s="13">
        <f>"0671227424"</f>
      </c>
      <c r="G999" s="13">
        <f>"9780671227425"</f>
      </c>
      <c r="H999" s="11">
        <v>0</v>
      </c>
      <c r="I999" s="14">
        <v>3.94</v>
      </c>
      <c r="J999" s="7" t="s">
        <v>4587</v>
      </c>
      <c r="K999" s="5" t="s">
        <v>60</v>
      </c>
      <c r="L999" s="11">
        <v>288</v>
      </c>
      <c r="M999" s="11">
        <v>1983</v>
      </c>
      <c r="N999" s="11">
        <v>1968</v>
      </c>
      <c r="O999" s="15"/>
      <c r="P999" s="8">
        <v>45154</v>
      </c>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4" t="s">
        <v>38</v>
      </c>
      <c r="AY999" s="5" t="s">
        <v>4588</v>
      </c>
      <c r="AZ999" s="5" t="s">
        <v>38</v>
      </c>
      <c r="BA999" s="12"/>
      <c r="BB999" s="12"/>
      <c r="BC999" s="12"/>
      <c r="BD999" s="11">
        <v>0</v>
      </c>
      <c r="BE999" s="11">
        <v>0</v>
      </c>
    </row>
    <row x14ac:dyDescent="0.25" r="1000" customHeight="1" ht="17.25">
      <c r="A1000" s="11">
        <v>19947283</v>
      </c>
      <c r="B1000" s="4" t="s">
        <v>4589</v>
      </c>
      <c r="C1000" s="5" t="s">
        <v>4590</v>
      </c>
      <c r="D1000" s="5" t="s">
        <v>4591</v>
      </c>
      <c r="E1000" s="12"/>
      <c r="F1000" s="13">
        <f>""</f>
      </c>
      <c r="G1000" s="13">
        <f>""</f>
      </c>
      <c r="H1000" s="11">
        <v>0</v>
      </c>
      <c r="I1000" s="14">
        <v>3.93</v>
      </c>
      <c r="J1000" s="7" t="s">
        <v>1335</v>
      </c>
      <c r="K1000" s="5" t="s">
        <v>90</v>
      </c>
      <c r="L1000" s="11">
        <v>354</v>
      </c>
      <c r="M1000" s="11">
        <v>1993</v>
      </c>
      <c r="N1000" s="11">
        <v>1991</v>
      </c>
      <c r="O1000" s="15"/>
      <c r="P1000" s="8">
        <v>45154</v>
      </c>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4" t="s">
        <v>38</v>
      </c>
      <c r="AY1000" s="5" t="s">
        <v>4592</v>
      </c>
      <c r="AZ1000" s="5" t="s">
        <v>38</v>
      </c>
      <c r="BA1000" s="12"/>
      <c r="BB1000" s="12"/>
      <c r="BC1000" s="12"/>
      <c r="BD1000" s="11">
        <v>0</v>
      </c>
      <c r="BE1000" s="11">
        <v>0</v>
      </c>
    </row>
    <row x14ac:dyDescent="0.25" r="1001" customHeight="1" ht="17.25">
      <c r="A1001" s="11">
        <v>13222538</v>
      </c>
      <c r="B1001" s="4" t="s">
        <v>4593</v>
      </c>
      <c r="C1001" s="5" t="s">
        <v>4594</v>
      </c>
      <c r="D1001" s="5" t="s">
        <v>4595</v>
      </c>
      <c r="E1001" s="12"/>
      <c r="F1001" s="13">
        <f>"0252034937"</f>
      </c>
      <c r="G1001" s="13">
        <f>"9780252034930"</f>
      </c>
      <c r="H1001" s="11">
        <v>0</v>
      </c>
      <c r="I1001" s="14">
        <v>3.9</v>
      </c>
      <c r="J1001" s="7" t="s">
        <v>2098</v>
      </c>
      <c r="K1001" s="5" t="s">
        <v>72</v>
      </c>
      <c r="L1001" s="11">
        <v>296</v>
      </c>
      <c r="M1001" s="11">
        <v>2012</v>
      </c>
      <c r="N1001" s="11">
        <v>2012</v>
      </c>
      <c r="O1001" s="15"/>
      <c r="P1001" s="8">
        <v>45154</v>
      </c>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4" t="s">
        <v>38</v>
      </c>
      <c r="AY1001" s="5" t="s">
        <v>4596</v>
      </c>
      <c r="AZ1001" s="5" t="s">
        <v>38</v>
      </c>
      <c r="BA1001" s="12"/>
      <c r="BB1001" s="12"/>
      <c r="BC1001" s="12"/>
      <c r="BD1001" s="11">
        <v>0</v>
      </c>
      <c r="BE1001" s="11">
        <v>0</v>
      </c>
    </row>
    <row x14ac:dyDescent="0.25" r="1002" customHeight="1" ht="17.25">
      <c r="A1002" s="11">
        <v>21074180</v>
      </c>
      <c r="B1002" s="4" t="s">
        <v>4597</v>
      </c>
      <c r="C1002" s="5" t="s">
        <v>4598</v>
      </c>
      <c r="D1002" s="5" t="s">
        <v>4599</v>
      </c>
      <c r="E1002" s="12"/>
      <c r="F1002" s="13">
        <f>""</f>
      </c>
      <c r="G1002" s="13">
        <f>""</f>
      </c>
      <c r="H1002" s="11">
        <v>0</v>
      </c>
      <c r="I1002" s="14">
        <v>3.7</v>
      </c>
      <c r="J1002" s="7" t="s">
        <v>4600</v>
      </c>
      <c r="K1002" s="5" t="s">
        <v>90</v>
      </c>
      <c r="L1002" s="11">
        <v>396</v>
      </c>
      <c r="M1002" s="11">
        <v>2012</v>
      </c>
      <c r="N1002" s="11">
        <v>2002</v>
      </c>
      <c r="O1002" s="15"/>
      <c r="P1002" s="8">
        <v>45154</v>
      </c>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4" t="s">
        <v>38</v>
      </c>
      <c r="AY1002" s="5" t="s">
        <v>4601</v>
      </c>
      <c r="AZ1002" s="5" t="s">
        <v>38</v>
      </c>
      <c r="BA1002" s="12"/>
      <c r="BB1002" s="12"/>
      <c r="BC1002" s="12"/>
      <c r="BD1002" s="11">
        <v>0</v>
      </c>
      <c r="BE1002" s="11">
        <v>0</v>
      </c>
    </row>
    <row x14ac:dyDescent="0.25" r="1003" customHeight="1" ht="17.25">
      <c r="A1003" s="11">
        <v>446299</v>
      </c>
      <c r="B1003" s="4" t="s">
        <v>4602</v>
      </c>
      <c r="C1003" s="5" t="s">
        <v>4603</v>
      </c>
      <c r="D1003" s="5" t="s">
        <v>4604</v>
      </c>
      <c r="E1003" s="12"/>
      <c r="F1003" s="13">
        <f>"0380405849"</f>
      </c>
      <c r="G1003" s="13">
        <f>"9780380405848"</f>
      </c>
      <c r="H1003" s="11">
        <v>0</v>
      </c>
      <c r="I1003" s="14">
        <v>3.92</v>
      </c>
      <c r="J1003" s="7" t="s">
        <v>4605</v>
      </c>
      <c r="K1003" s="5" t="s">
        <v>346</v>
      </c>
      <c r="L1003" s="11">
        <v>352</v>
      </c>
      <c r="M1003" s="11">
        <v>1980</v>
      </c>
      <c r="N1003" s="11">
        <v>1979</v>
      </c>
      <c r="O1003" s="15"/>
      <c r="P1003" s="8">
        <v>45154</v>
      </c>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4" t="s">
        <v>38</v>
      </c>
      <c r="AY1003" s="5" t="s">
        <v>4606</v>
      </c>
      <c r="AZ1003" s="5" t="s">
        <v>38</v>
      </c>
      <c r="BA1003" s="12"/>
      <c r="BB1003" s="12"/>
      <c r="BC1003" s="12"/>
      <c r="BD1003" s="11">
        <v>0</v>
      </c>
      <c r="BE1003" s="11">
        <v>0</v>
      </c>
    </row>
    <row x14ac:dyDescent="0.25" r="1004" customHeight="1" ht="17.25">
      <c r="A1004" s="11">
        <v>301053</v>
      </c>
      <c r="B1004" s="4" t="s">
        <v>4607</v>
      </c>
      <c r="C1004" s="5" t="s">
        <v>4603</v>
      </c>
      <c r="D1004" s="5" t="s">
        <v>4604</v>
      </c>
      <c r="E1004" s="12"/>
      <c r="F1004" s="13">
        <f>"0380783606"</f>
      </c>
      <c r="G1004" s="13">
        <f>"9780380783601"</f>
      </c>
      <c r="H1004" s="11">
        <v>0</v>
      </c>
      <c r="I1004" s="14">
        <v>4.01</v>
      </c>
      <c r="J1004" s="7" t="s">
        <v>4605</v>
      </c>
      <c r="K1004" s="5" t="s">
        <v>346</v>
      </c>
      <c r="L1004" s="11">
        <v>292</v>
      </c>
      <c r="M1004" s="11">
        <v>1981</v>
      </c>
      <c r="N1004" s="11">
        <v>1981</v>
      </c>
      <c r="O1004" s="15"/>
      <c r="P1004" s="8">
        <v>45154</v>
      </c>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4" t="s">
        <v>38</v>
      </c>
      <c r="AY1004" s="5" t="s">
        <v>4608</v>
      </c>
      <c r="AZ1004" s="5" t="s">
        <v>38</v>
      </c>
      <c r="BA1004" s="12"/>
      <c r="BB1004" s="12"/>
      <c r="BC1004" s="12"/>
      <c r="BD1004" s="11">
        <v>0</v>
      </c>
      <c r="BE1004" s="11">
        <v>0</v>
      </c>
    </row>
    <row x14ac:dyDescent="0.25" r="1005" customHeight="1" ht="17.25">
      <c r="A1005" s="11">
        <v>17209459</v>
      </c>
      <c r="B1005" s="4" t="s">
        <v>4609</v>
      </c>
      <c r="C1005" s="5" t="s">
        <v>4610</v>
      </c>
      <c r="D1005" s="5" t="s">
        <v>4611</v>
      </c>
      <c r="E1005" s="12"/>
      <c r="F1005" s="13">
        <f>""</f>
      </c>
      <c r="G1005" s="13">
        <f>""</f>
      </c>
      <c r="H1005" s="11">
        <v>0</v>
      </c>
      <c r="I1005" s="14">
        <v>3.81</v>
      </c>
      <c r="J1005" s="7" t="s">
        <v>138</v>
      </c>
      <c r="K1005" s="5" t="s">
        <v>60</v>
      </c>
      <c r="L1005" s="11">
        <v>165</v>
      </c>
      <c r="M1005" s="11">
        <v>1968</v>
      </c>
      <c r="N1005" s="11">
        <v>1968</v>
      </c>
      <c r="O1005" s="15"/>
      <c r="P1005" s="8">
        <v>45154</v>
      </c>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4" t="s">
        <v>38</v>
      </c>
      <c r="AY1005" s="5" t="s">
        <v>4612</v>
      </c>
      <c r="AZ1005" s="5" t="s">
        <v>38</v>
      </c>
      <c r="BA1005" s="12"/>
      <c r="BB1005" s="12"/>
      <c r="BC1005" s="12"/>
      <c r="BD1005" s="11">
        <v>0</v>
      </c>
      <c r="BE1005" s="11">
        <v>0</v>
      </c>
    </row>
    <row x14ac:dyDescent="0.25" r="1006" customHeight="1" ht="17.25">
      <c r="A1006" s="11">
        <v>27432</v>
      </c>
      <c r="B1006" s="4" t="s">
        <v>4613</v>
      </c>
      <c r="C1006" s="5" t="s">
        <v>2332</v>
      </c>
      <c r="D1006" s="5" t="s">
        <v>2333</v>
      </c>
      <c r="E1006" s="12"/>
      <c r="F1006" s="13">
        <f>"038542339X"</f>
      </c>
      <c r="G1006" s="13">
        <f>"9780385423397"</f>
      </c>
      <c r="H1006" s="11">
        <v>0</v>
      </c>
      <c r="I1006" s="14">
        <v>4.2</v>
      </c>
      <c r="J1006" s="7" t="s">
        <v>2044</v>
      </c>
      <c r="K1006" s="5" t="s">
        <v>60</v>
      </c>
      <c r="L1006" s="11">
        <v>777</v>
      </c>
      <c r="M1006" s="11">
        <v>1995</v>
      </c>
      <c r="N1006" s="11">
        <v>1994</v>
      </c>
      <c r="O1006" s="15"/>
      <c r="P1006" s="8">
        <v>45154</v>
      </c>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4" t="s">
        <v>38</v>
      </c>
      <c r="AY1006" s="5" t="s">
        <v>4614</v>
      </c>
      <c r="AZ1006" s="5" t="s">
        <v>38</v>
      </c>
      <c r="BA1006" s="12"/>
      <c r="BB1006" s="12"/>
      <c r="BC1006" s="12"/>
      <c r="BD1006" s="11">
        <v>0</v>
      </c>
      <c r="BE1006" s="11">
        <v>0</v>
      </c>
    </row>
    <row x14ac:dyDescent="0.25" r="1007" customHeight="1" ht="17.25">
      <c r="A1007" s="11">
        <v>19802</v>
      </c>
      <c r="B1007" s="4" t="s">
        <v>4615</v>
      </c>
      <c r="C1007" s="5" t="s">
        <v>4616</v>
      </c>
      <c r="D1007" s="5" t="s">
        <v>4617</v>
      </c>
      <c r="E1007" s="12"/>
      <c r="F1007" s="13">
        <f>"0316545562"</f>
      </c>
      <c r="G1007" s="13">
        <f>"9780316545563"</f>
      </c>
      <c r="H1007" s="11">
        <v>0</v>
      </c>
      <c r="I1007" s="14">
        <v>3.83</v>
      </c>
      <c r="J1007" s="7" t="s">
        <v>411</v>
      </c>
      <c r="K1007" s="5" t="s">
        <v>60</v>
      </c>
      <c r="L1007" s="11">
        <v>322</v>
      </c>
      <c r="M1007" s="11">
        <v>1993</v>
      </c>
      <c r="N1007" s="11">
        <v>1992</v>
      </c>
      <c r="O1007" s="15"/>
      <c r="P1007" s="8">
        <v>45154</v>
      </c>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4" t="s">
        <v>38</v>
      </c>
      <c r="AY1007" s="5" t="s">
        <v>4618</v>
      </c>
      <c r="AZ1007" s="5" t="s">
        <v>38</v>
      </c>
      <c r="BA1007" s="12"/>
      <c r="BB1007" s="12"/>
      <c r="BC1007" s="12"/>
      <c r="BD1007" s="11">
        <v>0</v>
      </c>
      <c r="BE1007" s="11">
        <v>0</v>
      </c>
    </row>
    <row x14ac:dyDescent="0.25" r="1008" customHeight="1" ht="17.25">
      <c r="A1008" s="11">
        <v>32842454</v>
      </c>
      <c r="B1008" s="4" t="s">
        <v>4619</v>
      </c>
      <c r="C1008" s="5" t="s">
        <v>2126</v>
      </c>
      <c r="D1008" s="5" t="s">
        <v>2127</v>
      </c>
      <c r="E1008" s="5" t="s">
        <v>4620</v>
      </c>
      <c r="F1008" s="13">
        <f>"1524732796"</f>
      </c>
      <c r="G1008" s="13">
        <f>"9781524732790"</f>
      </c>
      <c r="H1008" s="11">
        <v>0</v>
      </c>
      <c r="I1008" s="14">
        <v>3.69</v>
      </c>
      <c r="J1008" s="7" t="s">
        <v>665</v>
      </c>
      <c r="K1008" s="5" t="s">
        <v>72</v>
      </c>
      <c r="L1008" s="11">
        <v>160</v>
      </c>
      <c r="M1008" s="11">
        <v>2017</v>
      </c>
      <c r="N1008" s="11">
        <v>2017</v>
      </c>
      <c r="O1008" s="15"/>
      <c r="P1008" s="8">
        <v>45154</v>
      </c>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4" t="s">
        <v>38</v>
      </c>
      <c r="AY1008" s="5" t="s">
        <v>4621</v>
      </c>
      <c r="AZ1008" s="5" t="s">
        <v>38</v>
      </c>
      <c r="BA1008" s="12"/>
      <c r="BB1008" s="12"/>
      <c r="BC1008" s="12"/>
      <c r="BD1008" s="11">
        <v>0</v>
      </c>
      <c r="BE1008" s="11">
        <v>0</v>
      </c>
    </row>
    <row x14ac:dyDescent="0.25" r="1009" customHeight="1" ht="17.25">
      <c r="A1009" s="11">
        <v>13277571</v>
      </c>
      <c r="B1009" s="4" t="s">
        <v>4622</v>
      </c>
      <c r="C1009" s="5" t="s">
        <v>4623</v>
      </c>
      <c r="D1009" s="5" t="s">
        <v>4624</v>
      </c>
      <c r="E1009" s="5" t="s">
        <v>4625</v>
      </c>
      <c r="F1009" s="13">
        <f>"0062082841"</f>
      </c>
      <c r="G1009" s="13">
        <f>"9780062082848"</f>
      </c>
      <c r="H1009" s="11">
        <v>0</v>
      </c>
      <c r="I1009" s="14">
        <v>4.54</v>
      </c>
      <c r="J1009" s="7" t="s">
        <v>225</v>
      </c>
      <c r="K1009" s="5" t="s">
        <v>72</v>
      </c>
      <c r="L1009" s="11">
        <v>263</v>
      </c>
      <c r="M1009" s="11">
        <v>2013</v>
      </c>
      <c r="N1009" s="11">
        <v>2013</v>
      </c>
      <c r="O1009" s="15"/>
      <c r="P1009" s="8">
        <v>45154</v>
      </c>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4" t="s">
        <v>38</v>
      </c>
      <c r="AY1009" s="5" t="s">
        <v>4626</v>
      </c>
      <c r="AZ1009" s="5" t="s">
        <v>38</v>
      </c>
      <c r="BA1009" s="12"/>
      <c r="BB1009" s="12"/>
      <c r="BC1009" s="12"/>
      <c r="BD1009" s="11">
        <v>0</v>
      </c>
      <c r="BE1009" s="11">
        <v>0</v>
      </c>
    </row>
    <row x14ac:dyDescent="0.25" r="1010" customHeight="1" ht="17.25">
      <c r="A1010" s="11">
        <v>1318452</v>
      </c>
      <c r="B1010" s="4" t="s">
        <v>4627</v>
      </c>
      <c r="C1010" s="5" t="s">
        <v>4628</v>
      </c>
      <c r="D1010" s="5" t="s">
        <v>4629</v>
      </c>
      <c r="E1010" s="12"/>
      <c r="F1010" s="13">
        <f>"0393008533"</f>
      </c>
      <c r="G1010" s="13">
        <f>"9780393008531"</f>
      </c>
      <c r="H1010" s="11">
        <v>0</v>
      </c>
      <c r="I1010" s="14">
        <v>4.16</v>
      </c>
      <c r="J1010" s="7" t="s">
        <v>144</v>
      </c>
      <c r="K1010" s="5" t="s">
        <v>60</v>
      </c>
      <c r="L1010" s="11">
        <v>208</v>
      </c>
      <c r="M1010" s="11">
        <v>1977</v>
      </c>
      <c r="N1010" s="11">
        <v>1973</v>
      </c>
      <c r="O1010" s="15"/>
      <c r="P1010" s="8">
        <v>45154</v>
      </c>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4" t="s">
        <v>38</v>
      </c>
      <c r="AY1010" s="5" t="s">
        <v>4630</v>
      </c>
      <c r="AZ1010" s="5" t="s">
        <v>38</v>
      </c>
      <c r="BA1010" s="12"/>
      <c r="BB1010" s="12"/>
      <c r="BC1010" s="12"/>
      <c r="BD1010" s="11">
        <v>0</v>
      </c>
      <c r="BE1010" s="11">
        <v>0</v>
      </c>
    </row>
    <row x14ac:dyDescent="0.25" r="1011" customHeight="1" ht="17.25">
      <c r="A1011" s="11">
        <v>8647221</v>
      </c>
      <c r="B1011" s="4" t="s">
        <v>4631</v>
      </c>
      <c r="C1011" s="5" t="s">
        <v>4632</v>
      </c>
      <c r="D1011" s="5" t="s">
        <v>4633</v>
      </c>
      <c r="E1011" s="5" t="s">
        <v>4634</v>
      </c>
      <c r="F1011" s="13">
        <f>"1849051070"</f>
      </c>
      <c r="G1011" s="13">
        <f>"9781849051071"</f>
      </c>
      <c r="H1011" s="11">
        <v>0</v>
      </c>
      <c r="I1011" s="14">
        <v>4.55</v>
      </c>
      <c r="J1011" s="7" t="s">
        <v>4635</v>
      </c>
      <c r="K1011" s="5" t="s">
        <v>60</v>
      </c>
      <c r="L1011" s="11">
        <v>240</v>
      </c>
      <c r="M1011" s="11">
        <v>2010</v>
      </c>
      <c r="N1011" s="11">
        <v>2010</v>
      </c>
      <c r="O1011" s="15"/>
      <c r="P1011" s="8">
        <v>45154</v>
      </c>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4" t="s">
        <v>38</v>
      </c>
      <c r="AY1011" s="5" t="s">
        <v>4636</v>
      </c>
      <c r="AZ1011" s="5" t="s">
        <v>38</v>
      </c>
      <c r="BA1011" s="12"/>
      <c r="BB1011" s="12"/>
      <c r="BC1011" s="12"/>
      <c r="BD1011" s="11">
        <v>0</v>
      </c>
      <c r="BE1011" s="11">
        <v>0</v>
      </c>
    </row>
    <row x14ac:dyDescent="0.25" r="1012" customHeight="1" ht="17.25">
      <c r="A1012" s="11">
        <v>14948</v>
      </c>
      <c r="B1012" s="4" t="s">
        <v>4637</v>
      </c>
      <c r="C1012" s="5" t="s">
        <v>4184</v>
      </c>
      <c r="D1012" s="5" t="s">
        <v>4185</v>
      </c>
      <c r="E1012" s="12"/>
      <c r="F1012" s="13">
        <f>"0156027917"</f>
      </c>
      <c r="G1012" s="13">
        <f>"9780156027915"</f>
      </c>
      <c r="H1012" s="11">
        <v>0</v>
      </c>
      <c r="I1012" s="14">
        <v>4.16</v>
      </c>
      <c r="J1012" s="7" t="s">
        <v>4638</v>
      </c>
      <c r="K1012" s="5" t="s">
        <v>60</v>
      </c>
      <c r="L1012" s="11">
        <v>355</v>
      </c>
      <c r="M1012" s="11">
        <v>2003</v>
      </c>
      <c r="N1012" s="11">
        <v>1953</v>
      </c>
      <c r="O1012" s="15"/>
      <c r="P1012" s="8">
        <v>45154</v>
      </c>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4" t="s">
        <v>38</v>
      </c>
      <c r="AY1012" s="5" t="s">
        <v>4639</v>
      </c>
      <c r="AZ1012" s="5" t="s">
        <v>38</v>
      </c>
      <c r="BA1012" s="12"/>
      <c r="BB1012" s="12"/>
      <c r="BC1012" s="12"/>
      <c r="BD1012" s="11">
        <v>0</v>
      </c>
      <c r="BE1012" s="11">
        <v>0</v>
      </c>
    </row>
    <row x14ac:dyDescent="0.25" r="1013" customHeight="1" ht="17.25">
      <c r="A1013" s="11">
        <v>52376</v>
      </c>
      <c r="B1013" s="4" t="s">
        <v>4640</v>
      </c>
      <c r="C1013" s="5" t="s">
        <v>1035</v>
      </c>
      <c r="D1013" s="5" t="s">
        <v>1036</v>
      </c>
      <c r="E1013" s="12"/>
      <c r="F1013" s="13">
        <f>"0312273207"</f>
      </c>
      <c r="G1013" s="13">
        <f>"9780312273200"</f>
      </c>
      <c r="H1013" s="11">
        <v>0</v>
      </c>
      <c r="I1013" s="14">
        <v>3.33</v>
      </c>
      <c r="J1013" s="7" t="s">
        <v>4641</v>
      </c>
      <c r="K1013" s="5" t="s">
        <v>60</v>
      </c>
      <c r="L1013" s="11">
        <v>398</v>
      </c>
      <c r="M1013" s="11">
        <v>2001</v>
      </c>
      <c r="N1013" s="11">
        <v>2000</v>
      </c>
      <c r="O1013" s="15"/>
      <c r="P1013" s="8">
        <v>45154</v>
      </c>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4" t="s">
        <v>38</v>
      </c>
      <c r="AY1013" s="5" t="s">
        <v>4642</v>
      </c>
      <c r="AZ1013" s="5" t="s">
        <v>38</v>
      </c>
      <c r="BA1013" s="12"/>
      <c r="BB1013" s="12"/>
      <c r="BC1013" s="12"/>
      <c r="BD1013" s="11">
        <v>0</v>
      </c>
      <c r="BE1013" s="11">
        <v>0</v>
      </c>
    </row>
    <row x14ac:dyDescent="0.25" r="1014" customHeight="1" ht="17.25">
      <c r="A1014" s="11">
        <v>52380</v>
      </c>
      <c r="B1014" s="4" t="s">
        <v>4643</v>
      </c>
      <c r="C1014" s="5" t="s">
        <v>1035</v>
      </c>
      <c r="D1014" s="5" t="s">
        <v>1036</v>
      </c>
      <c r="E1014" s="12"/>
      <c r="F1014" s="13">
        <f>""</f>
      </c>
      <c r="G1014" s="13">
        <f>"9780312420072"</f>
      </c>
      <c r="H1014" s="11">
        <v>0</v>
      </c>
      <c r="I1014" s="14">
        <v>3.64</v>
      </c>
      <c r="J1014" s="7" t="s">
        <v>975</v>
      </c>
      <c r="K1014" s="5" t="s">
        <v>60</v>
      </c>
      <c r="L1014" s="11">
        <v>432</v>
      </c>
      <c r="M1014" s="11">
        <v>2004</v>
      </c>
      <c r="N1014" s="11">
        <v>1992</v>
      </c>
      <c r="O1014" s="15"/>
      <c r="P1014" s="8">
        <v>45154</v>
      </c>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4" t="s">
        <v>38</v>
      </c>
      <c r="AY1014" s="5" t="s">
        <v>4644</v>
      </c>
      <c r="AZ1014" s="5" t="s">
        <v>38</v>
      </c>
      <c r="BA1014" s="12"/>
      <c r="BB1014" s="12"/>
      <c r="BC1014" s="12"/>
      <c r="BD1014" s="11">
        <v>0</v>
      </c>
      <c r="BE1014" s="11">
        <v>0</v>
      </c>
    </row>
    <row x14ac:dyDescent="0.25" r="1015" customHeight="1" ht="17.25">
      <c r="A1015" s="11">
        <v>6537065</v>
      </c>
      <c r="B1015" s="4" t="s">
        <v>4645</v>
      </c>
      <c r="C1015" s="5" t="s">
        <v>4646</v>
      </c>
      <c r="D1015" s="5" t="s">
        <v>4647</v>
      </c>
      <c r="E1015" s="12"/>
      <c r="F1015" s="13">
        <f>"0786436956"</f>
      </c>
      <c r="G1015" s="13">
        <f>"9780786436958"</f>
      </c>
      <c r="H1015" s="11">
        <v>0</v>
      </c>
      <c r="I1015" s="14">
        <v>3.46</v>
      </c>
      <c r="J1015" s="7" t="s">
        <v>4648</v>
      </c>
      <c r="K1015" s="5" t="s">
        <v>72</v>
      </c>
      <c r="L1015" s="11">
        <v>248</v>
      </c>
      <c r="M1015" s="11">
        <v>2009</v>
      </c>
      <c r="N1015" s="11">
        <v>2009</v>
      </c>
      <c r="O1015" s="15"/>
      <c r="P1015" s="8">
        <v>45153</v>
      </c>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4" t="s">
        <v>38</v>
      </c>
      <c r="AY1015" s="5" t="s">
        <v>4649</v>
      </c>
      <c r="AZ1015" s="5" t="s">
        <v>38</v>
      </c>
      <c r="BA1015" s="12"/>
      <c r="BB1015" s="12"/>
      <c r="BC1015" s="12"/>
      <c r="BD1015" s="11">
        <v>0</v>
      </c>
      <c r="BE1015" s="11">
        <v>0</v>
      </c>
    </row>
    <row x14ac:dyDescent="0.25" r="1016" customHeight="1" ht="17.25">
      <c r="A1016" s="11">
        <v>13650513</v>
      </c>
      <c r="B1016" s="4" t="s">
        <v>4650</v>
      </c>
      <c r="C1016" s="5" t="s">
        <v>1607</v>
      </c>
      <c r="D1016" s="5" t="s">
        <v>1608</v>
      </c>
      <c r="E1016" s="12"/>
      <c r="F1016" s="13">
        <f>"0007461267"</f>
      </c>
      <c r="G1016" s="13">
        <f>"9780007461264"</f>
      </c>
      <c r="H1016" s="11">
        <v>0</v>
      </c>
      <c r="I1016" s="14">
        <v>4.12</v>
      </c>
      <c r="J1016" s="7" t="s">
        <v>4651</v>
      </c>
      <c r="K1016" s="5" t="s">
        <v>60</v>
      </c>
      <c r="L1016" s="11">
        <v>162</v>
      </c>
      <c r="M1016" s="11">
        <v>2012</v>
      </c>
      <c r="N1016" s="11">
        <v>1940</v>
      </c>
      <c r="O1016" s="15"/>
      <c r="P1016" s="8">
        <v>45153</v>
      </c>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4" t="s">
        <v>38</v>
      </c>
      <c r="AY1016" s="5" t="s">
        <v>4652</v>
      </c>
      <c r="AZ1016" s="5" t="s">
        <v>38</v>
      </c>
      <c r="BA1016" s="12"/>
      <c r="BB1016" s="12"/>
      <c r="BC1016" s="12"/>
      <c r="BD1016" s="11">
        <v>0</v>
      </c>
      <c r="BE1016" s="11">
        <v>0</v>
      </c>
    </row>
    <row x14ac:dyDescent="0.25" r="1017" customHeight="1" ht="17.25">
      <c r="A1017" s="11">
        <v>205311</v>
      </c>
      <c r="B1017" s="4" t="s">
        <v>4653</v>
      </c>
      <c r="C1017" s="5" t="s">
        <v>4654</v>
      </c>
      <c r="D1017" s="5" t="s">
        <v>4655</v>
      </c>
      <c r="E1017" s="12"/>
      <c r="F1017" s="13">
        <f>"0340652403"</f>
      </c>
      <c r="G1017" s="13">
        <f>"9780340652404"</f>
      </c>
      <c r="H1017" s="11">
        <v>0</v>
      </c>
      <c r="I1017" s="14">
        <v>3.6</v>
      </c>
      <c r="J1017" s="7" t="s">
        <v>4656</v>
      </c>
      <c r="K1017" s="5" t="s">
        <v>60</v>
      </c>
      <c r="L1017" s="11">
        <v>400</v>
      </c>
      <c r="M1017" s="11">
        <v>2009</v>
      </c>
      <c r="N1017" s="11">
        <v>1996</v>
      </c>
      <c r="O1017" s="15"/>
      <c r="P1017" s="8">
        <v>45153</v>
      </c>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4" t="s">
        <v>38</v>
      </c>
      <c r="AY1017" s="5" t="s">
        <v>4657</v>
      </c>
      <c r="AZ1017" s="5" t="s">
        <v>38</v>
      </c>
      <c r="BA1017" s="12"/>
      <c r="BB1017" s="12"/>
      <c r="BC1017" s="12"/>
      <c r="BD1017" s="11">
        <v>0</v>
      </c>
      <c r="BE1017" s="11">
        <v>0</v>
      </c>
    </row>
    <row x14ac:dyDescent="0.25" r="1018" customHeight="1" ht="17.25">
      <c r="A1018" s="11">
        <v>55711620</v>
      </c>
      <c r="B1018" s="4" t="s">
        <v>4658</v>
      </c>
      <c r="C1018" s="5" t="s">
        <v>4659</v>
      </c>
      <c r="D1018" s="5" t="s">
        <v>4660</v>
      </c>
      <c r="E1018" s="12"/>
      <c r="F1018" s="13">
        <f>"1982140909"</f>
      </c>
      <c r="G1018" s="13">
        <f>"9781982140908"</f>
      </c>
      <c r="H1018" s="11">
        <v>0</v>
      </c>
      <c r="I1018" s="14">
        <v>3.77</v>
      </c>
      <c r="J1018" s="7" t="s">
        <v>4661</v>
      </c>
      <c r="K1018" s="5" t="s">
        <v>72</v>
      </c>
      <c r="L1018" s="11">
        <v>272</v>
      </c>
      <c r="M1018" s="11">
        <v>2021</v>
      </c>
      <c r="N1018" s="11">
        <v>2021</v>
      </c>
      <c r="O1018" s="15"/>
      <c r="P1018" s="8">
        <v>45153</v>
      </c>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4" t="s">
        <v>38</v>
      </c>
      <c r="AY1018" s="5" t="s">
        <v>4662</v>
      </c>
      <c r="AZ1018" s="5" t="s">
        <v>38</v>
      </c>
      <c r="BA1018" s="12"/>
      <c r="BB1018" s="12"/>
      <c r="BC1018" s="12"/>
      <c r="BD1018" s="11">
        <v>0</v>
      </c>
      <c r="BE1018" s="11">
        <v>0</v>
      </c>
    </row>
    <row x14ac:dyDescent="0.25" r="1019" customHeight="1" ht="17.25">
      <c r="A1019" s="11">
        <v>55766187</v>
      </c>
      <c r="B1019" s="4" t="s">
        <v>4663</v>
      </c>
      <c r="C1019" s="5" t="s">
        <v>4664</v>
      </c>
      <c r="D1019" s="5" t="s">
        <v>4665</v>
      </c>
      <c r="E1019" s="12"/>
      <c r="F1019" s="13">
        <f>"1999922379"</f>
      </c>
      <c r="G1019" s="13">
        <f>"9781999922375"</f>
      </c>
      <c r="H1019" s="11">
        <v>0</v>
      </c>
      <c r="I1019" s="14">
        <v>4.34</v>
      </c>
      <c r="J1019" s="7" t="s">
        <v>4666</v>
      </c>
      <c r="K1019" s="5" t="s">
        <v>60</v>
      </c>
      <c r="L1019" s="11">
        <v>128</v>
      </c>
      <c r="M1019" s="11">
        <v>2020</v>
      </c>
      <c r="N1019" s="11">
        <v>2020</v>
      </c>
      <c r="O1019" s="15"/>
      <c r="P1019" s="8">
        <v>45153</v>
      </c>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4" t="s">
        <v>38</v>
      </c>
      <c r="AY1019" s="5" t="s">
        <v>4667</v>
      </c>
      <c r="AZ1019" s="5" t="s">
        <v>38</v>
      </c>
      <c r="BA1019" s="12"/>
      <c r="BB1019" s="12"/>
      <c r="BC1019" s="12"/>
      <c r="BD1019" s="11">
        <v>0</v>
      </c>
      <c r="BE1019" s="11">
        <v>0</v>
      </c>
    </row>
    <row x14ac:dyDescent="0.25" r="1020" customHeight="1" ht="17.25">
      <c r="A1020" s="11">
        <v>39999461</v>
      </c>
      <c r="B1020" s="4" t="s">
        <v>4668</v>
      </c>
      <c r="C1020" s="5" t="s">
        <v>4669</v>
      </c>
      <c r="D1020" s="5" t="s">
        <v>4670</v>
      </c>
      <c r="E1020" s="12"/>
      <c r="F1020" s="13">
        <f>"0385542844"</f>
      </c>
      <c r="G1020" s="13">
        <f>"9780385542845"</f>
      </c>
      <c r="H1020" s="11">
        <v>0</v>
      </c>
      <c r="I1020" s="14">
        <v>4.12</v>
      </c>
      <c r="J1020" s="7" t="s">
        <v>716</v>
      </c>
      <c r="K1020" s="5" t="s">
        <v>72</v>
      </c>
      <c r="L1020" s="11">
        <v>243</v>
      </c>
      <c r="M1020" s="11">
        <v>2019</v>
      </c>
      <c r="N1020" s="11">
        <v>2019</v>
      </c>
      <c r="O1020" s="15"/>
      <c r="P1020" s="8">
        <v>45153</v>
      </c>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4" t="s">
        <v>38</v>
      </c>
      <c r="AY1020" s="5" t="s">
        <v>4671</v>
      </c>
      <c r="AZ1020" s="5" t="s">
        <v>38</v>
      </c>
      <c r="BA1020" s="12"/>
      <c r="BB1020" s="12"/>
      <c r="BC1020" s="12"/>
      <c r="BD1020" s="11">
        <v>0</v>
      </c>
      <c r="BE1020" s="11">
        <v>0</v>
      </c>
    </row>
    <row x14ac:dyDescent="0.25" r="1021" customHeight="1" ht="17.25">
      <c r="A1021" s="11">
        <v>26530383</v>
      </c>
      <c r="B1021" s="4" t="s">
        <v>4672</v>
      </c>
      <c r="C1021" s="5" t="s">
        <v>4673</v>
      </c>
      <c r="D1021" s="5" t="s">
        <v>4674</v>
      </c>
      <c r="E1021" s="12"/>
      <c r="F1021" s="13">
        <f>"0393352986"</f>
      </c>
      <c r="G1021" s="13">
        <f>"9780393352986"</f>
      </c>
      <c r="H1021" s="11">
        <v>0</v>
      </c>
      <c r="I1021" s="14">
        <v>4.08</v>
      </c>
      <c r="J1021" s="7" t="s">
        <v>144</v>
      </c>
      <c r="K1021" s="5" t="s">
        <v>60</v>
      </c>
      <c r="L1021" s="11">
        <v>512</v>
      </c>
      <c r="M1021" s="11">
        <v>2016</v>
      </c>
      <c r="N1021" s="11">
        <v>2000</v>
      </c>
      <c r="O1021" s="15"/>
      <c r="P1021" s="8">
        <v>45153</v>
      </c>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4" t="s">
        <v>38</v>
      </c>
      <c r="AY1021" s="5" t="s">
        <v>4675</v>
      </c>
      <c r="AZ1021" s="5" t="s">
        <v>38</v>
      </c>
      <c r="BA1021" s="12"/>
      <c r="BB1021" s="12"/>
      <c r="BC1021" s="12"/>
      <c r="BD1021" s="11">
        <v>0</v>
      </c>
      <c r="BE1021" s="11">
        <v>0</v>
      </c>
    </row>
    <row x14ac:dyDescent="0.25" r="1022" customHeight="1" ht="17.25">
      <c r="A1022" s="11">
        <v>27558403</v>
      </c>
      <c r="B1022" s="4" t="s">
        <v>4676</v>
      </c>
      <c r="C1022" s="5" t="s">
        <v>4677</v>
      </c>
      <c r="D1022" s="5" t="s">
        <v>4678</v>
      </c>
      <c r="E1022" s="12"/>
      <c r="F1022" s="13">
        <f>"1479881708"</f>
      </c>
      <c r="G1022" s="13">
        <f>"9781479881703"</f>
      </c>
      <c r="H1022" s="11">
        <v>0</v>
      </c>
      <c r="I1022" s="14">
        <v>3.5</v>
      </c>
      <c r="J1022" s="7" t="s">
        <v>807</v>
      </c>
      <c r="K1022" s="5" t="s">
        <v>72</v>
      </c>
      <c r="L1022" s="11">
        <v>256</v>
      </c>
      <c r="M1022" s="11">
        <v>2016</v>
      </c>
      <c r="N1022" s="11">
        <v>2016</v>
      </c>
      <c r="O1022" s="15"/>
      <c r="P1022" s="8">
        <v>45153</v>
      </c>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4" t="s">
        <v>38</v>
      </c>
      <c r="AY1022" s="5" t="s">
        <v>4679</v>
      </c>
      <c r="AZ1022" s="5" t="s">
        <v>38</v>
      </c>
      <c r="BA1022" s="12"/>
      <c r="BB1022" s="12"/>
      <c r="BC1022" s="12"/>
      <c r="BD1022" s="11">
        <v>0</v>
      </c>
      <c r="BE1022" s="11">
        <v>0</v>
      </c>
    </row>
    <row x14ac:dyDescent="0.25" r="1023" customHeight="1" ht="17.25">
      <c r="A1023" s="11">
        <v>34858587</v>
      </c>
      <c r="B1023" s="4" t="s">
        <v>4680</v>
      </c>
      <c r="C1023" s="5" t="s">
        <v>4681</v>
      </c>
      <c r="D1023" s="5" t="s">
        <v>4682</v>
      </c>
      <c r="E1023" s="12"/>
      <c r="F1023" s="13">
        <f>"1785355449"</f>
      </c>
      <c r="G1023" s="13">
        <f>"9781785355448"</f>
      </c>
      <c r="H1023" s="11">
        <v>0</v>
      </c>
      <c r="I1023" s="14">
        <v>3.46</v>
      </c>
      <c r="J1023" s="7" t="s">
        <v>2240</v>
      </c>
      <c r="K1023" s="5" t="s">
        <v>96</v>
      </c>
      <c r="L1023" s="11">
        <v>136</v>
      </c>
      <c r="M1023" s="11">
        <v>2017</v>
      </c>
      <c r="N1023" s="11">
        <v>2017</v>
      </c>
      <c r="O1023" s="15"/>
      <c r="P1023" s="8">
        <v>45153</v>
      </c>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4" t="s">
        <v>38</v>
      </c>
      <c r="AY1023" s="5" t="s">
        <v>4683</v>
      </c>
      <c r="AZ1023" s="5" t="s">
        <v>38</v>
      </c>
      <c r="BA1023" s="12"/>
      <c r="BB1023" s="12"/>
      <c r="BC1023" s="12"/>
      <c r="BD1023" s="11">
        <v>0</v>
      </c>
      <c r="BE1023" s="11">
        <v>0</v>
      </c>
    </row>
    <row x14ac:dyDescent="0.25" r="1024" customHeight="1" ht="17.25">
      <c r="A1024" s="11">
        <v>57933306</v>
      </c>
      <c r="B1024" s="4" t="s">
        <v>4684</v>
      </c>
      <c r="C1024" s="5" t="s">
        <v>4685</v>
      </c>
      <c r="D1024" s="5" t="s">
        <v>4686</v>
      </c>
      <c r="E1024" s="12"/>
      <c r="F1024" s="13">
        <f>"0593138511"</f>
      </c>
      <c r="G1024" s="13">
        <f>"9780593138519"</f>
      </c>
      <c r="H1024" s="11">
        <v>0</v>
      </c>
      <c r="I1024" s="14">
        <v>4.25</v>
      </c>
      <c r="J1024" s="7" t="s">
        <v>3196</v>
      </c>
      <c r="K1024" s="5" t="s">
        <v>72</v>
      </c>
      <c r="L1024" s="11">
        <v>357</v>
      </c>
      <c r="M1024" s="11">
        <v>2022</v>
      </c>
      <c r="N1024" s="11">
        <v>2022</v>
      </c>
      <c r="O1024" s="15"/>
      <c r="P1024" s="8">
        <v>45153</v>
      </c>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4" t="s">
        <v>38</v>
      </c>
      <c r="AY1024" s="5" t="s">
        <v>4687</v>
      </c>
      <c r="AZ1024" s="5" t="s">
        <v>38</v>
      </c>
      <c r="BA1024" s="12"/>
      <c r="BB1024" s="12"/>
      <c r="BC1024" s="12"/>
      <c r="BD1024" s="11">
        <v>0</v>
      </c>
      <c r="BE1024" s="11">
        <v>0</v>
      </c>
    </row>
    <row x14ac:dyDescent="0.25" r="1025" customHeight="1" ht="17.25">
      <c r="A1025" s="11">
        <v>53173189</v>
      </c>
      <c r="B1025" s="4" t="s">
        <v>4688</v>
      </c>
      <c r="C1025" s="5" t="s">
        <v>4689</v>
      </c>
      <c r="D1025" s="5" t="s">
        <v>4690</v>
      </c>
      <c r="E1025" s="5" t="s">
        <v>4691</v>
      </c>
      <c r="F1025" s="13">
        <f>"0486843173"</f>
      </c>
      <c r="G1025" s="13">
        <f>"9780486843179"</f>
      </c>
      <c r="H1025" s="11">
        <v>0</v>
      </c>
      <c r="I1025" s="14">
        <v>3.83</v>
      </c>
      <c r="J1025" s="7" t="s">
        <v>571</v>
      </c>
      <c r="K1025" s="5" t="s">
        <v>60</v>
      </c>
      <c r="L1025" s="11">
        <v>112</v>
      </c>
      <c r="M1025" s="11">
        <v>2020</v>
      </c>
      <c r="N1025" s="11">
        <v>1905</v>
      </c>
      <c r="O1025" s="15"/>
      <c r="P1025" s="8">
        <v>45153</v>
      </c>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4" t="s">
        <v>38</v>
      </c>
      <c r="AY1025" s="5" t="s">
        <v>4692</v>
      </c>
      <c r="AZ1025" s="5" t="s">
        <v>38</v>
      </c>
      <c r="BA1025" s="12"/>
      <c r="BB1025" s="12"/>
      <c r="BC1025" s="12"/>
      <c r="BD1025" s="11">
        <v>0</v>
      </c>
      <c r="BE1025" s="11">
        <v>0</v>
      </c>
    </row>
    <row x14ac:dyDescent="0.25" r="1026" customHeight="1" ht="17.25">
      <c r="A1026" s="11">
        <v>1185604</v>
      </c>
      <c r="B1026" s="4" t="s">
        <v>4693</v>
      </c>
      <c r="C1026" s="5" t="s">
        <v>4694</v>
      </c>
      <c r="D1026" s="5" t="s">
        <v>4695</v>
      </c>
      <c r="E1026" s="12"/>
      <c r="F1026" s="13">
        <f>"0486231240"</f>
      </c>
      <c r="G1026" s="13">
        <f>"9780486231242"</f>
      </c>
      <c r="H1026" s="11">
        <v>0</v>
      </c>
      <c r="I1026" s="14">
        <v>3.77</v>
      </c>
      <c r="J1026" s="7" t="s">
        <v>571</v>
      </c>
      <c r="K1026" s="5" t="s">
        <v>60</v>
      </c>
      <c r="L1026" s="11">
        <v>384</v>
      </c>
      <c r="M1026" s="11">
        <v>2011</v>
      </c>
      <c r="N1026" s="11">
        <v>1975</v>
      </c>
      <c r="O1026" s="15"/>
      <c r="P1026" s="8">
        <v>45153</v>
      </c>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4" t="s">
        <v>38</v>
      </c>
      <c r="AY1026" s="5" t="s">
        <v>4696</v>
      </c>
      <c r="AZ1026" s="5" t="s">
        <v>38</v>
      </c>
      <c r="BA1026" s="12"/>
      <c r="BB1026" s="12"/>
      <c r="BC1026" s="12"/>
      <c r="BD1026" s="11">
        <v>0</v>
      </c>
      <c r="BE1026" s="11">
        <v>0</v>
      </c>
    </row>
    <row x14ac:dyDescent="0.25" r="1027" customHeight="1" ht="17.25">
      <c r="A1027" s="11">
        <v>1270229</v>
      </c>
      <c r="B1027" s="4" t="s">
        <v>4697</v>
      </c>
      <c r="C1027" s="5" t="s">
        <v>4698</v>
      </c>
      <c r="D1027" s="5" t="s">
        <v>4699</v>
      </c>
      <c r="E1027" s="12"/>
      <c r="F1027" s="13">
        <f>"0262640317"</f>
      </c>
      <c r="G1027" s="13">
        <f>"9780262640312"</f>
      </c>
      <c r="H1027" s="11">
        <v>0</v>
      </c>
      <c r="I1027" s="14">
        <v>4.57</v>
      </c>
      <c r="J1027" s="7" t="s">
        <v>4458</v>
      </c>
      <c r="K1027" s="5" t="s">
        <v>60</v>
      </c>
      <c r="L1027" s="16"/>
      <c r="M1027" s="11">
        <v>1993</v>
      </c>
      <c r="N1027" s="11">
        <v>1989</v>
      </c>
      <c r="O1027" s="15"/>
      <c r="P1027" s="8">
        <v>45153</v>
      </c>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4" t="s">
        <v>38</v>
      </c>
      <c r="AY1027" s="5" t="s">
        <v>4700</v>
      </c>
      <c r="AZ1027" s="5" t="s">
        <v>38</v>
      </c>
      <c r="BA1027" s="12"/>
      <c r="BB1027" s="12"/>
      <c r="BC1027" s="12"/>
      <c r="BD1027" s="11">
        <v>0</v>
      </c>
      <c r="BE1027" s="11">
        <v>0</v>
      </c>
    </row>
    <row x14ac:dyDescent="0.25" r="1028" customHeight="1" ht="17.25">
      <c r="A1028" s="11">
        <v>1281898</v>
      </c>
      <c r="B1028" s="4" t="s">
        <v>4701</v>
      </c>
      <c r="C1028" s="5" t="s">
        <v>4702</v>
      </c>
      <c r="D1028" s="5" t="s">
        <v>4703</v>
      </c>
      <c r="E1028" s="12"/>
      <c r="F1028" s="13">
        <f>"0262610825"</f>
      </c>
      <c r="G1028" s="13">
        <f>"9780262610827"</f>
      </c>
      <c r="H1028" s="11">
        <v>0</v>
      </c>
      <c r="I1028" s="14">
        <v>4.33</v>
      </c>
      <c r="J1028" s="7" t="s">
        <v>4458</v>
      </c>
      <c r="K1028" s="5" t="s">
        <v>60</v>
      </c>
      <c r="L1028" s="16"/>
      <c r="M1028" s="11">
        <v>1992</v>
      </c>
      <c r="N1028" s="11">
        <v>1990</v>
      </c>
      <c r="O1028" s="15"/>
      <c r="P1028" s="8">
        <v>45153</v>
      </c>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4" t="s">
        <v>38</v>
      </c>
      <c r="AY1028" s="5" t="s">
        <v>4704</v>
      </c>
      <c r="AZ1028" s="5" t="s">
        <v>38</v>
      </c>
      <c r="BA1028" s="12"/>
      <c r="BB1028" s="12"/>
      <c r="BC1028" s="12"/>
      <c r="BD1028" s="11">
        <v>0</v>
      </c>
      <c r="BE1028" s="11">
        <v>0</v>
      </c>
    </row>
    <row x14ac:dyDescent="0.25" r="1029" customHeight="1" ht="17.25">
      <c r="A1029" s="11">
        <v>333832</v>
      </c>
      <c r="B1029" s="4" t="s">
        <v>4705</v>
      </c>
      <c r="C1029" s="5" t="s">
        <v>4706</v>
      </c>
      <c r="D1029" s="5" t="s">
        <v>4707</v>
      </c>
      <c r="E1029" s="12"/>
      <c r="F1029" s="13">
        <f>"0674411528"</f>
      </c>
      <c r="G1029" s="13">
        <f>"9780674411524"</f>
      </c>
      <c r="H1029" s="11">
        <v>0</v>
      </c>
      <c r="I1029" s="14">
        <v>3.91</v>
      </c>
      <c r="J1029" s="7" t="s">
        <v>138</v>
      </c>
      <c r="K1029" s="5" t="s">
        <v>60</v>
      </c>
      <c r="L1029" s="11">
        <v>168</v>
      </c>
      <c r="M1029" s="11">
        <v>1976</v>
      </c>
      <c r="N1029" s="11">
        <v>1955</v>
      </c>
      <c r="O1029" s="15"/>
      <c r="P1029" s="8">
        <v>45153</v>
      </c>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4" t="s">
        <v>38</v>
      </c>
      <c r="AY1029" s="5" t="s">
        <v>4708</v>
      </c>
      <c r="AZ1029" s="5" t="s">
        <v>38</v>
      </c>
      <c r="BA1029" s="12"/>
      <c r="BB1029" s="12"/>
      <c r="BC1029" s="12"/>
      <c r="BD1029" s="11">
        <v>0</v>
      </c>
      <c r="BE1029" s="11">
        <v>0</v>
      </c>
    </row>
    <row x14ac:dyDescent="0.25" r="1030" customHeight="1" ht="17.25">
      <c r="A1030" s="11">
        <v>694962</v>
      </c>
      <c r="B1030" s="4" t="s">
        <v>4709</v>
      </c>
      <c r="C1030" s="5" t="s">
        <v>4710</v>
      </c>
      <c r="D1030" s="5" t="s">
        <v>4711</v>
      </c>
      <c r="E1030" s="12"/>
      <c r="F1030" s="13">
        <f>"0521483476"</f>
      </c>
      <c r="G1030" s="13">
        <f>"9780521483476"</f>
      </c>
      <c r="H1030" s="11">
        <v>0</v>
      </c>
      <c r="I1030" s="14">
        <v>3.69</v>
      </c>
      <c r="J1030" s="7" t="s">
        <v>636</v>
      </c>
      <c r="K1030" s="5" t="s">
        <v>60</v>
      </c>
      <c r="L1030" s="11">
        <v>175</v>
      </c>
      <c r="M1030" s="11">
        <v>1995</v>
      </c>
      <c r="N1030" s="11">
        <v>1988</v>
      </c>
      <c r="O1030" s="15"/>
      <c r="P1030" s="8">
        <v>45153</v>
      </c>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4" t="s">
        <v>38</v>
      </c>
      <c r="AY1030" s="5" t="s">
        <v>4712</v>
      </c>
      <c r="AZ1030" s="5" t="s">
        <v>38</v>
      </c>
      <c r="BA1030" s="12"/>
      <c r="BB1030" s="12"/>
      <c r="BC1030" s="12"/>
      <c r="BD1030" s="11">
        <v>0</v>
      </c>
      <c r="BE1030" s="11">
        <v>0</v>
      </c>
    </row>
    <row x14ac:dyDescent="0.25" r="1031" customHeight="1" ht="17.25">
      <c r="A1031" s="11">
        <v>7507561</v>
      </c>
      <c r="B1031" s="4" t="s">
        <v>4713</v>
      </c>
      <c r="C1031" s="5" t="s">
        <v>4714</v>
      </c>
      <c r="D1031" s="5" t="s">
        <v>4715</v>
      </c>
      <c r="E1031" s="12"/>
      <c r="F1031" s="13">
        <f>"1402768966"</f>
      </c>
      <c r="G1031" s="13">
        <f>"9781402768965"</f>
      </c>
      <c r="H1031" s="11">
        <v>0</v>
      </c>
      <c r="I1031" s="14">
        <v>3.31</v>
      </c>
      <c r="J1031" s="7" t="s">
        <v>4716</v>
      </c>
      <c r="K1031" s="5" t="s">
        <v>72</v>
      </c>
      <c r="L1031" s="11">
        <v>182</v>
      </c>
      <c r="M1031" s="11">
        <v>2010</v>
      </c>
      <c r="N1031" s="11">
        <v>2000</v>
      </c>
      <c r="O1031" s="15"/>
      <c r="P1031" s="8">
        <v>45153</v>
      </c>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4" t="s">
        <v>38</v>
      </c>
      <c r="AY1031" s="5" t="s">
        <v>4717</v>
      </c>
      <c r="AZ1031" s="5" t="s">
        <v>38</v>
      </c>
      <c r="BA1031" s="12"/>
      <c r="BB1031" s="12"/>
      <c r="BC1031" s="12"/>
      <c r="BD1031" s="11">
        <v>0</v>
      </c>
      <c r="BE1031" s="11">
        <v>0</v>
      </c>
    </row>
    <row x14ac:dyDescent="0.25" r="1032" customHeight="1" ht="17.25">
      <c r="A1032" s="11">
        <v>2003208</v>
      </c>
      <c r="B1032" s="4" t="s">
        <v>4718</v>
      </c>
      <c r="C1032" s="5" t="s">
        <v>4719</v>
      </c>
      <c r="D1032" s="5" t="s">
        <v>4720</v>
      </c>
      <c r="E1032" s="12"/>
      <c r="F1032" s="13">
        <f>"0521008042"</f>
      </c>
      <c r="G1032" s="13">
        <f>"9780521008044"</f>
      </c>
      <c r="H1032" s="11">
        <v>0</v>
      </c>
      <c r="I1032" s="14">
        <v>3.9</v>
      </c>
      <c r="J1032" s="7" t="s">
        <v>636</v>
      </c>
      <c r="K1032" s="5" t="s">
        <v>60</v>
      </c>
      <c r="L1032" s="11">
        <v>364</v>
      </c>
      <c r="M1032" s="11">
        <v>2003</v>
      </c>
      <c r="N1032" s="11">
        <v>2003</v>
      </c>
      <c r="O1032" s="15"/>
      <c r="P1032" s="8">
        <v>45153</v>
      </c>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4" t="s">
        <v>38</v>
      </c>
      <c r="AY1032" s="5" t="s">
        <v>4721</v>
      </c>
      <c r="AZ1032" s="5" t="s">
        <v>38</v>
      </c>
      <c r="BA1032" s="12"/>
      <c r="BB1032" s="12"/>
      <c r="BC1032" s="12"/>
      <c r="BD1032" s="11">
        <v>0</v>
      </c>
      <c r="BE1032" s="11">
        <v>0</v>
      </c>
    </row>
    <row x14ac:dyDescent="0.25" r="1033" customHeight="1" ht="17.25">
      <c r="A1033" s="11">
        <v>1477372</v>
      </c>
      <c r="B1033" s="4" t="s">
        <v>4722</v>
      </c>
      <c r="C1033" s="5" t="s">
        <v>4723</v>
      </c>
      <c r="D1033" s="5" t="s">
        <v>4724</v>
      </c>
      <c r="E1033" s="12"/>
      <c r="F1033" s="13">
        <f>"0415290317"</f>
      </c>
      <c r="G1033" s="13">
        <f>"9780415290319"</f>
      </c>
      <c r="H1033" s="11">
        <v>0</v>
      </c>
      <c r="I1033" s="14">
        <v>3.67</v>
      </c>
      <c r="J1033" s="7" t="s">
        <v>163</v>
      </c>
      <c r="K1033" s="5" t="s">
        <v>60</v>
      </c>
      <c r="L1033" s="11">
        <v>272</v>
      </c>
      <c r="M1033" s="11">
        <v>2003</v>
      </c>
      <c r="N1033" s="11">
        <v>1996</v>
      </c>
      <c r="O1033" s="15"/>
      <c r="P1033" s="8">
        <v>45153</v>
      </c>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4" t="s">
        <v>38</v>
      </c>
      <c r="AY1033" s="5" t="s">
        <v>4725</v>
      </c>
      <c r="AZ1033" s="5" t="s">
        <v>38</v>
      </c>
      <c r="BA1033" s="12"/>
      <c r="BB1033" s="12"/>
      <c r="BC1033" s="12"/>
      <c r="BD1033" s="11">
        <v>0</v>
      </c>
      <c r="BE1033" s="11">
        <v>0</v>
      </c>
    </row>
    <row x14ac:dyDescent="0.25" r="1034" customHeight="1" ht="17.25">
      <c r="A1034" s="11">
        <v>53148</v>
      </c>
      <c r="B1034" s="4" t="s">
        <v>4726</v>
      </c>
      <c r="C1034" s="5" t="s">
        <v>4727</v>
      </c>
      <c r="D1034" s="5" t="s">
        <v>4728</v>
      </c>
      <c r="E1034" s="12"/>
      <c r="F1034" s="13">
        <f>"0192853775"</f>
      </c>
      <c r="G1034" s="13">
        <f>"9780192853776"</f>
      </c>
      <c r="H1034" s="11">
        <v>0</v>
      </c>
      <c r="I1034" s="14">
        <v>3.6</v>
      </c>
      <c r="J1034" s="7" t="s">
        <v>245</v>
      </c>
      <c r="K1034" s="5" t="s">
        <v>60</v>
      </c>
      <c r="L1034" s="11">
        <v>172</v>
      </c>
      <c r="M1034" s="11">
        <v>2003</v>
      </c>
      <c r="N1034" s="11">
        <v>2001</v>
      </c>
      <c r="O1034" s="15"/>
      <c r="P1034" s="8">
        <v>45153</v>
      </c>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4" t="s">
        <v>38</v>
      </c>
      <c r="AY1034" s="5" t="s">
        <v>4729</v>
      </c>
      <c r="AZ1034" s="5" t="s">
        <v>38</v>
      </c>
      <c r="BA1034" s="12"/>
      <c r="BB1034" s="12"/>
      <c r="BC1034" s="12"/>
      <c r="BD1034" s="11">
        <v>0</v>
      </c>
      <c r="BE1034" s="11">
        <v>0</v>
      </c>
    </row>
    <row x14ac:dyDescent="0.25" r="1035" customHeight="1" ht="17.25">
      <c r="A1035" s="11">
        <v>584608</v>
      </c>
      <c r="B1035" s="4" t="s">
        <v>4730</v>
      </c>
      <c r="C1035" s="5" t="s">
        <v>4731</v>
      </c>
      <c r="D1035" s="5" t="s">
        <v>4732</v>
      </c>
      <c r="E1035" s="12"/>
      <c r="F1035" s="13">
        <f>"0486200108"</f>
      </c>
      <c r="G1035" s="13">
        <f>"9780486200101"</f>
      </c>
      <c r="H1035" s="11">
        <v>0</v>
      </c>
      <c r="I1035" s="14">
        <v>3.76</v>
      </c>
      <c r="J1035" s="7" t="s">
        <v>4733</v>
      </c>
      <c r="K1035" s="5" t="s">
        <v>60</v>
      </c>
      <c r="L1035" s="11">
        <v>160</v>
      </c>
      <c r="M1035" s="11">
        <v>1952</v>
      </c>
      <c r="N1035" s="11">
        <v>1936</v>
      </c>
      <c r="O1035" s="15"/>
      <c r="P1035" s="8">
        <v>45153</v>
      </c>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4" t="s">
        <v>38</v>
      </c>
      <c r="AY1035" s="5" t="s">
        <v>4734</v>
      </c>
      <c r="AZ1035" s="5" t="s">
        <v>38</v>
      </c>
      <c r="BA1035" s="12"/>
      <c r="BB1035" s="12"/>
      <c r="BC1035" s="12"/>
      <c r="BD1035" s="11">
        <v>0</v>
      </c>
      <c r="BE1035" s="11">
        <v>0</v>
      </c>
    </row>
    <row x14ac:dyDescent="0.25" r="1036" customHeight="1" ht="17.25">
      <c r="A1036" s="11">
        <v>3206523</v>
      </c>
      <c r="B1036" s="4" t="s">
        <v>4735</v>
      </c>
      <c r="C1036" s="5" t="s">
        <v>4736</v>
      </c>
      <c r="D1036" s="5" t="s">
        <v>4737</v>
      </c>
      <c r="E1036" s="12"/>
      <c r="F1036" s="13">
        <f>"0195300343"</f>
      </c>
      <c r="G1036" s="13">
        <f>"9780195300345"</f>
      </c>
      <c r="H1036" s="11">
        <v>0</v>
      </c>
      <c r="I1036" s="14">
        <v>3.68</v>
      </c>
      <c r="J1036" s="7" t="s">
        <v>1215</v>
      </c>
      <c r="K1036" s="5" t="s">
        <v>72</v>
      </c>
      <c r="L1036" s="11">
        <v>144</v>
      </c>
      <c r="M1036" s="11">
        <v>2005</v>
      </c>
      <c r="N1036" s="11">
        <v>2005</v>
      </c>
      <c r="O1036" s="15"/>
      <c r="P1036" s="8">
        <v>45153</v>
      </c>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4" t="s">
        <v>38</v>
      </c>
      <c r="AY1036" s="5" t="s">
        <v>4738</v>
      </c>
      <c r="AZ1036" s="5" t="s">
        <v>38</v>
      </c>
      <c r="BA1036" s="12"/>
      <c r="BB1036" s="12"/>
      <c r="BC1036" s="12"/>
      <c r="BD1036" s="11">
        <v>0</v>
      </c>
      <c r="BE1036" s="11">
        <v>0</v>
      </c>
    </row>
    <row x14ac:dyDescent="0.25" r="1037" customHeight="1" ht="17.25">
      <c r="A1037" s="11">
        <v>5786</v>
      </c>
      <c r="B1037" s="4" t="s">
        <v>4739</v>
      </c>
      <c r="C1037" s="5" t="s">
        <v>4740</v>
      </c>
      <c r="D1037" s="5" t="s">
        <v>4741</v>
      </c>
      <c r="E1037" s="12"/>
      <c r="F1037" s="13">
        <f>"0743422996"</f>
      </c>
      <c r="G1037" s="13">
        <f>"9780743422994"</f>
      </c>
      <c r="H1037" s="11">
        <v>0</v>
      </c>
      <c r="I1037" s="14">
        <v>3.88</v>
      </c>
      <c r="J1037" s="7" t="s">
        <v>1197</v>
      </c>
      <c r="K1037" s="5" t="s">
        <v>60</v>
      </c>
      <c r="L1037" s="11">
        <v>258</v>
      </c>
      <c r="M1037" s="11">
        <v>2001</v>
      </c>
      <c r="N1037" s="11">
        <v>2000</v>
      </c>
      <c r="O1037" s="15"/>
      <c r="P1037" s="8">
        <v>45153</v>
      </c>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4" t="s">
        <v>38</v>
      </c>
      <c r="AY1037" s="5" t="s">
        <v>4742</v>
      </c>
      <c r="AZ1037" s="5" t="s">
        <v>38</v>
      </c>
      <c r="BA1037" s="12"/>
      <c r="BB1037" s="12"/>
      <c r="BC1037" s="12"/>
      <c r="BD1037" s="11">
        <v>0</v>
      </c>
      <c r="BE1037" s="11">
        <v>0</v>
      </c>
    </row>
    <row x14ac:dyDescent="0.25" r="1038" customHeight="1" ht="17.25">
      <c r="A1038" s="11">
        <v>163786</v>
      </c>
      <c r="B1038" s="4" t="s">
        <v>4743</v>
      </c>
      <c r="C1038" s="5" t="s">
        <v>4744</v>
      </c>
      <c r="D1038" s="5" t="s">
        <v>4745</v>
      </c>
      <c r="E1038" s="12"/>
      <c r="F1038" s="13">
        <f>"0486604535"</f>
      </c>
      <c r="G1038" s="13">
        <f>"9780486604534"</f>
      </c>
      <c r="H1038" s="11">
        <v>0</v>
      </c>
      <c r="I1038" s="14">
        <v>3.92</v>
      </c>
      <c r="J1038" s="7" t="s">
        <v>4746</v>
      </c>
      <c r="K1038" s="5" t="s">
        <v>60</v>
      </c>
      <c r="L1038" s="11">
        <v>272</v>
      </c>
      <c r="M1038" s="11">
        <v>2011</v>
      </c>
      <c r="N1038" s="11">
        <v>1954</v>
      </c>
      <c r="O1038" s="15"/>
      <c r="P1038" s="8">
        <v>45153</v>
      </c>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4" t="s">
        <v>38</v>
      </c>
      <c r="AY1038" s="5" t="s">
        <v>4747</v>
      </c>
      <c r="AZ1038" s="5" t="s">
        <v>38</v>
      </c>
      <c r="BA1038" s="12"/>
      <c r="BB1038" s="12"/>
      <c r="BC1038" s="12"/>
      <c r="BD1038" s="11">
        <v>0</v>
      </c>
      <c r="BE1038" s="11">
        <v>0</v>
      </c>
    </row>
    <row x14ac:dyDescent="0.25" r="1039" customHeight="1" ht="17.25">
      <c r="A1039" s="11">
        <v>7155665</v>
      </c>
      <c r="B1039" s="4" t="s">
        <v>4748</v>
      </c>
      <c r="C1039" s="5" t="s">
        <v>4749</v>
      </c>
      <c r="D1039" s="5" t="s">
        <v>4750</v>
      </c>
      <c r="E1039" s="12"/>
      <c r="F1039" s="13">
        <f>"048647027X"</f>
      </c>
      <c r="G1039" s="13">
        <f>"9780486470276"</f>
      </c>
      <c r="H1039" s="11">
        <v>0</v>
      </c>
      <c r="I1039" s="14">
        <v>4.32</v>
      </c>
      <c r="J1039" s="7" t="s">
        <v>571</v>
      </c>
      <c r="K1039" s="5" t="s">
        <v>60</v>
      </c>
      <c r="L1039" s="11">
        <v>228</v>
      </c>
      <c r="M1039" s="11">
        <v>2009</v>
      </c>
      <c r="N1039" s="11">
        <v>1982</v>
      </c>
      <c r="O1039" s="15"/>
      <c r="P1039" s="8">
        <v>45153</v>
      </c>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4" t="s">
        <v>38</v>
      </c>
      <c r="AY1039" s="5" t="s">
        <v>4751</v>
      </c>
      <c r="AZ1039" s="5" t="s">
        <v>38</v>
      </c>
      <c r="BA1039" s="12"/>
      <c r="BB1039" s="12"/>
      <c r="BC1039" s="12"/>
      <c r="BD1039" s="11">
        <v>0</v>
      </c>
      <c r="BE1039" s="11">
        <v>0</v>
      </c>
    </row>
    <row x14ac:dyDescent="0.25" r="1040" customHeight="1" ht="17.25">
      <c r="A1040" s="11">
        <v>274063</v>
      </c>
      <c r="B1040" s="4" t="s">
        <v>4752</v>
      </c>
      <c r="C1040" s="5" t="s">
        <v>4753</v>
      </c>
      <c r="D1040" s="5" t="s">
        <v>4754</v>
      </c>
      <c r="E1040" s="12"/>
      <c r="F1040" s="13">
        <f>"0486234002"</f>
      </c>
      <c r="G1040" s="13">
        <f>"9780486234007"</f>
      </c>
      <c r="H1040" s="11">
        <v>0</v>
      </c>
      <c r="I1040" s="14">
        <v>4.24</v>
      </c>
      <c r="J1040" s="7" t="s">
        <v>571</v>
      </c>
      <c r="K1040" s="5" t="s">
        <v>60</v>
      </c>
      <c r="L1040" s="11">
        <v>160</v>
      </c>
      <c r="M1040" s="11">
        <v>1977</v>
      </c>
      <c r="N1040" s="11">
        <v>1977</v>
      </c>
      <c r="O1040" s="15"/>
      <c r="P1040" s="8">
        <v>45153</v>
      </c>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4" t="s">
        <v>38</v>
      </c>
      <c r="AY1040" s="5" t="s">
        <v>4755</v>
      </c>
      <c r="AZ1040" s="5" t="s">
        <v>38</v>
      </c>
      <c r="BA1040" s="12"/>
      <c r="BB1040" s="12"/>
      <c r="BC1040" s="12"/>
      <c r="BD1040" s="11">
        <v>1</v>
      </c>
      <c r="BE1040" s="11">
        <v>0</v>
      </c>
    </row>
    <row x14ac:dyDescent="0.25" r="1041" customHeight="1" ht="17.25">
      <c r="A1041" s="11">
        <v>10380491</v>
      </c>
      <c r="B1041" s="4" t="s">
        <v>4756</v>
      </c>
      <c r="C1041" s="5" t="s">
        <v>4749</v>
      </c>
      <c r="D1041" s="5" t="s">
        <v>4750</v>
      </c>
      <c r="E1041" s="12"/>
      <c r="F1041" s="13">
        <f>"0486481980"</f>
      </c>
      <c r="G1041" s="13">
        <f>"9780486481982"</f>
      </c>
      <c r="H1041" s="11">
        <v>0</v>
      </c>
      <c r="I1041" s="14">
        <v>4.24</v>
      </c>
      <c r="J1041" s="7" t="s">
        <v>571</v>
      </c>
      <c r="K1041" s="5" t="s">
        <v>60</v>
      </c>
      <c r="L1041" s="11">
        <v>241</v>
      </c>
      <c r="M1041" s="11">
        <v>2011</v>
      </c>
      <c r="N1041" s="11">
        <v>1978</v>
      </c>
      <c r="O1041" s="15"/>
      <c r="P1041" s="8">
        <v>45153</v>
      </c>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4" t="s">
        <v>38</v>
      </c>
      <c r="AY1041" s="5" t="s">
        <v>4757</v>
      </c>
      <c r="AZ1041" s="5" t="s">
        <v>38</v>
      </c>
      <c r="BA1041" s="12"/>
      <c r="BB1041" s="12"/>
      <c r="BC1041" s="12"/>
      <c r="BD1041" s="11">
        <v>0</v>
      </c>
      <c r="BE1041" s="11">
        <v>0</v>
      </c>
    </row>
    <row x14ac:dyDescent="0.25" r="1042" customHeight="1" ht="17.25">
      <c r="A1042" s="11">
        <v>52670</v>
      </c>
      <c r="B1042" s="4" t="s">
        <v>4758</v>
      </c>
      <c r="C1042" s="5" t="s">
        <v>4759</v>
      </c>
      <c r="D1042" s="5" t="s">
        <v>4760</v>
      </c>
      <c r="E1042" s="12"/>
      <c r="F1042" s="13">
        <f>"0486256642"</f>
      </c>
      <c r="G1042" s="13">
        <f>"9780486256641"</f>
      </c>
      <c r="H1042" s="11">
        <v>0</v>
      </c>
      <c r="I1042" s="14">
        <v>4.2</v>
      </c>
      <c r="J1042" s="7" t="s">
        <v>571</v>
      </c>
      <c r="K1042" s="5" t="s">
        <v>60</v>
      </c>
      <c r="L1042" s="11">
        <v>384</v>
      </c>
      <c r="M1042" s="11">
        <v>1988</v>
      </c>
      <c r="N1042" s="11">
        <v>1947</v>
      </c>
      <c r="O1042" s="15"/>
      <c r="P1042" s="8">
        <v>45153</v>
      </c>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4" t="s">
        <v>38</v>
      </c>
      <c r="AY1042" s="5" t="s">
        <v>4761</v>
      </c>
      <c r="AZ1042" s="5" t="s">
        <v>38</v>
      </c>
      <c r="BA1042" s="12"/>
      <c r="BB1042" s="12"/>
      <c r="BC1042" s="12"/>
      <c r="BD1042" s="11">
        <v>0</v>
      </c>
      <c r="BE1042" s="11">
        <v>0</v>
      </c>
    </row>
    <row x14ac:dyDescent="0.25" r="1043" customHeight="1" ht="17.25">
      <c r="A1043" s="11">
        <v>31539512</v>
      </c>
      <c r="B1043" s="4" t="s">
        <v>4762</v>
      </c>
      <c r="C1043" s="5" t="s">
        <v>4763</v>
      </c>
      <c r="D1043" s="5" t="s">
        <v>4764</v>
      </c>
      <c r="E1043" s="5" t="s">
        <v>4765</v>
      </c>
      <c r="F1043" s="13">
        <f>"1506337406"</f>
      </c>
      <c r="G1043" s="13">
        <f>"9781506337401"</f>
      </c>
      <c r="H1043" s="11">
        <v>0</v>
      </c>
      <c r="I1043" s="14">
        <v>3.7</v>
      </c>
      <c r="J1043" s="7" t="s">
        <v>4766</v>
      </c>
      <c r="K1043" s="5" t="s">
        <v>60</v>
      </c>
      <c r="L1043" s="11">
        <v>464</v>
      </c>
      <c r="M1043" s="11">
        <v>2017</v>
      </c>
      <c r="N1043" s="11">
        <v>2008</v>
      </c>
      <c r="O1043" s="15"/>
      <c r="P1043" s="8">
        <v>45113</v>
      </c>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4" t="s">
        <v>723</v>
      </c>
      <c r="AY1043" s="5" t="s">
        <v>4767</v>
      </c>
      <c r="AZ1043" s="5" t="s">
        <v>38</v>
      </c>
      <c r="BA1043" s="12"/>
      <c r="BB1043" s="12"/>
      <c r="BC1043" s="12"/>
      <c r="BD1043" s="11">
        <v>0</v>
      </c>
      <c r="BE1043" s="11">
        <v>0</v>
      </c>
    </row>
    <row x14ac:dyDescent="0.25" r="1044" customHeight="1" ht="15.75">
      <c r="A1044" s="11">
        <v>6496061</v>
      </c>
      <c r="B1044" s="4" t="s">
        <v>4768</v>
      </c>
      <c r="C1044" s="5" t="s">
        <v>4769</v>
      </c>
      <c r="D1044" s="5" t="s">
        <v>4770</v>
      </c>
      <c r="E1044" s="12"/>
      <c r="F1044" s="13">
        <f>"0673583503"</f>
      </c>
      <c r="G1044" s="13">
        <f>"9780673583505"</f>
      </c>
      <c r="H1044" s="11">
        <v>0</v>
      </c>
      <c r="I1044" s="14">
        <v>4.26</v>
      </c>
      <c r="J1044" s="7" t="s">
        <v>4771</v>
      </c>
      <c r="K1044" s="5" t="s">
        <v>72</v>
      </c>
      <c r="L1044" s="11">
        <v>281</v>
      </c>
      <c r="M1044" s="11">
        <v>1982</v>
      </c>
      <c r="N1044" s="11">
        <v>1960</v>
      </c>
      <c r="O1044" s="15"/>
      <c r="P1044" s="8">
        <v>44814</v>
      </c>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4" t="s">
        <v>419</v>
      </c>
      <c r="AY1044" s="5" t="s">
        <v>4772</v>
      </c>
      <c r="AZ1044" s="5" t="s">
        <v>38</v>
      </c>
      <c r="BA1044" s="12"/>
      <c r="BB1044" s="12"/>
      <c r="BC1044" s="12"/>
      <c r="BD1044" s="11">
        <v>0</v>
      </c>
      <c r="BE1044" s="11">
        <v>0</v>
      </c>
    </row>
    <row x14ac:dyDescent="0.25" r="1045" customHeight="1" ht="15.75">
      <c r="A1045" s="11">
        <v>10845531</v>
      </c>
      <c r="B1045" s="4" t="s">
        <v>4773</v>
      </c>
      <c r="C1045" s="5" t="s">
        <v>4774</v>
      </c>
      <c r="D1045" s="5" t="s">
        <v>4775</v>
      </c>
      <c r="E1045" s="5" t="s">
        <v>4776</v>
      </c>
      <c r="F1045" s="13">
        <f>"1564786285"</f>
      </c>
      <c r="G1045" s="13">
        <f>"9781564786289"</f>
      </c>
      <c r="H1045" s="11">
        <v>0</v>
      </c>
      <c r="I1045" s="14">
        <v>4.12</v>
      </c>
      <c r="J1045" s="7" t="s">
        <v>59</v>
      </c>
      <c r="K1045" s="5" t="s">
        <v>60</v>
      </c>
      <c r="L1045" s="11">
        <v>128</v>
      </c>
      <c r="M1045" s="11">
        <v>2011</v>
      </c>
      <c r="N1045" s="11">
        <v>2008</v>
      </c>
      <c r="O1045" s="15"/>
      <c r="P1045" s="8">
        <v>44814</v>
      </c>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4" t="s">
        <v>419</v>
      </c>
      <c r="AY1045" s="5" t="s">
        <v>4777</v>
      </c>
      <c r="AZ1045" s="5" t="s">
        <v>38</v>
      </c>
      <c r="BA1045" s="12"/>
      <c r="BB1045" s="12"/>
      <c r="BC1045" s="12"/>
      <c r="BD1045" s="11">
        <v>0</v>
      </c>
      <c r="BE1045" s="11">
        <v>0</v>
      </c>
    </row>
    <row x14ac:dyDescent="0.25" r="1046" customHeight="1" ht="15.75">
      <c r="A1046" s="11">
        <v>881539</v>
      </c>
      <c r="B1046" s="4" t="s">
        <v>4778</v>
      </c>
      <c r="C1046" s="5" t="s">
        <v>4779</v>
      </c>
      <c r="D1046" s="5" t="s">
        <v>4780</v>
      </c>
      <c r="E1046" s="12"/>
      <c r="F1046" s="13">
        <f>"0679768149"</f>
      </c>
      <c r="G1046" s="13">
        <f>"9780679768142"</f>
      </c>
      <c r="H1046" s="11">
        <v>0</v>
      </c>
      <c r="I1046" s="14">
        <v>3.8</v>
      </c>
      <c r="J1046" s="7" t="s">
        <v>114</v>
      </c>
      <c r="K1046" s="5" t="s">
        <v>60</v>
      </c>
      <c r="L1046" s="11">
        <v>384</v>
      </c>
      <c r="M1046" s="11">
        <v>1997</v>
      </c>
      <c r="N1046" s="11">
        <v>1995</v>
      </c>
      <c r="O1046" s="15"/>
      <c r="P1046" s="8">
        <v>44814</v>
      </c>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4" t="s">
        <v>419</v>
      </c>
      <c r="AY1046" s="5" t="s">
        <v>4781</v>
      </c>
      <c r="AZ1046" s="5" t="s">
        <v>38</v>
      </c>
      <c r="BA1046" s="12"/>
      <c r="BB1046" s="12"/>
      <c r="BC1046" s="12"/>
      <c r="BD1046" s="11">
        <v>0</v>
      </c>
      <c r="BE1046" s="11">
        <v>0</v>
      </c>
    </row>
    <row x14ac:dyDescent="0.25" r="1047" customHeight="1" ht="15.75">
      <c r="A1047" s="11">
        <v>677877</v>
      </c>
      <c r="B1047" s="4" t="s">
        <v>4782</v>
      </c>
      <c r="C1047" s="5" t="s">
        <v>4783</v>
      </c>
      <c r="D1047" s="5" t="s">
        <v>4784</v>
      </c>
      <c r="E1047" s="12"/>
      <c r="F1047" s="13">
        <f>"0802136346"</f>
      </c>
      <c r="G1047" s="13">
        <f>"9780802136343"</f>
      </c>
      <c r="H1047" s="11">
        <v>0</v>
      </c>
      <c r="I1047" s="14">
        <v>3.86</v>
      </c>
      <c r="J1047" s="7" t="s">
        <v>66</v>
      </c>
      <c r="K1047" s="5" t="s">
        <v>60</v>
      </c>
      <c r="L1047" s="11">
        <v>141</v>
      </c>
      <c r="M1047" s="11">
        <v>1999</v>
      </c>
      <c r="N1047" s="11">
        <v>1970</v>
      </c>
      <c r="O1047" s="15"/>
      <c r="P1047" s="8">
        <v>44814</v>
      </c>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4" t="s">
        <v>419</v>
      </c>
      <c r="AY1047" s="5" t="s">
        <v>4785</v>
      </c>
      <c r="AZ1047" s="5" t="s">
        <v>38</v>
      </c>
      <c r="BA1047" s="12"/>
      <c r="BB1047" s="12"/>
      <c r="BC1047" s="12"/>
      <c r="BD1047" s="11">
        <v>0</v>
      </c>
      <c r="BE1047" s="11">
        <v>0</v>
      </c>
    </row>
    <row x14ac:dyDescent="0.25" r="1048" customHeight="1" ht="15.75">
      <c r="A1048" s="11">
        <v>51506</v>
      </c>
      <c r="B1048" s="4" t="s">
        <v>4786</v>
      </c>
      <c r="C1048" s="5" t="s">
        <v>4787</v>
      </c>
      <c r="D1048" s="5" t="s">
        <v>4788</v>
      </c>
      <c r="E1048" s="5" t="s">
        <v>2323</v>
      </c>
      <c r="F1048" s="13">
        <f>"1564782115"</f>
      </c>
      <c r="G1048" s="13">
        <f>"9781564782113"</f>
      </c>
      <c r="H1048" s="11">
        <v>0</v>
      </c>
      <c r="I1048" s="14">
        <v>3.95</v>
      </c>
      <c r="J1048" s="7" t="s">
        <v>59</v>
      </c>
      <c r="K1048" s="5" t="s">
        <v>60</v>
      </c>
      <c r="L1048" s="11">
        <v>279</v>
      </c>
      <c r="M1048" s="11">
        <v>2006</v>
      </c>
      <c r="N1048" s="11">
        <v>1988</v>
      </c>
      <c r="O1048" s="15"/>
      <c r="P1048" s="8">
        <v>42882</v>
      </c>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4" t="s">
        <v>419</v>
      </c>
      <c r="AY1048" s="5" t="s">
        <v>4789</v>
      </c>
      <c r="AZ1048" s="5" t="s">
        <v>38</v>
      </c>
      <c r="BA1048" s="12"/>
      <c r="BB1048" s="12"/>
      <c r="BC1048" s="12"/>
      <c r="BD1048" s="11">
        <v>0</v>
      </c>
      <c r="BE1048" s="11">
        <v>0</v>
      </c>
    </row>
    <row x14ac:dyDescent="0.25" r="1049" customHeight="1" ht="17.25">
      <c r="A1049" s="11">
        <v>9664265</v>
      </c>
      <c r="B1049" s="4" t="s">
        <v>4790</v>
      </c>
      <c r="C1049" s="5" t="s">
        <v>4791</v>
      </c>
      <c r="D1049" s="5" t="s">
        <v>4792</v>
      </c>
      <c r="E1049" s="12"/>
      <c r="F1049" s="13">
        <f>"0374150850"</f>
      </c>
      <c r="G1049" s="13">
        <f>"9780374150853"</f>
      </c>
      <c r="H1049" s="11">
        <v>0</v>
      </c>
      <c r="I1049" s="14">
        <v>3.79</v>
      </c>
      <c r="J1049" s="7" t="s">
        <v>120</v>
      </c>
      <c r="K1049" s="5" t="s">
        <v>72</v>
      </c>
      <c r="L1049" s="11">
        <v>432</v>
      </c>
      <c r="M1049" s="11">
        <v>2011</v>
      </c>
      <c r="N1049" s="11">
        <v>2011</v>
      </c>
      <c r="O1049" s="15"/>
      <c r="P1049" s="8">
        <v>45151</v>
      </c>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4" t="s">
        <v>38</v>
      </c>
      <c r="AY1049" s="5" t="s">
        <v>4793</v>
      </c>
      <c r="AZ1049" s="5" t="s">
        <v>38</v>
      </c>
      <c r="BA1049" s="12"/>
      <c r="BB1049" s="12"/>
      <c r="BC1049" s="12"/>
      <c r="BD1049" s="11">
        <v>0</v>
      </c>
      <c r="BE1049" s="11">
        <v>0</v>
      </c>
    </row>
    <row x14ac:dyDescent="0.25" r="1050" customHeight="1" ht="17.25">
      <c r="A1050" s="11">
        <v>8461105</v>
      </c>
      <c r="B1050" s="4" t="s">
        <v>4794</v>
      </c>
      <c r="C1050" s="5" t="s">
        <v>4795</v>
      </c>
      <c r="D1050" s="5" t="s">
        <v>4796</v>
      </c>
      <c r="E1050" s="12"/>
      <c r="F1050" s="13">
        <f>"1400041791"</f>
      </c>
      <c r="G1050" s="13">
        <f>"9781400041794"</f>
      </c>
      <c r="H1050" s="11">
        <v>0</v>
      </c>
      <c r="I1050" s="14">
        <v>3.98</v>
      </c>
      <c r="J1050" s="7" t="s">
        <v>665</v>
      </c>
      <c r="K1050" s="5" t="s">
        <v>72</v>
      </c>
      <c r="L1050" s="11">
        <v>528</v>
      </c>
      <c r="M1050" s="11">
        <v>2011</v>
      </c>
      <c r="N1050" s="11">
        <v>2010</v>
      </c>
      <c r="O1050" s="15"/>
      <c r="P1050" s="8">
        <v>45151</v>
      </c>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4" t="s">
        <v>1049</v>
      </c>
      <c r="AY1050" s="5" t="s">
        <v>4797</v>
      </c>
      <c r="AZ1050" s="5" t="s">
        <v>38</v>
      </c>
      <c r="BA1050" s="12"/>
      <c r="BB1050" s="12"/>
      <c r="BC1050" s="12"/>
      <c r="BD1050" s="11">
        <v>0</v>
      </c>
      <c r="BE1050" s="11">
        <v>0</v>
      </c>
    </row>
    <row x14ac:dyDescent="0.25" r="1051" customHeight="1" ht="17.25">
      <c r="A1051" s="11">
        <v>582043</v>
      </c>
      <c r="B1051" s="4" t="s">
        <v>4798</v>
      </c>
      <c r="C1051" s="5" t="s">
        <v>4799</v>
      </c>
      <c r="D1051" s="5" t="s">
        <v>4800</v>
      </c>
      <c r="E1051" s="12"/>
      <c r="F1051" s="13">
        <f>"0521496799"</f>
      </c>
      <c r="G1051" s="13">
        <f>"9780521496797"</f>
      </c>
      <c r="H1051" s="11">
        <v>0</v>
      </c>
      <c r="I1051" s="14">
        <v>4.31</v>
      </c>
      <c r="J1051" s="7" t="s">
        <v>636</v>
      </c>
      <c r="K1051" s="5" t="s">
        <v>72</v>
      </c>
      <c r="L1051" s="11">
        <v>800</v>
      </c>
      <c r="M1051" s="11">
        <v>2000</v>
      </c>
      <c r="N1051" s="11">
        <v>2000</v>
      </c>
      <c r="O1051" s="15"/>
      <c r="P1051" s="8">
        <v>44473</v>
      </c>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4" t="s">
        <v>1049</v>
      </c>
      <c r="AY1051" s="5" t="s">
        <v>4801</v>
      </c>
      <c r="AZ1051" s="5" t="s">
        <v>38</v>
      </c>
      <c r="BA1051" s="12"/>
      <c r="BB1051" s="12"/>
      <c r="BC1051" s="12"/>
      <c r="BD1051" s="11">
        <v>0</v>
      </c>
      <c r="BE1051" s="11">
        <v>0</v>
      </c>
    </row>
    <row x14ac:dyDescent="0.25" r="1052" customHeight="1" ht="17.25">
      <c r="A1052" s="11">
        <v>31795</v>
      </c>
      <c r="B1052" s="4" t="s">
        <v>4802</v>
      </c>
      <c r="C1052" s="5" t="s">
        <v>4803</v>
      </c>
      <c r="D1052" s="5" t="s">
        <v>4804</v>
      </c>
      <c r="E1052" s="12"/>
      <c r="F1052" s="13">
        <f>"0671739166"</f>
      </c>
      <c r="G1052" s="13">
        <f>"9780671739164"</f>
      </c>
      <c r="H1052" s="11">
        <v>0</v>
      </c>
      <c r="I1052" s="14">
        <v>4.14</v>
      </c>
      <c r="J1052" s="7" t="s">
        <v>4805</v>
      </c>
      <c r="K1052" s="5" t="s">
        <v>60</v>
      </c>
      <c r="L1052" s="11">
        <v>704</v>
      </c>
      <c r="M1052" s="11">
        <v>1991</v>
      </c>
      <c r="N1052" s="11">
        <v>1926</v>
      </c>
      <c r="O1052" s="15"/>
      <c r="P1052" s="8">
        <v>45151</v>
      </c>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4" t="s">
        <v>1049</v>
      </c>
      <c r="AY1052" s="5" t="s">
        <v>4806</v>
      </c>
      <c r="AZ1052" s="5" t="s">
        <v>38</v>
      </c>
      <c r="BA1052" s="12"/>
      <c r="BB1052" s="12"/>
      <c r="BC1052" s="12"/>
      <c r="BD1052" s="11">
        <v>0</v>
      </c>
      <c r="BE1052" s="11">
        <v>0</v>
      </c>
    </row>
    <row x14ac:dyDescent="0.25" r="1053" customHeight="1" ht="17.25">
      <c r="A1053" s="11">
        <v>207897</v>
      </c>
      <c r="B1053" s="4" t="s">
        <v>4807</v>
      </c>
      <c r="C1053" s="5" t="s">
        <v>2107</v>
      </c>
      <c r="D1053" s="5" t="s">
        <v>2108</v>
      </c>
      <c r="E1053" s="5" t="s">
        <v>4808</v>
      </c>
      <c r="F1053" s="13">
        <f>"0674387104"</f>
      </c>
      <c r="G1053" s="13">
        <f>"9780674387102"</f>
      </c>
      <c r="H1053" s="11">
        <v>0</v>
      </c>
      <c r="I1053" s="14">
        <v>3.84</v>
      </c>
      <c r="J1053" s="7" t="s">
        <v>138</v>
      </c>
      <c r="K1053" s="5" t="s">
        <v>60</v>
      </c>
      <c r="L1053" s="11">
        <v>496</v>
      </c>
      <c r="M1053" s="11">
        <v>1999</v>
      </c>
      <c r="N1053" s="16"/>
      <c r="O1053" s="15"/>
      <c r="P1053" s="8">
        <v>45151</v>
      </c>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4" t="s">
        <v>1049</v>
      </c>
      <c r="AY1053" s="5" t="s">
        <v>4809</v>
      </c>
      <c r="AZ1053" s="5" t="s">
        <v>38</v>
      </c>
      <c r="BA1053" s="12"/>
      <c r="BB1053" s="12"/>
      <c r="BC1053" s="12"/>
      <c r="BD1053" s="11">
        <v>0</v>
      </c>
      <c r="BE1053" s="11">
        <v>0</v>
      </c>
    </row>
    <row x14ac:dyDescent="0.25" r="1054" customHeight="1" ht="17.25">
      <c r="A1054" s="11">
        <v>38212112</v>
      </c>
      <c r="B1054" s="4" t="s">
        <v>4810</v>
      </c>
      <c r="C1054" s="5" t="s">
        <v>4811</v>
      </c>
      <c r="D1054" s="5" t="s">
        <v>4812</v>
      </c>
      <c r="E1054" s="12"/>
      <c r="F1054" s="13">
        <f>"0393356175"</f>
      </c>
      <c r="G1054" s="13">
        <f>"9780393356175"</f>
      </c>
      <c r="H1054" s="11">
        <v>0</v>
      </c>
      <c r="I1054" s="14">
        <v>3.99</v>
      </c>
      <c r="J1054" s="7" t="s">
        <v>144</v>
      </c>
      <c r="K1054" s="5" t="s">
        <v>60</v>
      </c>
      <c r="L1054" s="11">
        <v>368</v>
      </c>
      <c r="M1054" s="11">
        <v>2018</v>
      </c>
      <c r="N1054" s="11">
        <v>1978</v>
      </c>
      <c r="O1054" s="15"/>
      <c r="P1054" s="8">
        <v>45151</v>
      </c>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4" t="s">
        <v>38</v>
      </c>
      <c r="AY1054" s="5" t="s">
        <v>4813</v>
      </c>
      <c r="AZ1054" s="5" t="s">
        <v>38</v>
      </c>
      <c r="BA1054" s="12"/>
      <c r="BB1054" s="12"/>
      <c r="BC1054" s="12"/>
      <c r="BD1054" s="11">
        <v>0</v>
      </c>
      <c r="BE1054" s="11">
        <v>0</v>
      </c>
    </row>
    <row x14ac:dyDescent="0.25" r="1055" customHeight="1" ht="17.25">
      <c r="A1055" s="11">
        <v>42091142</v>
      </c>
      <c r="B1055" s="4" t="s">
        <v>4814</v>
      </c>
      <c r="C1055" s="5" t="s">
        <v>4815</v>
      </c>
      <c r="D1055" s="5" t="s">
        <v>4816</v>
      </c>
      <c r="E1055" s="12"/>
      <c r="F1055" s="13">
        <f>"1912573059"</f>
      </c>
      <c r="G1055" s="13">
        <f>"9781912573059"</f>
      </c>
      <c r="H1055" s="11">
        <v>0</v>
      </c>
      <c r="I1055" s="14">
        <v>4.47</v>
      </c>
      <c r="J1055" s="7" t="s">
        <v>4817</v>
      </c>
      <c r="K1055" s="5" t="s">
        <v>60</v>
      </c>
      <c r="L1055" s="11">
        <v>204</v>
      </c>
      <c r="M1055" s="11">
        <v>2019</v>
      </c>
      <c r="N1055" s="11">
        <v>2019</v>
      </c>
      <c r="O1055" s="15"/>
      <c r="P1055" s="8">
        <v>45151</v>
      </c>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4" t="s">
        <v>38</v>
      </c>
      <c r="AY1055" s="5" t="s">
        <v>4818</v>
      </c>
      <c r="AZ1055" s="5" t="s">
        <v>38</v>
      </c>
      <c r="BA1055" s="12"/>
      <c r="BB1055" s="12"/>
      <c r="BC1055" s="12"/>
      <c r="BD1055" s="11">
        <v>0</v>
      </c>
      <c r="BE1055" s="11">
        <v>0</v>
      </c>
    </row>
    <row x14ac:dyDescent="0.25" r="1056" customHeight="1" ht="17.25">
      <c r="A1056" s="11">
        <v>1696364</v>
      </c>
      <c r="B1056" s="4" t="s">
        <v>4819</v>
      </c>
      <c r="C1056" s="5" t="s">
        <v>4820</v>
      </c>
      <c r="D1056" s="5" t="s">
        <v>4821</v>
      </c>
      <c r="E1056" s="12"/>
      <c r="F1056" s="13">
        <f>"0571168434"</f>
      </c>
      <c r="G1056" s="13">
        <f>"9780571168439"</f>
      </c>
      <c r="H1056" s="11">
        <v>0</v>
      </c>
      <c r="I1056" s="14">
        <v>3.67</v>
      </c>
      <c r="J1056" s="7" t="s">
        <v>1618</v>
      </c>
      <c r="K1056" s="5" t="s">
        <v>60</v>
      </c>
      <c r="L1056" s="11">
        <v>247</v>
      </c>
      <c r="M1056" s="11">
        <v>1993</v>
      </c>
      <c r="N1056" s="11">
        <v>1992</v>
      </c>
      <c r="O1056" s="15"/>
      <c r="P1056" s="8">
        <v>45151</v>
      </c>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4" t="s">
        <v>38</v>
      </c>
      <c r="AY1056" s="5" t="s">
        <v>4822</v>
      </c>
      <c r="AZ1056" s="5" t="s">
        <v>38</v>
      </c>
      <c r="BA1056" s="12"/>
      <c r="BB1056" s="12"/>
      <c r="BC1056" s="12"/>
      <c r="BD1056" s="11">
        <v>0</v>
      </c>
      <c r="BE1056" s="11">
        <v>0</v>
      </c>
    </row>
    <row x14ac:dyDescent="0.25" r="1057" customHeight="1" ht="17.25">
      <c r="A1057" s="11">
        <v>29966</v>
      </c>
      <c r="B1057" s="4" t="s">
        <v>4823</v>
      </c>
      <c r="C1057" s="5" t="s">
        <v>4824</v>
      </c>
      <c r="D1057" s="5" t="s">
        <v>4825</v>
      </c>
      <c r="E1057" s="5" t="s">
        <v>4826</v>
      </c>
      <c r="F1057" s="13">
        <f>"0141441046"</f>
      </c>
      <c r="G1057" s="13">
        <f>"9780141441047"</f>
      </c>
      <c r="H1057" s="11">
        <v>0</v>
      </c>
      <c r="I1057" s="14">
        <v>3.56</v>
      </c>
      <c r="J1057" s="7" t="s">
        <v>263</v>
      </c>
      <c r="K1057" s="5" t="s">
        <v>60</v>
      </c>
      <c r="L1057" s="11">
        <v>576</v>
      </c>
      <c r="M1057" s="11">
        <v>2005</v>
      </c>
      <c r="N1057" s="11">
        <v>1933</v>
      </c>
      <c r="O1057" s="15"/>
      <c r="P1057" s="8">
        <v>45151</v>
      </c>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4" t="s">
        <v>38</v>
      </c>
      <c r="AY1057" s="5" t="s">
        <v>4827</v>
      </c>
      <c r="AZ1057" s="5" t="s">
        <v>38</v>
      </c>
      <c r="BA1057" s="12"/>
      <c r="BB1057" s="12"/>
      <c r="BC1057" s="12"/>
      <c r="BD1057" s="11">
        <v>0</v>
      </c>
      <c r="BE1057" s="11">
        <v>0</v>
      </c>
    </row>
    <row x14ac:dyDescent="0.25" r="1058" customHeight="1" ht="17.25">
      <c r="A1058" s="11">
        <v>235662</v>
      </c>
      <c r="B1058" s="4" t="s">
        <v>4828</v>
      </c>
      <c r="C1058" s="5" t="s">
        <v>4829</v>
      </c>
      <c r="D1058" s="5" t="s">
        <v>4830</v>
      </c>
      <c r="E1058" s="12"/>
      <c r="F1058" s="13">
        <f>"0312019009"</f>
      </c>
      <c r="G1058" s="13">
        <f>"9780312019006"</f>
      </c>
      <c r="H1058" s="11">
        <v>0</v>
      </c>
      <c r="I1058" s="14">
        <v>4.12</v>
      </c>
      <c r="J1058" s="7" t="s">
        <v>2166</v>
      </c>
      <c r="K1058" s="5" t="s">
        <v>60</v>
      </c>
      <c r="L1058" s="11">
        <v>380</v>
      </c>
      <c r="M1058" s="11">
        <v>1988</v>
      </c>
      <c r="N1058" s="11">
        <v>1982</v>
      </c>
      <c r="O1058" s="15"/>
      <c r="P1058" s="8">
        <v>45151</v>
      </c>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4" t="s">
        <v>38</v>
      </c>
      <c r="AY1058" s="5" t="s">
        <v>4831</v>
      </c>
      <c r="AZ1058" s="5" t="s">
        <v>38</v>
      </c>
      <c r="BA1058" s="12"/>
      <c r="BB1058" s="12"/>
      <c r="BC1058" s="12"/>
      <c r="BD1058" s="11">
        <v>0</v>
      </c>
      <c r="BE1058" s="11">
        <v>0</v>
      </c>
    </row>
    <row x14ac:dyDescent="0.25" r="1059" customHeight="1" ht="17.25">
      <c r="A1059" s="11">
        <v>396329</v>
      </c>
      <c r="B1059" s="4" t="s">
        <v>4832</v>
      </c>
      <c r="C1059" s="5" t="s">
        <v>4833</v>
      </c>
      <c r="D1059" s="5" t="s">
        <v>4834</v>
      </c>
      <c r="E1059" s="12"/>
      <c r="F1059" s="13">
        <f>"0345431618"</f>
      </c>
      <c r="G1059" s="13">
        <f>"9780345431615"</f>
      </c>
      <c r="H1059" s="11">
        <v>0</v>
      </c>
      <c r="I1059" s="14">
        <v>4.06</v>
      </c>
      <c r="J1059" s="7" t="s">
        <v>4835</v>
      </c>
      <c r="K1059" s="5" t="s">
        <v>60</v>
      </c>
      <c r="L1059" s="11">
        <v>209</v>
      </c>
      <c r="M1059" s="11">
        <v>1999</v>
      </c>
      <c r="N1059" s="11">
        <v>1963</v>
      </c>
      <c r="O1059" s="15"/>
      <c r="P1059" s="8">
        <v>45151</v>
      </c>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4" t="s">
        <v>38</v>
      </c>
      <c r="AY1059" s="5" t="s">
        <v>4836</v>
      </c>
      <c r="AZ1059" s="5" t="s">
        <v>38</v>
      </c>
      <c r="BA1059" s="12"/>
      <c r="BB1059" s="12"/>
      <c r="BC1059" s="12"/>
      <c r="BD1059" s="11">
        <v>0</v>
      </c>
      <c r="BE1059" s="11">
        <v>0</v>
      </c>
    </row>
    <row x14ac:dyDescent="0.25" r="1060" customHeight="1" ht="17.25">
      <c r="A1060" s="11">
        <v>87282</v>
      </c>
      <c r="B1060" s="4" t="s">
        <v>4837</v>
      </c>
      <c r="C1060" s="5" t="s">
        <v>1046</v>
      </c>
      <c r="D1060" s="5" t="s">
        <v>1047</v>
      </c>
      <c r="E1060" s="5" t="s">
        <v>4838</v>
      </c>
      <c r="F1060" s="13">
        <f>"0810112787"</f>
      </c>
      <c r="G1060" s="13">
        <f>"9780810112780"</f>
      </c>
      <c r="H1060" s="11">
        <v>0</v>
      </c>
      <c r="I1060" s="14">
        <v>3.76</v>
      </c>
      <c r="J1060" s="7" t="s">
        <v>1922</v>
      </c>
      <c r="K1060" s="5" t="s">
        <v>60</v>
      </c>
      <c r="L1060" s="11">
        <v>85</v>
      </c>
      <c r="M1060" s="11">
        <v>1995</v>
      </c>
      <c r="N1060" s="11">
        <v>1965</v>
      </c>
      <c r="O1060" s="15"/>
      <c r="P1060" s="8">
        <v>45151</v>
      </c>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4" t="s">
        <v>38</v>
      </c>
      <c r="AY1060" s="5" t="s">
        <v>4839</v>
      </c>
      <c r="AZ1060" s="5" t="s">
        <v>38</v>
      </c>
      <c r="BA1060" s="12"/>
      <c r="BB1060" s="12"/>
      <c r="BC1060" s="12"/>
      <c r="BD1060" s="11">
        <v>0</v>
      </c>
      <c r="BE1060" s="11">
        <v>0</v>
      </c>
    </row>
    <row x14ac:dyDescent="0.25" r="1061" customHeight="1" ht="17.25">
      <c r="A1061" s="11">
        <v>1017859</v>
      </c>
      <c r="B1061" s="4" t="s">
        <v>4840</v>
      </c>
      <c r="C1061" s="5" t="s">
        <v>4841</v>
      </c>
      <c r="D1061" s="5" t="s">
        <v>4842</v>
      </c>
      <c r="E1061" s="5" t="s">
        <v>4843</v>
      </c>
      <c r="F1061" s="13">
        <f>"0595179274"</f>
      </c>
      <c r="G1061" s="13">
        <f>"9780595179275"</f>
      </c>
      <c r="H1061" s="11">
        <v>0</v>
      </c>
      <c r="I1061" s="14">
        <v>3.47</v>
      </c>
      <c r="J1061" s="7" t="s">
        <v>4844</v>
      </c>
      <c r="K1061" s="5" t="s">
        <v>60</v>
      </c>
      <c r="L1061" s="11">
        <v>352</v>
      </c>
      <c r="M1061" s="11">
        <v>2001</v>
      </c>
      <c r="N1061" s="11">
        <v>1977</v>
      </c>
      <c r="O1061" s="15"/>
      <c r="P1061" s="8">
        <v>45151</v>
      </c>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4" t="s">
        <v>38</v>
      </c>
      <c r="AY1061" s="5" t="s">
        <v>4845</v>
      </c>
      <c r="AZ1061" s="5" t="s">
        <v>38</v>
      </c>
      <c r="BA1061" s="12"/>
      <c r="BB1061" s="12"/>
      <c r="BC1061" s="12"/>
      <c r="BD1061" s="11">
        <v>0</v>
      </c>
      <c r="BE1061" s="11">
        <v>0</v>
      </c>
    </row>
    <row x14ac:dyDescent="0.25" r="1062" customHeight="1" ht="17.25">
      <c r="A1062" s="11">
        <v>95558</v>
      </c>
      <c r="B1062" s="4" t="s">
        <v>4846</v>
      </c>
      <c r="C1062" s="5" t="s">
        <v>4847</v>
      </c>
      <c r="D1062" s="5" t="s">
        <v>4848</v>
      </c>
      <c r="E1062" s="5" t="s">
        <v>4849</v>
      </c>
      <c r="F1062" s="13">
        <f>""</f>
      </c>
      <c r="G1062" s="13">
        <f>""</f>
      </c>
      <c r="H1062" s="11">
        <v>0</v>
      </c>
      <c r="I1062" s="14">
        <v>3.99</v>
      </c>
      <c r="J1062" s="7" t="s">
        <v>2712</v>
      </c>
      <c r="K1062" s="5" t="s">
        <v>60</v>
      </c>
      <c r="L1062" s="11">
        <v>204</v>
      </c>
      <c r="M1062" s="11">
        <v>2002</v>
      </c>
      <c r="N1062" s="11">
        <v>1961</v>
      </c>
      <c r="O1062" s="15"/>
      <c r="P1062" s="8">
        <v>45150</v>
      </c>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4" t="s">
        <v>38</v>
      </c>
      <c r="AY1062" s="5" t="s">
        <v>4850</v>
      </c>
      <c r="AZ1062" s="5" t="s">
        <v>38</v>
      </c>
      <c r="BA1062" s="12"/>
      <c r="BB1062" s="12"/>
      <c r="BC1062" s="12"/>
      <c r="BD1062" s="11">
        <v>0</v>
      </c>
      <c r="BE1062" s="11">
        <v>0</v>
      </c>
    </row>
    <row x14ac:dyDescent="0.25" r="1063" customHeight="1" ht="17.25">
      <c r="A1063" s="11">
        <v>157076</v>
      </c>
      <c r="B1063" s="4" t="s">
        <v>4851</v>
      </c>
      <c r="C1063" s="5" t="s">
        <v>4852</v>
      </c>
      <c r="D1063" s="5" t="s">
        <v>4853</v>
      </c>
      <c r="E1063" s="5" t="s">
        <v>4854</v>
      </c>
      <c r="F1063" s="13">
        <f>"1599869691"</f>
      </c>
      <c r="G1063" s="13">
        <f>"9781599869698"</f>
      </c>
      <c r="H1063" s="11">
        <v>0</v>
      </c>
      <c r="I1063" s="14">
        <v>3.94</v>
      </c>
      <c r="J1063" s="7" t="s">
        <v>4855</v>
      </c>
      <c r="K1063" s="5" t="s">
        <v>60</v>
      </c>
      <c r="L1063" s="11">
        <v>48</v>
      </c>
      <c r="M1063" s="11">
        <v>2006</v>
      </c>
      <c r="N1063" s="11">
        <v>1924</v>
      </c>
      <c r="O1063" s="15"/>
      <c r="P1063" s="8">
        <v>45150</v>
      </c>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4" t="s">
        <v>38</v>
      </c>
      <c r="AY1063" s="5" t="s">
        <v>4856</v>
      </c>
      <c r="AZ1063" s="5" t="s">
        <v>38</v>
      </c>
      <c r="BA1063" s="12"/>
      <c r="BB1063" s="12"/>
      <c r="BC1063" s="12"/>
      <c r="BD1063" s="11">
        <v>0</v>
      </c>
      <c r="BE1063" s="11">
        <v>0</v>
      </c>
    </row>
    <row x14ac:dyDescent="0.25" r="1064" customHeight="1" ht="17.25">
      <c r="A1064" s="11">
        <v>791345</v>
      </c>
      <c r="B1064" s="4" t="s">
        <v>4857</v>
      </c>
      <c r="C1064" s="5" t="s">
        <v>4858</v>
      </c>
      <c r="D1064" s="5" t="s">
        <v>4859</v>
      </c>
      <c r="E1064" s="12"/>
      <c r="F1064" s="13">
        <f>"0099750619"</f>
      </c>
      <c r="G1064" s="13">
        <f>"9780099750611"</f>
      </c>
      <c r="H1064" s="11">
        <v>0</v>
      </c>
      <c r="I1064" s="14">
        <v>3.67</v>
      </c>
      <c r="J1064" s="7" t="s">
        <v>4860</v>
      </c>
      <c r="K1064" s="5" t="s">
        <v>60</v>
      </c>
      <c r="L1064" s="11">
        <v>189</v>
      </c>
      <c r="M1064" s="11">
        <v>1998</v>
      </c>
      <c r="N1064" s="11">
        <v>1967</v>
      </c>
      <c r="O1064" s="15"/>
      <c r="P1064" s="8">
        <v>45150</v>
      </c>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4" t="s">
        <v>38</v>
      </c>
      <c r="AY1064" s="5" t="s">
        <v>4861</v>
      </c>
      <c r="AZ1064" s="5" t="s">
        <v>38</v>
      </c>
      <c r="BA1064" s="12"/>
      <c r="BB1064" s="12"/>
      <c r="BC1064" s="12"/>
      <c r="BD1064" s="11">
        <v>0</v>
      </c>
      <c r="BE1064" s="11">
        <v>0</v>
      </c>
    </row>
    <row x14ac:dyDescent="0.25" r="1065" customHeight="1" ht="17.25">
      <c r="A1065" s="11">
        <v>119568</v>
      </c>
      <c r="B1065" s="4" t="s">
        <v>4862</v>
      </c>
      <c r="C1065" s="5" t="s">
        <v>3985</v>
      </c>
      <c r="D1065" s="5" t="s">
        <v>4863</v>
      </c>
      <c r="E1065" s="12"/>
      <c r="F1065" s="13">
        <f>"0415051177"</f>
      </c>
      <c r="G1065" s="13">
        <f>"9780415051170"</f>
      </c>
      <c r="H1065" s="11">
        <v>0</v>
      </c>
      <c r="I1065" s="14">
        <v>3.64</v>
      </c>
      <c r="J1065" s="7" t="s">
        <v>163</v>
      </c>
      <c r="K1065" s="5" t="s">
        <v>60</v>
      </c>
      <c r="L1065" s="11">
        <v>254</v>
      </c>
      <c r="M1065" s="11">
        <v>1980</v>
      </c>
      <c r="N1065" s="11">
        <v>1980</v>
      </c>
      <c r="O1065" s="15"/>
      <c r="P1065" s="8">
        <v>45150</v>
      </c>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4" t="s">
        <v>38</v>
      </c>
      <c r="AY1065" s="5" t="s">
        <v>4864</v>
      </c>
      <c r="AZ1065" s="5" t="s">
        <v>38</v>
      </c>
      <c r="BA1065" s="12"/>
      <c r="BB1065" s="12"/>
      <c r="BC1065" s="12"/>
      <c r="BD1065" s="11">
        <v>0</v>
      </c>
      <c r="BE1065" s="11">
        <v>0</v>
      </c>
    </row>
    <row x14ac:dyDescent="0.25" r="1066" customHeight="1" ht="17.25">
      <c r="A1066" s="11">
        <v>232743</v>
      </c>
      <c r="B1066" s="4" t="s">
        <v>4865</v>
      </c>
      <c r="C1066" s="5" t="s">
        <v>2982</v>
      </c>
      <c r="D1066" s="5" t="s">
        <v>2983</v>
      </c>
      <c r="E1066" s="5" t="s">
        <v>3985</v>
      </c>
      <c r="F1066" s="13">
        <f>"0394711068"</f>
      </c>
      <c r="G1066" s="13">
        <f>"9780394711065"</f>
      </c>
      <c r="H1066" s="11">
        <v>0</v>
      </c>
      <c r="I1066" s="14">
        <v>4.12</v>
      </c>
      <c r="J1066" s="7" t="s">
        <v>114</v>
      </c>
      <c r="K1066" s="5" t="s">
        <v>60</v>
      </c>
      <c r="L1066" s="11">
        <v>256</v>
      </c>
      <c r="M1066" s="11">
        <v>1972</v>
      </c>
      <c r="N1066" s="11">
        <v>1969</v>
      </c>
      <c r="O1066" s="15"/>
      <c r="P1066" s="8">
        <v>45150</v>
      </c>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4" t="s">
        <v>38</v>
      </c>
      <c r="AY1066" s="5" t="s">
        <v>4866</v>
      </c>
      <c r="AZ1066" s="5" t="s">
        <v>38</v>
      </c>
      <c r="BA1066" s="12"/>
      <c r="BB1066" s="12"/>
      <c r="BC1066" s="12"/>
      <c r="BD1066" s="11">
        <v>0</v>
      </c>
      <c r="BE1066" s="11">
        <v>0</v>
      </c>
    </row>
    <row x14ac:dyDescent="0.25" r="1067" customHeight="1" ht="17.25">
      <c r="A1067" s="11">
        <v>297266</v>
      </c>
      <c r="B1067" s="4" t="s">
        <v>152</v>
      </c>
      <c r="C1067" s="5" t="s">
        <v>153</v>
      </c>
      <c r="D1067" s="5" t="s">
        <v>154</v>
      </c>
      <c r="E1067" s="5" t="s">
        <v>4867</v>
      </c>
      <c r="F1067" s="13">
        <f>""</f>
      </c>
      <c r="G1067" s="13">
        <f>"9780807064610"</f>
      </c>
      <c r="H1067" s="11">
        <v>0</v>
      </c>
      <c r="I1067" s="14">
        <v>3.94</v>
      </c>
      <c r="J1067" s="7" t="s">
        <v>861</v>
      </c>
      <c r="K1067" s="5" t="s">
        <v>60</v>
      </c>
      <c r="L1067" s="11">
        <v>132</v>
      </c>
      <c r="M1067" s="11">
        <v>1987</v>
      </c>
      <c r="N1067" s="11">
        <v>1938</v>
      </c>
      <c r="O1067" s="15"/>
      <c r="P1067" s="8">
        <v>45150</v>
      </c>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4" t="s">
        <v>38</v>
      </c>
      <c r="AY1067" s="5" t="s">
        <v>4868</v>
      </c>
      <c r="AZ1067" s="5" t="s">
        <v>38</v>
      </c>
      <c r="BA1067" s="12"/>
      <c r="BB1067" s="12"/>
      <c r="BC1067" s="12"/>
      <c r="BD1067" s="11">
        <v>0</v>
      </c>
      <c r="BE1067" s="11">
        <v>0</v>
      </c>
    </row>
    <row x14ac:dyDescent="0.25" r="1068" customHeight="1" ht="17.25">
      <c r="A1068" s="11">
        <v>623130</v>
      </c>
      <c r="B1068" s="4" t="s">
        <v>4869</v>
      </c>
      <c r="C1068" s="5" t="s">
        <v>4779</v>
      </c>
      <c r="D1068" s="5" t="s">
        <v>4780</v>
      </c>
      <c r="E1068" s="12"/>
      <c r="F1068" s="13">
        <f>"0679781463"</f>
      </c>
      <c r="G1068" s="13">
        <f>"9780679781462"</f>
      </c>
      <c r="H1068" s="11">
        <v>0</v>
      </c>
      <c r="I1068" s="14">
        <v>3.77</v>
      </c>
      <c r="J1068" s="7" t="s">
        <v>4870</v>
      </c>
      <c r="K1068" s="5" t="s">
        <v>60</v>
      </c>
      <c r="L1068" s="11">
        <v>362</v>
      </c>
      <c r="M1068" s="11">
        <v>1997</v>
      </c>
      <c r="N1068" s="11">
        <v>1985</v>
      </c>
      <c r="O1068" s="15"/>
      <c r="P1068" s="8">
        <v>45147</v>
      </c>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4" t="s">
        <v>38</v>
      </c>
      <c r="AY1068" s="5" t="s">
        <v>4871</v>
      </c>
      <c r="AZ1068" s="5" t="s">
        <v>38</v>
      </c>
      <c r="BA1068" s="12"/>
      <c r="BB1068" s="12"/>
      <c r="BC1068" s="12"/>
      <c r="BD1068" s="11">
        <v>0</v>
      </c>
      <c r="BE1068" s="11">
        <v>0</v>
      </c>
    </row>
    <row x14ac:dyDescent="0.25" r="1069" customHeight="1" ht="17.25">
      <c r="A1069" s="11">
        <v>15812438</v>
      </c>
      <c r="B1069" s="4" t="s">
        <v>4872</v>
      </c>
      <c r="C1069" s="5" t="s">
        <v>4873</v>
      </c>
      <c r="D1069" s="5" t="s">
        <v>4874</v>
      </c>
      <c r="E1069" s="5" t="s">
        <v>4875</v>
      </c>
      <c r="F1069" s="13">
        <f>"0822352494"</f>
      </c>
      <c r="G1069" s="13">
        <f>"9780822352495"</f>
      </c>
      <c r="H1069" s="11">
        <v>0</v>
      </c>
      <c r="I1069" s="14">
        <v>4.32</v>
      </c>
      <c r="J1069" s="7" t="s">
        <v>926</v>
      </c>
      <c r="K1069" s="5" t="s">
        <v>72</v>
      </c>
      <c r="L1069" s="11">
        <v>488</v>
      </c>
      <c r="M1069" s="11">
        <v>2012</v>
      </c>
      <c r="N1069" s="11">
        <v>2012</v>
      </c>
      <c r="O1069" s="15"/>
      <c r="P1069" s="8">
        <v>45147</v>
      </c>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4" t="s">
        <v>38</v>
      </c>
      <c r="AY1069" s="5" t="s">
        <v>4876</v>
      </c>
      <c r="AZ1069" s="5" t="s">
        <v>38</v>
      </c>
      <c r="BA1069" s="12"/>
      <c r="BB1069" s="12"/>
      <c r="BC1069" s="12"/>
      <c r="BD1069" s="11">
        <v>0</v>
      </c>
      <c r="BE1069" s="11">
        <v>0</v>
      </c>
    </row>
    <row x14ac:dyDescent="0.25" r="1070" customHeight="1" ht="17.25">
      <c r="A1070" s="11">
        <v>2170223</v>
      </c>
      <c r="B1070" s="4" t="s">
        <v>4877</v>
      </c>
      <c r="C1070" s="5" t="s">
        <v>4878</v>
      </c>
      <c r="D1070" s="5" t="s">
        <v>4879</v>
      </c>
      <c r="E1070" s="12"/>
      <c r="F1070" s="13">
        <f>"1585679569"</f>
      </c>
      <c r="G1070" s="13">
        <f>"9781585679560"</f>
      </c>
      <c r="H1070" s="11">
        <v>0</v>
      </c>
      <c r="I1070" s="14">
        <v>4.52</v>
      </c>
      <c r="J1070" s="7" t="s">
        <v>4880</v>
      </c>
      <c r="K1070" s="5" t="s">
        <v>72</v>
      </c>
      <c r="L1070" s="11">
        <v>560</v>
      </c>
      <c r="M1070" s="11">
        <v>2007</v>
      </c>
      <c r="N1070" s="11">
        <v>1948</v>
      </c>
      <c r="O1070" s="15"/>
      <c r="P1070" s="8">
        <v>45147</v>
      </c>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4" t="s">
        <v>38</v>
      </c>
      <c r="AY1070" s="5" t="s">
        <v>4881</v>
      </c>
      <c r="AZ1070" s="5" t="s">
        <v>38</v>
      </c>
      <c r="BA1070" s="12"/>
      <c r="BB1070" s="12"/>
      <c r="BC1070" s="12"/>
      <c r="BD1070" s="11">
        <v>0</v>
      </c>
      <c r="BE1070" s="11">
        <v>0</v>
      </c>
    </row>
    <row x14ac:dyDescent="0.25" r="1071" customHeight="1" ht="17.25">
      <c r="A1071" s="11">
        <v>1064310</v>
      </c>
      <c r="B1071" s="4" t="s">
        <v>4882</v>
      </c>
      <c r="C1071" s="5" t="s">
        <v>4883</v>
      </c>
      <c r="D1071" s="5" t="s">
        <v>4884</v>
      </c>
      <c r="E1071" s="12"/>
      <c r="F1071" s="13">
        <f>"9875504785"</f>
      </c>
      <c r="G1071" s="13">
        <f>"9789875504783"</f>
      </c>
      <c r="H1071" s="11">
        <v>0</v>
      </c>
      <c r="I1071" s="14">
        <v>3.93</v>
      </c>
      <c r="J1071" s="7" t="s">
        <v>4885</v>
      </c>
      <c r="K1071" s="5" t="s">
        <v>60</v>
      </c>
      <c r="L1071" s="11">
        <v>256</v>
      </c>
      <c r="M1071" s="11">
        <v>2004</v>
      </c>
      <c r="N1071" s="11">
        <v>1913</v>
      </c>
      <c r="O1071" s="15"/>
      <c r="P1071" s="8">
        <v>45147</v>
      </c>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4" t="s">
        <v>38</v>
      </c>
      <c r="AY1071" s="5" t="s">
        <v>4886</v>
      </c>
      <c r="AZ1071" s="5" t="s">
        <v>38</v>
      </c>
      <c r="BA1071" s="12"/>
      <c r="BB1071" s="12"/>
      <c r="BC1071" s="12"/>
      <c r="BD1071" s="11">
        <v>0</v>
      </c>
      <c r="BE1071" s="11">
        <v>0</v>
      </c>
    </row>
    <row x14ac:dyDescent="0.25" r="1072" customHeight="1" ht="17.25">
      <c r="A1072" s="11">
        <v>269735</v>
      </c>
      <c r="B1072" s="4" t="s">
        <v>4887</v>
      </c>
      <c r="C1072" s="5" t="s">
        <v>4888</v>
      </c>
      <c r="D1072" s="5" t="s">
        <v>4889</v>
      </c>
      <c r="E1072" s="12"/>
      <c r="F1072" s="13">
        <f>"0140436774"</f>
      </c>
      <c r="G1072" s="13">
        <f>"9780140436778"</f>
      </c>
      <c r="H1072" s="11">
        <v>0</v>
      </c>
      <c r="I1072" s="14">
        <v>3.49</v>
      </c>
      <c r="J1072" s="7" t="s">
        <v>263</v>
      </c>
      <c r="K1072" s="5" t="s">
        <v>60</v>
      </c>
      <c r="L1072" s="11">
        <v>288</v>
      </c>
      <c r="M1072" s="11">
        <v>1998</v>
      </c>
      <c r="N1072" s="11">
        <v>1845</v>
      </c>
      <c r="O1072" s="15"/>
      <c r="P1072" s="8">
        <v>45147</v>
      </c>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4" t="s">
        <v>38</v>
      </c>
      <c r="AY1072" s="5" t="s">
        <v>4890</v>
      </c>
      <c r="AZ1072" s="5" t="s">
        <v>38</v>
      </c>
      <c r="BA1072" s="12"/>
      <c r="BB1072" s="12"/>
      <c r="BC1072" s="12"/>
      <c r="BD1072" s="11">
        <v>0</v>
      </c>
      <c r="BE1072" s="11">
        <v>0</v>
      </c>
    </row>
    <row x14ac:dyDescent="0.25" r="1073" customHeight="1" ht="17.25">
      <c r="A1073" s="11">
        <v>13594204</v>
      </c>
      <c r="B1073" s="4" t="s">
        <v>4891</v>
      </c>
      <c r="C1073" s="5" t="s">
        <v>4892</v>
      </c>
      <c r="D1073" s="5" t="s">
        <v>4893</v>
      </c>
      <c r="E1073" s="5" t="s">
        <v>4894</v>
      </c>
      <c r="F1073" s="13">
        <f>"0803239777"</f>
      </c>
      <c r="G1073" s="13">
        <f>"9780803239777"</f>
      </c>
      <c r="H1073" s="11">
        <v>0</v>
      </c>
      <c r="I1073" s="11">
        <v>3</v>
      </c>
      <c r="J1073" s="7" t="s">
        <v>4895</v>
      </c>
      <c r="K1073" s="5" t="s">
        <v>60</v>
      </c>
      <c r="L1073" s="11">
        <v>200</v>
      </c>
      <c r="M1073" s="11">
        <v>2012</v>
      </c>
      <c r="N1073" s="11">
        <v>2007</v>
      </c>
      <c r="O1073" s="15"/>
      <c r="P1073" s="8">
        <v>45147</v>
      </c>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4" t="s">
        <v>38</v>
      </c>
      <c r="AY1073" s="5" t="s">
        <v>4896</v>
      </c>
      <c r="AZ1073" s="5" t="s">
        <v>38</v>
      </c>
      <c r="BA1073" s="12"/>
      <c r="BB1073" s="12"/>
      <c r="BC1073" s="12"/>
      <c r="BD1073" s="11">
        <v>0</v>
      </c>
      <c r="BE1073" s="11">
        <v>0</v>
      </c>
    </row>
    <row x14ac:dyDescent="0.25" r="1074" customHeight="1" ht="17.25">
      <c r="A1074" s="11">
        <v>146422</v>
      </c>
      <c r="B1074" s="4" t="s">
        <v>4897</v>
      </c>
      <c r="C1074" s="5" t="s">
        <v>1285</v>
      </c>
      <c r="D1074" s="5" t="s">
        <v>1286</v>
      </c>
      <c r="E1074" s="5" t="s">
        <v>4898</v>
      </c>
      <c r="F1074" s="13">
        <f>""</f>
      </c>
      <c r="G1074" s="13">
        <f>""</f>
      </c>
      <c r="H1074" s="11">
        <v>0</v>
      </c>
      <c r="I1074" s="14">
        <v>4.12</v>
      </c>
      <c r="J1074" s="7" t="s">
        <v>150</v>
      </c>
      <c r="K1074" s="5" t="s">
        <v>60</v>
      </c>
      <c r="L1074" s="11">
        <v>159</v>
      </c>
      <c r="M1074" s="11">
        <v>2001</v>
      </c>
      <c r="N1074" s="11">
        <v>1975</v>
      </c>
      <c r="O1074" s="15"/>
      <c r="P1074" s="8">
        <v>45147</v>
      </c>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4" t="s">
        <v>38</v>
      </c>
      <c r="AY1074" s="5" t="s">
        <v>4899</v>
      </c>
      <c r="AZ1074" s="5" t="s">
        <v>38</v>
      </c>
      <c r="BA1074" s="12"/>
      <c r="BB1074" s="12"/>
      <c r="BC1074" s="12"/>
      <c r="BD1074" s="11">
        <v>0</v>
      </c>
      <c r="BE1074" s="11">
        <v>0</v>
      </c>
    </row>
    <row x14ac:dyDescent="0.25" r="1075" customHeight="1" ht="17.25">
      <c r="A1075" s="11">
        <v>11702</v>
      </c>
      <c r="B1075" s="4" t="s">
        <v>4900</v>
      </c>
      <c r="C1075" s="5" t="s">
        <v>4901</v>
      </c>
      <c r="D1075" s="5" t="s">
        <v>4902</v>
      </c>
      <c r="E1075" s="5" t="s">
        <v>4903</v>
      </c>
      <c r="F1075" s="13">
        <f>"080215042X"</f>
      </c>
      <c r="G1075" s="13">
        <f>"9780802150424"</f>
      </c>
      <c r="H1075" s="11">
        <v>0</v>
      </c>
      <c r="I1075" s="14">
        <v>4.12</v>
      </c>
      <c r="J1075" s="7" t="s">
        <v>66</v>
      </c>
      <c r="K1075" s="5" t="s">
        <v>60</v>
      </c>
      <c r="L1075" s="11">
        <v>398</v>
      </c>
      <c r="M1075" s="11">
        <v>1994</v>
      </c>
      <c r="N1075" s="11">
        <v>1950</v>
      </c>
      <c r="O1075" s="15"/>
      <c r="P1075" s="8">
        <v>45147</v>
      </c>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4" t="s">
        <v>38</v>
      </c>
      <c r="AY1075" s="5" t="s">
        <v>4904</v>
      </c>
      <c r="AZ1075" s="5" t="s">
        <v>38</v>
      </c>
      <c r="BA1075" s="12"/>
      <c r="BB1075" s="12"/>
      <c r="BC1075" s="12"/>
      <c r="BD1075" s="11">
        <v>0</v>
      </c>
      <c r="BE1075" s="11">
        <v>0</v>
      </c>
    </row>
    <row x14ac:dyDescent="0.25" r="1076" customHeight="1" ht="17.25">
      <c r="A1076" s="11">
        <v>770305</v>
      </c>
      <c r="B1076" s="4" t="s">
        <v>4905</v>
      </c>
      <c r="C1076" s="5" t="s">
        <v>3708</v>
      </c>
      <c r="D1076" s="5" t="s">
        <v>3709</v>
      </c>
      <c r="E1076" s="12"/>
      <c r="F1076" s="13">
        <f>"0895267071"</f>
      </c>
      <c r="G1076" s="13">
        <f>"9780895267078"</f>
      </c>
      <c r="H1076" s="11">
        <v>0</v>
      </c>
      <c r="I1076" s="14">
        <v>3.94</v>
      </c>
      <c r="J1076" s="7" t="s">
        <v>4437</v>
      </c>
      <c r="K1076" s="5" t="s">
        <v>60</v>
      </c>
      <c r="L1076" s="11">
        <v>267</v>
      </c>
      <c r="M1076" s="11">
        <v>1996</v>
      </c>
      <c r="N1076" s="11">
        <v>1917</v>
      </c>
      <c r="O1076" s="15"/>
      <c r="P1076" s="8">
        <v>45147</v>
      </c>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4" t="s">
        <v>38</v>
      </c>
      <c r="AY1076" s="5" t="s">
        <v>4906</v>
      </c>
      <c r="AZ1076" s="5" t="s">
        <v>38</v>
      </c>
      <c r="BA1076" s="12"/>
      <c r="BB1076" s="12"/>
      <c r="BC1076" s="12"/>
      <c r="BD1076" s="11">
        <v>0</v>
      </c>
      <c r="BE1076" s="11">
        <v>0</v>
      </c>
    </row>
    <row x14ac:dyDescent="0.25" r="1077" customHeight="1" ht="17.25">
      <c r="A1077" s="11">
        <v>17655849</v>
      </c>
      <c r="B1077" s="4" t="s">
        <v>4907</v>
      </c>
      <c r="C1077" s="5" t="s">
        <v>4908</v>
      </c>
      <c r="D1077" s="5" t="s">
        <v>4909</v>
      </c>
      <c r="E1077" s="5" t="s">
        <v>4910</v>
      </c>
      <c r="F1077" s="13">
        <f>"1936747642"</f>
      </c>
      <c r="G1077" s="13">
        <f>"9781936747641"</f>
      </c>
      <c r="H1077" s="11">
        <v>0</v>
      </c>
      <c r="I1077" s="14">
        <v>3.58</v>
      </c>
      <c r="J1077" s="7" t="s">
        <v>4577</v>
      </c>
      <c r="K1077" s="5" t="s">
        <v>60</v>
      </c>
      <c r="L1077" s="11">
        <v>176</v>
      </c>
      <c r="M1077" s="11">
        <v>2013</v>
      </c>
      <c r="N1077" s="11">
        <v>2013</v>
      </c>
      <c r="O1077" s="15"/>
      <c r="P1077" s="8">
        <v>44814</v>
      </c>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4" t="s">
        <v>1225</v>
      </c>
      <c r="AY1077" s="5" t="s">
        <v>4911</v>
      </c>
      <c r="AZ1077" s="5" t="s">
        <v>38</v>
      </c>
      <c r="BA1077" s="12"/>
      <c r="BB1077" s="12"/>
      <c r="BC1077" s="12"/>
      <c r="BD1077" s="11">
        <v>0</v>
      </c>
      <c r="BE1077" s="11">
        <v>0</v>
      </c>
    </row>
    <row x14ac:dyDescent="0.25" r="1078" customHeight="1" ht="17.25">
      <c r="A1078" s="11">
        <v>5369830</v>
      </c>
      <c r="B1078" s="4" t="s">
        <v>4912</v>
      </c>
      <c r="C1078" s="5" t="s">
        <v>4913</v>
      </c>
      <c r="D1078" s="5" t="s">
        <v>4914</v>
      </c>
      <c r="E1078" s="12"/>
      <c r="F1078" s="13">
        <f>"096276955X"</f>
      </c>
      <c r="G1078" s="13">
        <f>"9780962769559"</f>
      </c>
      <c r="H1078" s="11">
        <v>0</v>
      </c>
      <c r="I1078" s="11">
        <v>0</v>
      </c>
      <c r="J1078" s="7" t="s">
        <v>4915</v>
      </c>
      <c r="K1078" s="5" t="s">
        <v>60</v>
      </c>
      <c r="L1078" s="11">
        <v>150</v>
      </c>
      <c r="M1078" s="11">
        <v>2004</v>
      </c>
      <c r="N1078" s="11">
        <v>1990</v>
      </c>
      <c r="O1078" s="15"/>
      <c r="P1078" s="8">
        <v>45145</v>
      </c>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4" t="s">
        <v>2478</v>
      </c>
      <c r="AY1078" s="5" t="s">
        <v>4916</v>
      </c>
      <c r="AZ1078" s="5" t="s">
        <v>38</v>
      </c>
      <c r="BA1078" s="12"/>
      <c r="BB1078" s="12"/>
      <c r="BC1078" s="12"/>
      <c r="BD1078" s="11">
        <v>0</v>
      </c>
      <c r="BE1078" s="11">
        <v>0</v>
      </c>
    </row>
    <row x14ac:dyDescent="0.25" r="1079" customHeight="1" ht="17.25">
      <c r="A1079" s="11">
        <v>15997779</v>
      </c>
      <c r="B1079" s="4" t="s">
        <v>4917</v>
      </c>
      <c r="C1079" s="5" t="s">
        <v>4918</v>
      </c>
      <c r="D1079" s="5" t="s">
        <v>4919</v>
      </c>
      <c r="E1079" s="12"/>
      <c r="F1079" s="13">
        <f>""</f>
      </c>
      <c r="G1079" s="13">
        <f>""</f>
      </c>
      <c r="H1079" s="11">
        <v>0</v>
      </c>
      <c r="I1079" s="14">
        <v>3.94</v>
      </c>
      <c r="J1079" s="7" t="s">
        <v>4920</v>
      </c>
      <c r="K1079" s="5" t="s">
        <v>90</v>
      </c>
      <c r="L1079" s="11">
        <v>233</v>
      </c>
      <c r="M1079" s="11">
        <v>2015</v>
      </c>
      <c r="N1079" s="11">
        <v>2012</v>
      </c>
      <c r="O1079" s="15"/>
      <c r="P1079" s="8">
        <v>45146</v>
      </c>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4" t="s">
        <v>38</v>
      </c>
      <c r="AY1079" s="5" t="s">
        <v>4921</v>
      </c>
      <c r="AZ1079" s="5" t="s">
        <v>38</v>
      </c>
      <c r="BA1079" s="12"/>
      <c r="BB1079" s="12"/>
      <c r="BC1079" s="12"/>
      <c r="BD1079" s="11">
        <v>0</v>
      </c>
      <c r="BE1079" s="11">
        <v>0</v>
      </c>
    </row>
    <row x14ac:dyDescent="0.25" r="1080" customHeight="1" ht="17.25">
      <c r="A1080" s="11">
        <v>35606238</v>
      </c>
      <c r="B1080" s="4" t="s">
        <v>4922</v>
      </c>
      <c r="C1080" s="5" t="s">
        <v>4923</v>
      </c>
      <c r="D1080" s="5" t="s">
        <v>4924</v>
      </c>
      <c r="E1080" s="5" t="s">
        <v>4923</v>
      </c>
      <c r="F1080" s="13">
        <f>"0822371103"</f>
      </c>
      <c r="G1080" s="13">
        <f>"9780822371106"</f>
      </c>
      <c r="H1080" s="11">
        <v>0</v>
      </c>
      <c r="I1080" s="14">
        <v>3.73</v>
      </c>
      <c r="J1080" s="7" t="s">
        <v>926</v>
      </c>
      <c r="K1080" s="5" t="s">
        <v>60</v>
      </c>
      <c r="L1080" s="11">
        <v>240</v>
      </c>
      <c r="M1080" s="11">
        <v>2018</v>
      </c>
      <c r="N1080" s="11">
        <v>1924</v>
      </c>
      <c r="O1080" s="15"/>
      <c r="P1080" s="8">
        <v>45145</v>
      </c>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4" t="s">
        <v>38</v>
      </c>
      <c r="AY1080" s="5" t="s">
        <v>4925</v>
      </c>
      <c r="AZ1080" s="5" t="s">
        <v>38</v>
      </c>
      <c r="BA1080" s="12"/>
      <c r="BB1080" s="12"/>
      <c r="BC1080" s="12"/>
      <c r="BD1080" s="11">
        <v>0</v>
      </c>
      <c r="BE1080" s="11">
        <v>0</v>
      </c>
    </row>
    <row x14ac:dyDescent="0.25" r="1081" customHeight="1" ht="17.25">
      <c r="A1081" s="11">
        <v>13481515</v>
      </c>
      <c r="B1081" s="4" t="s">
        <v>4926</v>
      </c>
      <c r="C1081" s="5" t="s">
        <v>4927</v>
      </c>
      <c r="D1081" s="5" t="s">
        <v>4928</v>
      </c>
      <c r="E1081" s="12"/>
      <c r="F1081" s="13">
        <f>""</f>
      </c>
      <c r="G1081" s="13">
        <f>""</f>
      </c>
      <c r="H1081" s="11">
        <v>0</v>
      </c>
      <c r="I1081" s="14">
        <v>4.81</v>
      </c>
      <c r="J1081" s="7" t="s">
        <v>4929</v>
      </c>
      <c r="K1081" s="5" t="s">
        <v>72</v>
      </c>
      <c r="L1081" s="16"/>
      <c r="M1081" s="11">
        <v>1888</v>
      </c>
      <c r="N1081" s="11">
        <v>1888</v>
      </c>
      <c r="O1081" s="15"/>
      <c r="P1081" s="8">
        <v>43976</v>
      </c>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4" t="s">
        <v>4930</v>
      </c>
      <c r="AY1081" s="5" t="s">
        <v>4931</v>
      </c>
      <c r="AZ1081" s="5" t="s">
        <v>38</v>
      </c>
      <c r="BA1081" s="12"/>
      <c r="BB1081" s="12"/>
      <c r="BC1081" s="12"/>
      <c r="BD1081" s="11">
        <v>0</v>
      </c>
      <c r="BE1081" s="11">
        <v>0</v>
      </c>
    </row>
    <row x14ac:dyDescent="0.25" r="1082" customHeight="1" ht="17.25">
      <c r="A1082" s="11">
        <v>5035817</v>
      </c>
      <c r="B1082" s="4" t="s">
        <v>4932</v>
      </c>
      <c r="C1082" s="5" t="s">
        <v>4933</v>
      </c>
      <c r="D1082" s="5" t="s">
        <v>4934</v>
      </c>
      <c r="E1082" s="12"/>
      <c r="F1082" s="13">
        <f>"1413484239"</f>
      </c>
      <c r="G1082" s="13">
        <f>"9781413484236"</f>
      </c>
      <c r="H1082" s="11">
        <v>0</v>
      </c>
      <c r="I1082" s="11">
        <v>5</v>
      </c>
      <c r="J1082" s="7" t="s">
        <v>4935</v>
      </c>
      <c r="K1082" s="5" t="s">
        <v>72</v>
      </c>
      <c r="L1082" s="11">
        <v>268</v>
      </c>
      <c r="M1082" s="11">
        <v>2005</v>
      </c>
      <c r="N1082" s="11">
        <v>2005</v>
      </c>
      <c r="O1082" s="15"/>
      <c r="P1082" s="8">
        <v>45145</v>
      </c>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4" t="s">
        <v>38</v>
      </c>
      <c r="AY1082" s="5" t="s">
        <v>4936</v>
      </c>
      <c r="AZ1082" s="5" t="s">
        <v>38</v>
      </c>
      <c r="BA1082" s="12"/>
      <c r="BB1082" s="12"/>
      <c r="BC1082" s="12"/>
      <c r="BD1082" s="11">
        <v>0</v>
      </c>
      <c r="BE1082" s="11">
        <v>0</v>
      </c>
    </row>
    <row x14ac:dyDescent="0.25" r="1083" customHeight="1" ht="17.25">
      <c r="A1083" s="11">
        <v>25330039</v>
      </c>
      <c r="B1083" s="4" t="s">
        <v>4937</v>
      </c>
      <c r="C1083" s="5" t="s">
        <v>4938</v>
      </c>
      <c r="D1083" s="5" t="s">
        <v>4939</v>
      </c>
      <c r="E1083" s="5" t="s">
        <v>4940</v>
      </c>
      <c r="F1083" s="13">
        <f>"190871428X"</f>
      </c>
      <c r="G1083" s="13">
        <f>"9781908714282"</f>
      </c>
      <c r="H1083" s="11">
        <v>0</v>
      </c>
      <c r="I1083" s="14">
        <v>4.19</v>
      </c>
      <c r="J1083" s="7" t="s">
        <v>4941</v>
      </c>
      <c r="K1083" s="5" t="s">
        <v>72</v>
      </c>
      <c r="L1083" s="11">
        <v>112</v>
      </c>
      <c r="M1083" s="11">
        <v>2015</v>
      </c>
      <c r="N1083" s="11">
        <v>2015</v>
      </c>
      <c r="O1083" s="15"/>
      <c r="P1083" s="8">
        <v>45145</v>
      </c>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4" t="s">
        <v>38</v>
      </c>
      <c r="AY1083" s="5" t="s">
        <v>4942</v>
      </c>
      <c r="AZ1083" s="5" t="s">
        <v>38</v>
      </c>
      <c r="BA1083" s="12"/>
      <c r="BB1083" s="12"/>
      <c r="BC1083" s="12"/>
      <c r="BD1083" s="11">
        <v>0</v>
      </c>
      <c r="BE1083" s="11">
        <v>0</v>
      </c>
    </row>
    <row x14ac:dyDescent="0.25" r="1084" customHeight="1" ht="17.25">
      <c r="A1084" s="11">
        <v>35490690</v>
      </c>
      <c r="B1084" s="4" t="s">
        <v>4943</v>
      </c>
      <c r="C1084" s="5" t="s">
        <v>4944</v>
      </c>
      <c r="D1084" s="5" t="s">
        <v>4945</v>
      </c>
      <c r="E1084" s="12"/>
      <c r="F1084" s="13">
        <f>"1912316048"</f>
      </c>
      <c r="G1084" s="13">
        <f>"9781912316045"</f>
      </c>
      <c r="H1084" s="11">
        <v>0</v>
      </c>
      <c r="I1084" s="14">
        <v>4.38</v>
      </c>
      <c r="J1084" s="7" t="s">
        <v>4946</v>
      </c>
      <c r="K1084" s="5" t="s">
        <v>60</v>
      </c>
      <c r="L1084" s="11">
        <v>320</v>
      </c>
      <c r="M1084" s="11">
        <v>2017</v>
      </c>
      <c r="N1084" s="16"/>
      <c r="O1084" s="15"/>
      <c r="P1084" s="8">
        <v>45145</v>
      </c>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4" t="s">
        <v>38</v>
      </c>
      <c r="AY1084" s="5" t="s">
        <v>4947</v>
      </c>
      <c r="AZ1084" s="5" t="s">
        <v>38</v>
      </c>
      <c r="BA1084" s="12"/>
      <c r="BB1084" s="12"/>
      <c r="BC1084" s="12"/>
      <c r="BD1084" s="11">
        <v>0</v>
      </c>
      <c r="BE1084" s="11">
        <v>0</v>
      </c>
    </row>
    <row x14ac:dyDescent="0.25" r="1085" customHeight="1" ht="17.25">
      <c r="A1085" s="11">
        <v>21181260</v>
      </c>
      <c r="B1085" s="4" t="s">
        <v>4948</v>
      </c>
      <c r="C1085" s="5" t="s">
        <v>4949</v>
      </c>
      <c r="D1085" s="5" t="s">
        <v>4950</v>
      </c>
      <c r="E1085" s="12"/>
      <c r="F1085" s="13">
        <f>""</f>
      </c>
      <c r="G1085" s="13">
        <f>""</f>
      </c>
      <c r="H1085" s="11">
        <v>0</v>
      </c>
      <c r="I1085" s="11">
        <v>5</v>
      </c>
      <c r="J1085" s="7" t="s">
        <v>4951</v>
      </c>
      <c r="K1085" s="5" t="s">
        <v>90</v>
      </c>
      <c r="L1085" s="11">
        <v>160</v>
      </c>
      <c r="M1085" s="11">
        <v>1987</v>
      </c>
      <c r="N1085" s="11">
        <v>1987</v>
      </c>
      <c r="O1085" s="15"/>
      <c r="P1085" s="8">
        <v>45145</v>
      </c>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4" t="s">
        <v>4930</v>
      </c>
      <c r="AY1085" s="5" t="s">
        <v>4952</v>
      </c>
      <c r="AZ1085" s="5" t="s">
        <v>38</v>
      </c>
      <c r="BA1085" s="12"/>
      <c r="BB1085" s="12"/>
      <c r="BC1085" s="12"/>
      <c r="BD1085" s="11">
        <v>0</v>
      </c>
      <c r="BE1085" s="11">
        <v>0</v>
      </c>
    </row>
    <row x14ac:dyDescent="0.25" r="1086" customHeight="1" ht="17.25">
      <c r="A1086" s="11">
        <v>1358530</v>
      </c>
      <c r="B1086" s="4" t="s">
        <v>4953</v>
      </c>
      <c r="C1086" s="5" t="s">
        <v>4954</v>
      </c>
      <c r="D1086" s="5" t="s">
        <v>4955</v>
      </c>
      <c r="E1086" s="12"/>
      <c r="F1086" s="13">
        <f>"048622614X"</f>
      </c>
      <c r="G1086" s="13">
        <f>"9780486226149"</f>
      </c>
      <c r="H1086" s="11">
        <v>0</v>
      </c>
      <c r="I1086" s="14">
        <v>3.55</v>
      </c>
      <c r="J1086" s="7" t="s">
        <v>571</v>
      </c>
      <c r="K1086" s="5" t="s">
        <v>60</v>
      </c>
      <c r="L1086" s="11">
        <v>336</v>
      </c>
      <c r="M1086" s="11">
        <v>1970</v>
      </c>
      <c r="N1086" s="11">
        <v>1922</v>
      </c>
      <c r="O1086" s="15"/>
      <c r="P1086" s="8">
        <v>45145</v>
      </c>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4" t="s">
        <v>4930</v>
      </c>
      <c r="AY1086" s="5" t="s">
        <v>4956</v>
      </c>
      <c r="AZ1086" s="5" t="s">
        <v>38</v>
      </c>
      <c r="BA1086" s="12"/>
      <c r="BB1086" s="12"/>
      <c r="BC1086" s="12"/>
      <c r="BD1086" s="11">
        <v>0</v>
      </c>
      <c r="BE1086" s="11">
        <v>0</v>
      </c>
    </row>
    <row x14ac:dyDescent="0.25" r="1087" customHeight="1" ht="17.25">
      <c r="A1087" s="11">
        <v>14982</v>
      </c>
      <c r="B1087" s="4" t="s">
        <v>4957</v>
      </c>
      <c r="C1087" s="5" t="s">
        <v>4958</v>
      </c>
      <c r="D1087" s="5" t="s">
        <v>4959</v>
      </c>
      <c r="E1087" s="5" t="s">
        <v>4960</v>
      </c>
      <c r="F1087" s="13">
        <f>"3791321447"</f>
      </c>
      <c r="G1087" s="13">
        <f>"9783791321448"</f>
      </c>
      <c r="H1087" s="11">
        <v>0</v>
      </c>
      <c r="I1087" s="14">
        <v>4.51</v>
      </c>
      <c r="J1087" s="7" t="s">
        <v>4961</v>
      </c>
      <c r="K1087" s="5" t="s">
        <v>72</v>
      </c>
      <c r="L1087" s="11">
        <v>360</v>
      </c>
      <c r="M1087" s="11">
        <v>2000</v>
      </c>
      <c r="N1087" s="11">
        <v>1982</v>
      </c>
      <c r="O1087" s="15"/>
      <c r="P1087" s="8">
        <v>45145</v>
      </c>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4" t="s">
        <v>4930</v>
      </c>
      <c r="AY1087" s="5" t="s">
        <v>4962</v>
      </c>
      <c r="AZ1087" s="5" t="s">
        <v>38</v>
      </c>
      <c r="BA1087" s="12"/>
      <c r="BB1087" s="12"/>
      <c r="BC1087" s="12"/>
      <c r="BD1087" s="11">
        <v>0</v>
      </c>
      <c r="BE1087" s="11">
        <v>0</v>
      </c>
    </row>
    <row x14ac:dyDescent="0.25" r="1088" customHeight="1" ht="17.25">
      <c r="A1088" s="11">
        <v>55062198</v>
      </c>
      <c r="B1088" s="4" t="s">
        <v>4963</v>
      </c>
      <c r="C1088" s="5" t="s">
        <v>4964</v>
      </c>
      <c r="D1088" s="5" t="s">
        <v>4965</v>
      </c>
      <c r="E1088" s="12"/>
      <c r="F1088" s="13">
        <f>""</f>
      </c>
      <c r="G1088" s="13">
        <f>""</f>
      </c>
      <c r="H1088" s="11">
        <v>0</v>
      </c>
      <c r="I1088" s="11">
        <v>0</v>
      </c>
      <c r="J1088" s="7" t="s">
        <v>4966</v>
      </c>
      <c r="K1088" s="5" t="s">
        <v>72</v>
      </c>
      <c r="L1088" s="16"/>
      <c r="M1088" s="11">
        <v>1951</v>
      </c>
      <c r="N1088" s="11">
        <v>1951</v>
      </c>
      <c r="O1088" s="15"/>
      <c r="P1088" s="8">
        <v>45145</v>
      </c>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4" t="s">
        <v>38</v>
      </c>
      <c r="AY1088" s="5" t="s">
        <v>4967</v>
      </c>
      <c r="AZ1088" s="5" t="s">
        <v>38</v>
      </c>
      <c r="BA1088" s="12"/>
      <c r="BB1088" s="12"/>
      <c r="BC1088" s="12"/>
      <c r="BD1088" s="11">
        <v>0</v>
      </c>
      <c r="BE1088" s="11">
        <v>0</v>
      </c>
    </row>
    <row x14ac:dyDescent="0.25" r="1089" customHeight="1" ht="17.25">
      <c r="A1089" s="11">
        <v>10957388</v>
      </c>
      <c r="B1089" s="4" t="s">
        <v>4968</v>
      </c>
      <c r="C1089" s="5" t="s">
        <v>4969</v>
      </c>
      <c r="D1089" s="5" t="s">
        <v>4970</v>
      </c>
      <c r="E1089" s="5" t="s">
        <v>4971</v>
      </c>
      <c r="F1089" s="13">
        <f>"1564786358"</f>
      </c>
      <c r="G1089" s="13">
        <f>"9781564786357"</f>
      </c>
      <c r="H1089" s="11">
        <v>0</v>
      </c>
      <c r="I1089" s="14">
        <v>3.32</v>
      </c>
      <c r="J1089" s="7" t="s">
        <v>59</v>
      </c>
      <c r="K1089" s="5" t="s">
        <v>60</v>
      </c>
      <c r="L1089" s="11">
        <v>160</v>
      </c>
      <c r="M1089" s="11">
        <v>2011</v>
      </c>
      <c r="N1089" s="16"/>
      <c r="O1089" s="15"/>
      <c r="P1089" s="8">
        <v>45101</v>
      </c>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4" t="s">
        <v>38</v>
      </c>
      <c r="AY1089" s="5" t="s">
        <v>4972</v>
      </c>
      <c r="AZ1089" s="5" t="s">
        <v>38</v>
      </c>
      <c r="BA1089" s="12"/>
      <c r="BB1089" s="12"/>
      <c r="BC1089" s="12"/>
      <c r="BD1089" s="11">
        <v>0</v>
      </c>
      <c r="BE1089" s="11">
        <v>0</v>
      </c>
    </row>
    <row x14ac:dyDescent="0.25" r="1090" customHeight="1" ht="17.25">
      <c r="A1090" s="11">
        <v>331256</v>
      </c>
      <c r="B1090" s="4" t="s">
        <v>4973</v>
      </c>
      <c r="C1090" s="5" t="s">
        <v>4974</v>
      </c>
      <c r="D1090" s="5" t="s">
        <v>4975</v>
      </c>
      <c r="E1090" s="5" t="s">
        <v>4976</v>
      </c>
      <c r="F1090" s="13">
        <f>"0575070536"</f>
      </c>
      <c r="G1090" s="13">
        <f>"9780575070530"</f>
      </c>
      <c r="H1090" s="11">
        <v>0</v>
      </c>
      <c r="I1090" s="14">
        <v>4.15</v>
      </c>
      <c r="J1090" s="7" t="s">
        <v>2263</v>
      </c>
      <c r="K1090" s="5" t="s">
        <v>60</v>
      </c>
      <c r="L1090" s="11">
        <v>145</v>
      </c>
      <c r="M1090" s="11">
        <v>2000</v>
      </c>
      <c r="N1090" s="11">
        <v>1972</v>
      </c>
      <c r="O1090" s="15"/>
      <c r="P1090" s="8">
        <v>45144</v>
      </c>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4" t="s">
        <v>38</v>
      </c>
      <c r="AY1090" s="5" t="s">
        <v>4977</v>
      </c>
      <c r="AZ1090" s="5" t="s">
        <v>38</v>
      </c>
      <c r="BA1090" s="12"/>
      <c r="BB1090" s="12"/>
      <c r="BC1090" s="12"/>
      <c r="BD1090" s="11">
        <v>0</v>
      </c>
      <c r="BE1090" s="11">
        <v>0</v>
      </c>
    </row>
    <row x14ac:dyDescent="0.25" r="1091" customHeight="1" ht="17.25">
      <c r="A1091" s="11">
        <v>55278284</v>
      </c>
      <c r="B1091" s="4" t="s">
        <v>4978</v>
      </c>
      <c r="C1091" s="5" t="s">
        <v>4979</v>
      </c>
      <c r="D1091" s="5" t="s">
        <v>4980</v>
      </c>
      <c r="E1091" s="12"/>
      <c r="F1091" s="13">
        <f>"179720730X"</f>
      </c>
      <c r="G1091" s="13">
        <f>"9781797207308"</f>
      </c>
      <c r="H1091" s="11">
        <v>0</v>
      </c>
      <c r="I1091" s="14">
        <v>4.27</v>
      </c>
      <c r="J1091" s="7" t="s">
        <v>2416</v>
      </c>
      <c r="K1091" s="5" t="s">
        <v>72</v>
      </c>
      <c r="L1091" s="11">
        <v>256</v>
      </c>
      <c r="M1091" s="11">
        <v>2021</v>
      </c>
      <c r="N1091" s="11">
        <v>2020</v>
      </c>
      <c r="O1091" s="15"/>
      <c r="P1091" s="8">
        <v>45143</v>
      </c>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4" t="s">
        <v>38</v>
      </c>
      <c r="AY1091" s="5" t="s">
        <v>4981</v>
      </c>
      <c r="AZ1091" s="5" t="s">
        <v>38</v>
      </c>
      <c r="BA1091" s="12"/>
      <c r="BB1091" s="12"/>
      <c r="BC1091" s="12"/>
      <c r="BD1091" s="11">
        <v>0</v>
      </c>
      <c r="BE1091" s="11">
        <v>0</v>
      </c>
    </row>
    <row x14ac:dyDescent="0.25" r="1092" customHeight="1" ht="17.25">
      <c r="A1092" s="11">
        <v>28116739</v>
      </c>
      <c r="B1092" s="4" t="s">
        <v>4982</v>
      </c>
      <c r="C1092" s="5" t="s">
        <v>2199</v>
      </c>
      <c r="D1092" s="5" t="s">
        <v>2200</v>
      </c>
      <c r="E1092" s="12"/>
      <c r="F1092" s="13">
        <f>"0374227764"</f>
      </c>
      <c r="G1092" s="13">
        <f>"9780374227760"</f>
      </c>
      <c r="H1092" s="11">
        <v>0</v>
      </c>
      <c r="I1092" s="14">
        <v>3.88</v>
      </c>
      <c r="J1092" s="7" t="s">
        <v>120</v>
      </c>
      <c r="K1092" s="5" t="s">
        <v>72</v>
      </c>
      <c r="L1092" s="11">
        <v>257</v>
      </c>
      <c r="M1092" s="11">
        <v>2016</v>
      </c>
      <c r="N1092" s="11">
        <v>2016</v>
      </c>
      <c r="O1092" s="15"/>
      <c r="P1092" s="8">
        <v>45143</v>
      </c>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4" t="s">
        <v>38</v>
      </c>
      <c r="AY1092" s="5" t="s">
        <v>4983</v>
      </c>
      <c r="AZ1092" s="5" t="s">
        <v>38</v>
      </c>
      <c r="BA1092" s="12"/>
      <c r="BB1092" s="12"/>
      <c r="BC1092" s="12"/>
      <c r="BD1092" s="11">
        <v>0</v>
      </c>
      <c r="BE1092" s="11">
        <v>0</v>
      </c>
    </row>
    <row x14ac:dyDescent="0.25" r="1093" customHeight="1" ht="17.25">
      <c r="A1093" s="11">
        <v>38212134</v>
      </c>
      <c r="B1093" s="4" t="s">
        <v>4984</v>
      </c>
      <c r="C1093" s="5" t="s">
        <v>4985</v>
      </c>
      <c r="D1093" s="5" t="s">
        <v>4986</v>
      </c>
      <c r="E1093" s="12"/>
      <c r="F1093" s="13">
        <f>"1631493078"</f>
      </c>
      <c r="G1093" s="13">
        <f>"9781631493072"</f>
      </c>
      <c r="H1093" s="11">
        <v>0</v>
      </c>
      <c r="I1093" s="14">
        <v>4.29</v>
      </c>
      <c r="J1093" s="7" t="s">
        <v>988</v>
      </c>
      <c r="K1093" s="5" t="s">
        <v>72</v>
      </c>
      <c r="L1093" s="11">
        <v>384</v>
      </c>
      <c r="M1093" s="11">
        <v>2018</v>
      </c>
      <c r="N1093" s="11">
        <v>2018</v>
      </c>
      <c r="O1093" s="15"/>
      <c r="P1093" s="8">
        <v>45143</v>
      </c>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4" t="s">
        <v>38</v>
      </c>
      <c r="AY1093" s="5" t="s">
        <v>4987</v>
      </c>
      <c r="AZ1093" s="5" t="s">
        <v>38</v>
      </c>
      <c r="BA1093" s="12"/>
      <c r="BB1093" s="12"/>
      <c r="BC1093" s="12"/>
      <c r="BD1093" s="11">
        <v>0</v>
      </c>
      <c r="BE1093" s="11">
        <v>0</v>
      </c>
    </row>
    <row x14ac:dyDescent="0.25" r="1094" customHeight="1" ht="17.25">
      <c r="A1094" s="11">
        <v>58724737</v>
      </c>
      <c r="B1094" s="4" t="s">
        <v>4988</v>
      </c>
      <c r="C1094" s="5" t="s">
        <v>4989</v>
      </c>
      <c r="D1094" s="5" t="s">
        <v>4990</v>
      </c>
      <c r="E1094" s="12"/>
      <c r="F1094" s="13">
        <f>"1250281849"</f>
      </c>
      <c r="G1094" s="13">
        <f>"9781250281845"</f>
      </c>
      <c r="H1094" s="11">
        <v>0</v>
      </c>
      <c r="I1094" s="14">
        <v>4.26</v>
      </c>
      <c r="J1094" s="7" t="s">
        <v>2025</v>
      </c>
      <c r="K1094" s="5" t="s">
        <v>72</v>
      </c>
      <c r="L1094" s="11">
        <v>288</v>
      </c>
      <c r="M1094" s="11">
        <v>2022</v>
      </c>
      <c r="N1094" s="11">
        <v>2022</v>
      </c>
      <c r="O1094" s="15"/>
      <c r="P1094" s="8">
        <v>45143</v>
      </c>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4" t="s">
        <v>38</v>
      </c>
      <c r="AY1094" s="5" t="s">
        <v>4991</v>
      </c>
      <c r="AZ1094" s="5" t="s">
        <v>38</v>
      </c>
      <c r="BA1094" s="12"/>
      <c r="BB1094" s="12"/>
      <c r="BC1094" s="12"/>
      <c r="BD1094" s="11">
        <v>0</v>
      </c>
      <c r="BE1094" s="11">
        <v>0</v>
      </c>
    </row>
    <row x14ac:dyDescent="0.25" r="1095" customHeight="1" ht="17.25">
      <c r="A1095" s="11">
        <v>25213585</v>
      </c>
      <c r="B1095" s="4" t="s">
        <v>4992</v>
      </c>
      <c r="C1095" s="5" t="s">
        <v>4993</v>
      </c>
      <c r="D1095" s="5" t="s">
        <v>4994</v>
      </c>
      <c r="E1095" s="12"/>
      <c r="F1095" s="13">
        <f>"0500252122"</f>
      </c>
      <c r="G1095" s="13">
        <f>"9780500252123"</f>
      </c>
      <c r="H1095" s="11">
        <v>0</v>
      </c>
      <c r="I1095" s="14">
        <v>3.94</v>
      </c>
      <c r="J1095" s="7" t="s">
        <v>466</v>
      </c>
      <c r="K1095" s="5" t="s">
        <v>72</v>
      </c>
      <c r="L1095" s="11">
        <v>448</v>
      </c>
      <c r="M1095" s="11">
        <v>2015</v>
      </c>
      <c r="N1095" s="11">
        <v>2015</v>
      </c>
      <c r="O1095" s="15"/>
      <c r="P1095" s="8">
        <v>45143</v>
      </c>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4" t="s">
        <v>38</v>
      </c>
      <c r="AY1095" s="5" t="s">
        <v>4995</v>
      </c>
      <c r="AZ1095" s="5" t="s">
        <v>38</v>
      </c>
      <c r="BA1095" s="12"/>
      <c r="BB1095" s="12"/>
      <c r="BC1095" s="12"/>
      <c r="BD1095" s="11">
        <v>0</v>
      </c>
      <c r="BE1095" s="11">
        <v>0</v>
      </c>
    </row>
    <row x14ac:dyDescent="0.25" r="1096" customHeight="1" ht="17.25">
      <c r="A1096" s="11">
        <v>2714607</v>
      </c>
      <c r="B1096" s="4" t="s">
        <v>4996</v>
      </c>
      <c r="C1096" s="5" t="s">
        <v>4997</v>
      </c>
      <c r="D1096" s="5" t="s">
        <v>4998</v>
      </c>
      <c r="E1096" s="12"/>
      <c r="F1096" s="13">
        <f>"1594201927"</f>
      </c>
      <c r="G1096" s="13">
        <f>"9781594201929"</f>
      </c>
      <c r="H1096" s="11">
        <v>0</v>
      </c>
      <c r="I1096" s="14">
        <v>3.9</v>
      </c>
      <c r="J1096" s="7" t="s">
        <v>1265</v>
      </c>
      <c r="K1096" s="5" t="s">
        <v>72</v>
      </c>
      <c r="L1096" s="11">
        <v>442</v>
      </c>
      <c r="M1096" s="11">
        <v>2008</v>
      </c>
      <c r="N1096" s="11">
        <v>2007</v>
      </c>
      <c r="O1096" s="15"/>
      <c r="P1096" s="8">
        <v>45143</v>
      </c>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4" t="s">
        <v>38</v>
      </c>
      <c r="AY1096" s="5" t="s">
        <v>4999</v>
      </c>
      <c r="AZ1096" s="5" t="s">
        <v>38</v>
      </c>
      <c r="BA1096" s="12"/>
      <c r="BB1096" s="12"/>
      <c r="BC1096" s="12"/>
      <c r="BD1096" s="11">
        <v>0</v>
      </c>
      <c r="BE1096" s="11">
        <v>0</v>
      </c>
    </row>
    <row x14ac:dyDescent="0.25" r="1097" customHeight="1" ht="17.25">
      <c r="A1097" s="11">
        <v>8701960</v>
      </c>
      <c r="B1097" s="4" t="s">
        <v>5000</v>
      </c>
      <c r="C1097" s="5" t="s">
        <v>4461</v>
      </c>
      <c r="D1097" s="5" t="s">
        <v>4462</v>
      </c>
      <c r="E1097" s="12"/>
      <c r="F1097" s="13">
        <f>"0375423729"</f>
      </c>
      <c r="G1097" s="13">
        <f>"9780375423727"</f>
      </c>
      <c r="H1097" s="11">
        <v>0</v>
      </c>
      <c r="I1097" s="14">
        <v>4.03</v>
      </c>
      <c r="J1097" s="7" t="s">
        <v>5001</v>
      </c>
      <c r="K1097" s="5" t="s">
        <v>72</v>
      </c>
      <c r="L1097" s="11">
        <v>527</v>
      </c>
      <c r="M1097" s="11">
        <v>2011</v>
      </c>
      <c r="N1097" s="11">
        <v>2011</v>
      </c>
      <c r="O1097" s="15"/>
      <c r="P1097" s="8">
        <v>45143</v>
      </c>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4" t="s">
        <v>38</v>
      </c>
      <c r="AY1097" s="5" t="s">
        <v>5002</v>
      </c>
      <c r="AZ1097" s="5" t="s">
        <v>38</v>
      </c>
      <c r="BA1097" s="12"/>
      <c r="BB1097" s="12"/>
      <c r="BC1097" s="12"/>
      <c r="BD1097" s="11">
        <v>0</v>
      </c>
      <c r="BE1097" s="11">
        <v>0</v>
      </c>
    </row>
    <row x14ac:dyDescent="0.25" r="1098" customHeight="1" ht="17.25">
      <c r="A1098" s="11">
        <v>53085</v>
      </c>
      <c r="B1098" s="4" t="s">
        <v>5003</v>
      </c>
      <c r="C1098" s="5" t="s">
        <v>552</v>
      </c>
      <c r="D1098" s="5" t="s">
        <v>5004</v>
      </c>
      <c r="E1098" s="12"/>
      <c r="F1098" s="13">
        <f>"0140166548"</f>
      </c>
      <c r="G1098" s="13">
        <f>"9780140166545"</f>
      </c>
      <c r="H1098" s="11">
        <v>0</v>
      </c>
      <c r="I1098" s="14">
        <v>3.98</v>
      </c>
      <c r="J1098" s="7" t="s">
        <v>491</v>
      </c>
      <c r="K1098" s="5" t="s">
        <v>60</v>
      </c>
      <c r="L1098" s="11">
        <v>372</v>
      </c>
      <c r="M1098" s="11">
        <v>1997</v>
      </c>
      <c r="N1098" s="11">
        <v>1996</v>
      </c>
      <c r="O1098" s="15"/>
      <c r="P1098" s="8">
        <v>45143</v>
      </c>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4" t="s">
        <v>38</v>
      </c>
      <c r="AY1098" s="5" t="s">
        <v>5005</v>
      </c>
      <c r="AZ1098" s="5" t="s">
        <v>38</v>
      </c>
      <c r="BA1098" s="12"/>
      <c r="BB1098" s="12"/>
      <c r="BC1098" s="12"/>
      <c r="BD1098" s="11">
        <v>0</v>
      </c>
      <c r="BE1098" s="11">
        <v>0</v>
      </c>
    </row>
    <row x14ac:dyDescent="0.25" r="1099" customHeight="1" ht="17.25">
      <c r="A1099" s="11">
        <v>3347</v>
      </c>
      <c r="B1099" s="4" t="s">
        <v>5006</v>
      </c>
      <c r="C1099" s="5" t="s">
        <v>5007</v>
      </c>
      <c r="D1099" s="5" t="s">
        <v>5008</v>
      </c>
      <c r="E1099" s="12"/>
      <c r="F1099" s="13">
        <f>"0140298517"</f>
      </c>
      <c r="G1099" s="13">
        <f>"9780140298512"</f>
      </c>
      <c r="H1099" s="11">
        <v>0</v>
      </c>
      <c r="I1099" s="14">
        <v>3.87</v>
      </c>
      <c r="J1099" s="7" t="s">
        <v>491</v>
      </c>
      <c r="K1099" s="5" t="s">
        <v>60</v>
      </c>
      <c r="L1099" s="11">
        <v>400</v>
      </c>
      <c r="M1099" s="11">
        <v>2001</v>
      </c>
      <c r="N1099" s="11">
        <v>1999</v>
      </c>
      <c r="O1099" s="15"/>
      <c r="P1099" s="8">
        <v>45143</v>
      </c>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4" t="s">
        <v>38</v>
      </c>
      <c r="AY1099" s="5" t="s">
        <v>5009</v>
      </c>
      <c r="AZ1099" s="5" t="s">
        <v>38</v>
      </c>
      <c r="BA1099" s="12"/>
      <c r="BB1099" s="12"/>
      <c r="BC1099" s="12"/>
      <c r="BD1099" s="11">
        <v>0</v>
      </c>
      <c r="BE1099" s="11">
        <v>0</v>
      </c>
    </row>
    <row x14ac:dyDescent="0.25" r="1100" customHeight="1" ht="17.25">
      <c r="A1100" s="11">
        <v>56753473</v>
      </c>
      <c r="B1100" s="4" t="s">
        <v>5010</v>
      </c>
      <c r="C1100" s="5" t="s">
        <v>5011</v>
      </c>
      <c r="D1100" s="5" t="s">
        <v>5012</v>
      </c>
      <c r="E1100" s="12"/>
      <c r="F1100" s="13">
        <f>"1524748390"</f>
      </c>
      <c r="G1100" s="13">
        <f>"9781524748395"</f>
      </c>
      <c r="H1100" s="11">
        <v>0</v>
      </c>
      <c r="I1100" s="14">
        <v>4.17</v>
      </c>
      <c r="J1100" s="7" t="s">
        <v>2577</v>
      </c>
      <c r="K1100" s="5" t="s">
        <v>72</v>
      </c>
      <c r="L1100" s="11">
        <v>400</v>
      </c>
      <c r="M1100" s="11">
        <v>2022</v>
      </c>
      <c r="N1100" s="11">
        <v>2022</v>
      </c>
      <c r="O1100" s="15"/>
      <c r="P1100" s="8">
        <v>45143</v>
      </c>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4" t="s">
        <v>38</v>
      </c>
      <c r="AY1100" s="5" t="s">
        <v>5013</v>
      </c>
      <c r="AZ1100" s="5" t="s">
        <v>38</v>
      </c>
      <c r="BA1100" s="12"/>
      <c r="BB1100" s="12"/>
      <c r="BC1100" s="12"/>
      <c r="BD1100" s="11">
        <v>0</v>
      </c>
      <c r="BE1100" s="11">
        <v>0</v>
      </c>
    </row>
    <row x14ac:dyDescent="0.25" r="1101" customHeight="1" ht="17.25">
      <c r="A1101" s="11">
        <v>32264</v>
      </c>
      <c r="B1101" s="4" t="s">
        <v>5014</v>
      </c>
      <c r="C1101" s="5" t="s">
        <v>5015</v>
      </c>
      <c r="D1101" s="5" t="s">
        <v>5016</v>
      </c>
      <c r="E1101" s="12"/>
      <c r="F1101" s="13">
        <f>"1400062454"</f>
      </c>
      <c r="G1101" s="13">
        <f>"9781400062454"</f>
      </c>
      <c r="H1101" s="11">
        <v>0</v>
      </c>
      <c r="I1101" s="14">
        <v>3.93</v>
      </c>
      <c r="J1101" s="7" t="s">
        <v>1018</v>
      </c>
      <c r="K1101" s="5" t="s">
        <v>72</v>
      </c>
      <c r="L1101" s="11">
        <v>336</v>
      </c>
      <c r="M1101" s="11">
        <v>2006</v>
      </c>
      <c r="N1101" s="11">
        <v>2006</v>
      </c>
      <c r="O1101" s="15"/>
      <c r="P1101" s="8">
        <v>45143</v>
      </c>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4" t="s">
        <v>38</v>
      </c>
      <c r="AY1101" s="5" t="s">
        <v>5017</v>
      </c>
      <c r="AZ1101" s="5" t="s">
        <v>38</v>
      </c>
      <c r="BA1101" s="12"/>
      <c r="BB1101" s="12"/>
      <c r="BC1101" s="12"/>
      <c r="BD1101" s="11">
        <v>0</v>
      </c>
      <c r="BE1101" s="11">
        <v>0</v>
      </c>
    </row>
    <row x14ac:dyDescent="0.25" r="1102" customHeight="1" ht="17.25">
      <c r="A1102" s="11">
        <v>39507318</v>
      </c>
      <c r="B1102" s="4" t="s">
        <v>5018</v>
      </c>
      <c r="C1102" s="5" t="s">
        <v>5019</v>
      </c>
      <c r="D1102" s="5" t="s">
        <v>5020</v>
      </c>
      <c r="E1102" s="12"/>
      <c r="F1102" s="13">
        <f>"1476740186"</f>
      </c>
      <c r="G1102" s="13">
        <f>"9781476740188"</f>
      </c>
      <c r="H1102" s="11">
        <v>0</v>
      </c>
      <c r="I1102" s="14">
        <v>3.89</v>
      </c>
      <c r="J1102" s="7" t="s">
        <v>376</v>
      </c>
      <c r="K1102" s="5" t="s">
        <v>72</v>
      </c>
      <c r="L1102" s="11">
        <v>317</v>
      </c>
      <c r="M1102" s="11">
        <v>2018</v>
      </c>
      <c r="N1102" s="11">
        <v>2018</v>
      </c>
      <c r="O1102" s="15"/>
      <c r="P1102" s="8">
        <v>45143</v>
      </c>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4" t="s">
        <v>38</v>
      </c>
      <c r="AY1102" s="5" t="s">
        <v>5021</v>
      </c>
      <c r="AZ1102" s="5" t="s">
        <v>38</v>
      </c>
      <c r="BA1102" s="12"/>
      <c r="BB1102" s="12"/>
      <c r="BC1102" s="12"/>
      <c r="BD1102" s="11">
        <v>0</v>
      </c>
      <c r="BE1102" s="11">
        <v>0</v>
      </c>
    </row>
    <row x14ac:dyDescent="0.25" r="1103" customHeight="1" ht="17.25">
      <c r="A1103" s="11">
        <v>34625037</v>
      </c>
      <c r="B1103" s="4" t="s">
        <v>5022</v>
      </c>
      <c r="C1103" s="5" t="s">
        <v>3367</v>
      </c>
      <c r="D1103" s="5" t="s">
        <v>3368</v>
      </c>
      <c r="E1103" s="5" t="s">
        <v>5023</v>
      </c>
      <c r="F1103" s="13">
        <f>"0190600233"</f>
      </c>
      <c r="G1103" s="13">
        <f>"9780190600235"</f>
      </c>
      <c r="H1103" s="11">
        <v>0</v>
      </c>
      <c r="I1103" s="14">
        <v>3.46</v>
      </c>
      <c r="J1103" s="7" t="s">
        <v>245</v>
      </c>
      <c r="K1103" s="5" t="s">
        <v>72</v>
      </c>
      <c r="L1103" s="11">
        <v>264</v>
      </c>
      <c r="M1103" s="11">
        <v>2017</v>
      </c>
      <c r="N1103" s="16"/>
      <c r="O1103" s="15"/>
      <c r="P1103" s="8">
        <v>45143</v>
      </c>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4" t="s">
        <v>38</v>
      </c>
      <c r="AY1103" s="5" t="s">
        <v>5024</v>
      </c>
      <c r="AZ1103" s="5" t="s">
        <v>38</v>
      </c>
      <c r="BA1103" s="12"/>
      <c r="BB1103" s="12"/>
      <c r="BC1103" s="12"/>
      <c r="BD1103" s="11">
        <v>0</v>
      </c>
      <c r="BE1103" s="11">
        <v>0</v>
      </c>
    </row>
    <row x14ac:dyDescent="0.25" r="1104" customHeight="1" ht="17.25">
      <c r="A1104" s="11">
        <v>226714</v>
      </c>
      <c r="B1104" s="4" t="s">
        <v>5025</v>
      </c>
      <c r="C1104" s="5" t="s">
        <v>3367</v>
      </c>
      <c r="D1104" s="5" t="s">
        <v>3368</v>
      </c>
      <c r="E1104" s="12"/>
      <c r="F1104" s="13">
        <f>"0195074858"</f>
      </c>
      <c r="G1104" s="13">
        <f>"9780195074857"</f>
      </c>
      <c r="H1104" s="11">
        <v>0</v>
      </c>
      <c r="I1104" s="14">
        <v>4.11</v>
      </c>
      <c r="J1104" s="7" t="s">
        <v>245</v>
      </c>
      <c r="K1104" s="5" t="s">
        <v>60</v>
      </c>
      <c r="L1104" s="11">
        <v>432</v>
      </c>
      <c r="M1104" s="11">
        <v>1992</v>
      </c>
      <c r="N1104" s="11">
        <v>1990</v>
      </c>
      <c r="O1104" s="15"/>
      <c r="P1104" s="8">
        <v>45143</v>
      </c>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4" t="s">
        <v>38</v>
      </c>
      <c r="AY1104" s="5" t="s">
        <v>5026</v>
      </c>
      <c r="AZ1104" s="5" t="s">
        <v>38</v>
      </c>
      <c r="BA1104" s="12"/>
      <c r="BB1104" s="12"/>
      <c r="BC1104" s="12"/>
      <c r="BD1104" s="11">
        <v>0</v>
      </c>
      <c r="BE1104" s="11">
        <v>0</v>
      </c>
    </row>
    <row x14ac:dyDescent="0.25" r="1105" customHeight="1" ht="17.25">
      <c r="A1105" s="11">
        <v>226712</v>
      </c>
      <c r="B1105" s="4" t="s">
        <v>5027</v>
      </c>
      <c r="C1105" s="5" t="s">
        <v>3367</v>
      </c>
      <c r="D1105" s="5" t="s">
        <v>3368</v>
      </c>
      <c r="E1105" s="12"/>
      <c r="F1105" s="13">
        <f>"0807041092"</f>
      </c>
      <c r="G1105" s="13">
        <f>"9780807041093"</f>
      </c>
      <c r="H1105" s="11">
        <v>0</v>
      </c>
      <c r="I1105" s="14">
        <v>3.77</v>
      </c>
      <c r="J1105" s="7" t="s">
        <v>861</v>
      </c>
      <c r="K1105" s="5" t="s">
        <v>60</v>
      </c>
      <c r="L1105" s="11">
        <v>168</v>
      </c>
      <c r="M1105" s="11">
        <v>1997</v>
      </c>
      <c r="N1105" s="11">
        <v>1996</v>
      </c>
      <c r="O1105" s="15"/>
      <c r="P1105" s="8">
        <v>45143</v>
      </c>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4" t="s">
        <v>38</v>
      </c>
      <c r="AY1105" s="5" t="s">
        <v>5028</v>
      </c>
      <c r="AZ1105" s="5" t="s">
        <v>38</v>
      </c>
      <c r="BA1105" s="12"/>
      <c r="BB1105" s="12"/>
      <c r="BC1105" s="12"/>
      <c r="BD1105" s="11">
        <v>0</v>
      </c>
      <c r="BE1105" s="11">
        <v>0</v>
      </c>
    </row>
    <row x14ac:dyDescent="0.25" r="1106" customHeight="1" ht="17.25">
      <c r="A1106" s="11">
        <v>2482681</v>
      </c>
      <c r="B1106" s="4" t="s">
        <v>5029</v>
      </c>
      <c r="C1106" s="5" t="s">
        <v>5030</v>
      </c>
      <c r="D1106" s="5" t="s">
        <v>5031</v>
      </c>
      <c r="E1106" s="12"/>
      <c r="F1106" s="13">
        <f>"0415324483"</f>
      </c>
      <c r="G1106" s="13">
        <f>"9780415324489"</f>
      </c>
      <c r="H1106" s="11">
        <v>0</v>
      </c>
      <c r="I1106" s="14">
        <v>4.19</v>
      </c>
      <c r="J1106" s="7" t="s">
        <v>163</v>
      </c>
      <c r="K1106" s="5" t="s">
        <v>72</v>
      </c>
      <c r="L1106" s="11">
        <v>320</v>
      </c>
      <c r="M1106" s="11">
        <v>2007</v>
      </c>
      <c r="N1106" s="11">
        <v>2007</v>
      </c>
      <c r="O1106" s="15"/>
      <c r="P1106" s="8">
        <v>45143</v>
      </c>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4" t="s">
        <v>38</v>
      </c>
      <c r="AY1106" s="5" t="s">
        <v>5032</v>
      </c>
      <c r="AZ1106" s="5" t="s">
        <v>38</v>
      </c>
      <c r="BA1106" s="12"/>
      <c r="BB1106" s="12"/>
      <c r="BC1106" s="12"/>
      <c r="BD1106" s="11">
        <v>0</v>
      </c>
      <c r="BE1106" s="11">
        <v>0</v>
      </c>
    </row>
    <row x14ac:dyDescent="0.25" r="1107" customHeight="1" ht="17.25">
      <c r="A1107" s="11">
        <v>2496730</v>
      </c>
      <c r="B1107" s="4" t="s">
        <v>5033</v>
      </c>
      <c r="C1107" s="5" t="s">
        <v>5034</v>
      </c>
      <c r="D1107" s="5" t="s">
        <v>5035</v>
      </c>
      <c r="E1107" s="12"/>
      <c r="F1107" s="13">
        <f>"0415248736"</f>
      </c>
      <c r="G1107" s="13">
        <f>"9780415248730"</f>
      </c>
      <c r="H1107" s="11">
        <v>0</v>
      </c>
      <c r="I1107" s="14">
        <v>3.89</v>
      </c>
      <c r="J1107" s="7" t="s">
        <v>163</v>
      </c>
      <c r="K1107" s="5" t="s">
        <v>60</v>
      </c>
      <c r="L1107" s="11">
        <v>272</v>
      </c>
      <c r="M1107" s="11">
        <v>2002</v>
      </c>
      <c r="N1107" s="11">
        <v>2002</v>
      </c>
      <c r="O1107" s="15"/>
      <c r="P1107" s="8">
        <v>45143</v>
      </c>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4" t="s">
        <v>38</v>
      </c>
      <c r="AY1107" s="5" t="s">
        <v>5036</v>
      </c>
      <c r="AZ1107" s="5" t="s">
        <v>38</v>
      </c>
      <c r="BA1107" s="12"/>
      <c r="BB1107" s="12"/>
      <c r="BC1107" s="12"/>
      <c r="BD1107" s="11">
        <v>0</v>
      </c>
      <c r="BE1107" s="11">
        <v>0</v>
      </c>
    </row>
    <row x14ac:dyDescent="0.25" r="1108" customHeight="1" ht="17.25">
      <c r="A1108" s="11">
        <v>665852</v>
      </c>
      <c r="B1108" s="4" t="s">
        <v>5037</v>
      </c>
      <c r="C1108" s="5" t="s">
        <v>5038</v>
      </c>
      <c r="D1108" s="5" t="s">
        <v>5039</v>
      </c>
      <c r="E1108" s="12"/>
      <c r="F1108" s="13">
        <f>"0285621378"</f>
      </c>
      <c r="G1108" s="13">
        <f>"9780285621374"</f>
      </c>
      <c r="H1108" s="11">
        <v>0</v>
      </c>
      <c r="I1108" s="14">
        <v>4.22</v>
      </c>
      <c r="J1108" s="7" t="s">
        <v>5040</v>
      </c>
      <c r="K1108" s="5" t="s">
        <v>60</v>
      </c>
      <c r="L1108" s="11">
        <v>284</v>
      </c>
      <c r="M1108" s="11">
        <v>1982</v>
      </c>
      <c r="N1108" s="11">
        <v>1953</v>
      </c>
      <c r="O1108" s="15"/>
      <c r="P1108" s="8">
        <v>45141</v>
      </c>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4" t="s">
        <v>38</v>
      </c>
      <c r="AY1108" s="5" t="s">
        <v>5041</v>
      </c>
      <c r="AZ1108" s="5" t="s">
        <v>38</v>
      </c>
      <c r="BA1108" s="12"/>
      <c r="BB1108" s="12"/>
      <c r="BC1108" s="12"/>
      <c r="BD1108" s="11">
        <v>0</v>
      </c>
      <c r="BE1108" s="11">
        <v>0</v>
      </c>
    </row>
    <row x14ac:dyDescent="0.25" r="1109" customHeight="1" ht="17.25">
      <c r="A1109" s="11">
        <v>66770</v>
      </c>
      <c r="B1109" s="4" t="s">
        <v>5042</v>
      </c>
      <c r="C1109" s="5" t="s">
        <v>594</v>
      </c>
      <c r="D1109" s="5" t="s">
        <v>595</v>
      </c>
      <c r="E1109" s="5" t="s">
        <v>5043</v>
      </c>
      <c r="F1109" s="13">
        <f>"0486429784"</f>
      </c>
      <c r="G1109" s="13">
        <f>"9780486429786"</f>
      </c>
      <c r="H1109" s="11">
        <v>0</v>
      </c>
      <c r="I1109" s="14">
        <v>3.93</v>
      </c>
      <c r="J1109" s="7" t="s">
        <v>571</v>
      </c>
      <c r="K1109" s="5" t="s">
        <v>60</v>
      </c>
      <c r="L1109" s="11">
        <v>128</v>
      </c>
      <c r="M1109" s="11">
        <v>2003</v>
      </c>
      <c r="N1109" s="11">
        <v>1990</v>
      </c>
      <c r="O1109" s="15"/>
      <c r="P1109" s="8">
        <v>45141</v>
      </c>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4" t="s">
        <v>38</v>
      </c>
      <c r="AY1109" s="5" t="s">
        <v>5044</v>
      </c>
      <c r="AZ1109" s="5" t="s">
        <v>38</v>
      </c>
      <c r="BA1109" s="12"/>
      <c r="BB1109" s="12"/>
      <c r="BC1109" s="12"/>
      <c r="BD1109" s="11">
        <v>0</v>
      </c>
      <c r="BE1109" s="11">
        <v>0</v>
      </c>
    </row>
    <row x14ac:dyDescent="0.25" r="1110" customHeight="1" ht="17.25">
      <c r="A1110" s="11">
        <v>410056</v>
      </c>
      <c r="B1110" s="4" t="s">
        <v>5045</v>
      </c>
      <c r="C1110" s="5" t="s">
        <v>594</v>
      </c>
      <c r="D1110" s="5" t="s">
        <v>595</v>
      </c>
      <c r="E1110" s="5" t="s">
        <v>5043</v>
      </c>
      <c r="F1110" s="13">
        <f>"048643981X"</f>
      </c>
      <c r="G1110" s="13">
        <f>"9780486439815"</f>
      </c>
      <c r="H1110" s="11">
        <v>0</v>
      </c>
      <c r="I1110" s="11">
        <v>4</v>
      </c>
      <c r="J1110" s="7" t="s">
        <v>571</v>
      </c>
      <c r="K1110" s="5" t="s">
        <v>60</v>
      </c>
      <c r="L1110" s="11">
        <v>192</v>
      </c>
      <c r="M1110" s="11">
        <v>2005</v>
      </c>
      <c r="N1110" s="11">
        <v>2005</v>
      </c>
      <c r="O1110" s="15"/>
      <c r="P1110" s="8">
        <v>45141</v>
      </c>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4" t="s">
        <v>38</v>
      </c>
      <c r="AY1110" s="5" t="s">
        <v>5046</v>
      </c>
      <c r="AZ1110" s="5" t="s">
        <v>38</v>
      </c>
      <c r="BA1110" s="12"/>
      <c r="BB1110" s="12"/>
      <c r="BC1110" s="12"/>
      <c r="BD1110" s="11">
        <v>0</v>
      </c>
      <c r="BE1110" s="11">
        <v>0</v>
      </c>
    </row>
    <row x14ac:dyDescent="0.25" r="1111" customHeight="1" ht="17.25">
      <c r="A1111" s="11">
        <v>1270813</v>
      </c>
      <c r="B1111" s="4" t="s">
        <v>5047</v>
      </c>
      <c r="C1111" s="5" t="s">
        <v>5048</v>
      </c>
      <c r="D1111" s="5" t="s">
        <v>5049</v>
      </c>
      <c r="E1111" s="12"/>
      <c r="F1111" s="13">
        <f>"0486210790"</f>
      </c>
      <c r="G1111" s="13">
        <f>"9780486210797"</f>
      </c>
      <c r="H1111" s="11">
        <v>0</v>
      </c>
      <c r="I1111" s="14">
        <v>4.09</v>
      </c>
      <c r="J1111" s="7" t="s">
        <v>571</v>
      </c>
      <c r="K1111" s="5" t="s">
        <v>60</v>
      </c>
      <c r="L1111" s="11">
        <v>563</v>
      </c>
      <c r="M1111" s="11">
        <v>1963</v>
      </c>
      <c r="N1111" s="11">
        <v>1899</v>
      </c>
      <c r="O1111" s="15"/>
      <c r="P1111" s="8">
        <v>45141</v>
      </c>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4" t="s">
        <v>38</v>
      </c>
      <c r="AY1111" s="5" t="s">
        <v>5050</v>
      </c>
      <c r="AZ1111" s="5" t="s">
        <v>38</v>
      </c>
      <c r="BA1111" s="12"/>
      <c r="BB1111" s="12"/>
      <c r="BC1111" s="12"/>
      <c r="BD1111" s="11">
        <v>0</v>
      </c>
      <c r="BE1111" s="11">
        <v>0</v>
      </c>
    </row>
    <row x14ac:dyDescent="0.25" r="1112" customHeight="1" ht="17.25">
      <c r="A1112" s="11">
        <v>7734045</v>
      </c>
      <c r="B1112" s="4" t="s">
        <v>5051</v>
      </c>
      <c r="C1112" s="5" t="s">
        <v>5052</v>
      </c>
      <c r="D1112" s="5" t="s">
        <v>5053</v>
      </c>
      <c r="E1112" s="12"/>
      <c r="F1112" s="13">
        <f>"1405110872"</f>
      </c>
      <c r="G1112" s="13">
        <f>"9781405110877"</f>
      </c>
      <c r="H1112" s="11">
        <v>0</v>
      </c>
      <c r="I1112" s="14">
        <v>3.74</v>
      </c>
      <c r="J1112" s="7" t="s">
        <v>1344</v>
      </c>
      <c r="K1112" s="5" t="s">
        <v>72</v>
      </c>
      <c r="L1112" s="11">
        <v>176</v>
      </c>
      <c r="M1112" s="11">
        <v>2006</v>
      </c>
      <c r="N1112" s="11">
        <v>2006</v>
      </c>
      <c r="O1112" s="15"/>
      <c r="P1112" s="8">
        <v>45140</v>
      </c>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4" t="s">
        <v>38</v>
      </c>
      <c r="AY1112" s="5" t="s">
        <v>5054</v>
      </c>
      <c r="AZ1112" s="5" t="s">
        <v>38</v>
      </c>
      <c r="BA1112" s="12"/>
      <c r="BB1112" s="12"/>
      <c r="BC1112" s="12"/>
      <c r="BD1112" s="11">
        <v>0</v>
      </c>
      <c r="BE1112" s="11">
        <v>0</v>
      </c>
    </row>
    <row x14ac:dyDescent="0.25" r="1113" customHeight="1" ht="17.25">
      <c r="A1113" s="11">
        <v>19053197</v>
      </c>
      <c r="B1113" s="4" t="s">
        <v>5055</v>
      </c>
      <c r="C1113" s="5" t="s">
        <v>5056</v>
      </c>
      <c r="D1113" s="5" t="s">
        <v>5057</v>
      </c>
      <c r="E1113" s="5" t="s">
        <v>5058</v>
      </c>
      <c r="F1113" s="13">
        <f>""</f>
      </c>
      <c r="G1113" s="13">
        <f>""</f>
      </c>
      <c r="H1113" s="11">
        <v>0</v>
      </c>
      <c r="I1113" s="14">
        <v>4.17</v>
      </c>
      <c r="J1113" s="7" t="s">
        <v>5059</v>
      </c>
      <c r="K1113" s="5" t="s">
        <v>90</v>
      </c>
      <c r="L1113" s="11">
        <v>192</v>
      </c>
      <c r="M1113" s="11">
        <v>2008</v>
      </c>
      <c r="N1113" s="11">
        <v>2008</v>
      </c>
      <c r="O1113" s="15"/>
      <c r="P1113" s="8">
        <v>45140</v>
      </c>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4" t="s">
        <v>38</v>
      </c>
      <c r="AY1113" s="5" t="s">
        <v>5060</v>
      </c>
      <c r="AZ1113" s="5" t="s">
        <v>38</v>
      </c>
      <c r="BA1113" s="12"/>
      <c r="BB1113" s="12"/>
      <c r="BC1113" s="12"/>
      <c r="BD1113" s="11">
        <v>0</v>
      </c>
      <c r="BE1113" s="11">
        <v>0</v>
      </c>
    </row>
    <row x14ac:dyDescent="0.25" r="1114" customHeight="1" ht="17.25">
      <c r="A1114" s="11">
        <v>215460</v>
      </c>
      <c r="B1114" s="4" t="s">
        <v>5061</v>
      </c>
      <c r="C1114" s="5" t="s">
        <v>2908</v>
      </c>
      <c r="D1114" s="5" t="s">
        <v>5062</v>
      </c>
      <c r="E1114" s="5" t="s">
        <v>5063</v>
      </c>
      <c r="F1114" s="13">
        <f>"0877289085"</f>
      </c>
      <c r="G1114" s="13">
        <f>"9780877289081"</f>
      </c>
      <c r="H1114" s="11">
        <v>0</v>
      </c>
      <c r="I1114" s="14">
        <v>4.25</v>
      </c>
      <c r="J1114" s="7" t="s">
        <v>5059</v>
      </c>
      <c r="K1114" s="5" t="s">
        <v>72</v>
      </c>
      <c r="L1114" s="11">
        <v>640</v>
      </c>
      <c r="M1114" s="11">
        <v>2002</v>
      </c>
      <c r="N1114" s="11">
        <v>2002</v>
      </c>
      <c r="O1114" s="15"/>
      <c r="P1114" s="8">
        <v>45140</v>
      </c>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4" t="s">
        <v>38</v>
      </c>
      <c r="AY1114" s="5" t="s">
        <v>5064</v>
      </c>
      <c r="AZ1114" s="5" t="s">
        <v>38</v>
      </c>
      <c r="BA1114" s="12"/>
      <c r="BB1114" s="12"/>
      <c r="BC1114" s="12"/>
      <c r="BD1114" s="11">
        <v>0</v>
      </c>
      <c r="BE1114" s="11">
        <v>0</v>
      </c>
    </row>
    <row x14ac:dyDescent="0.25" r="1115" customHeight="1" ht="17.25">
      <c r="A1115" s="11">
        <v>45894125</v>
      </c>
      <c r="B1115" s="4" t="s">
        <v>5065</v>
      </c>
      <c r="C1115" s="5" t="s">
        <v>5066</v>
      </c>
      <c r="D1115" s="5" t="s">
        <v>5067</v>
      </c>
      <c r="E1115" s="12"/>
      <c r="F1115" s="13">
        <f>"0393634841"</f>
      </c>
      <c r="G1115" s="13">
        <f>"9780393634846"</f>
      </c>
      <c r="H1115" s="11">
        <v>0</v>
      </c>
      <c r="I1115" s="14">
        <v>3.91</v>
      </c>
      <c r="J1115" s="7" t="s">
        <v>144</v>
      </c>
      <c r="K1115" s="5" t="s">
        <v>72</v>
      </c>
      <c r="L1115" s="11">
        <v>336</v>
      </c>
      <c r="M1115" s="11">
        <v>2020</v>
      </c>
      <c r="N1115" s="16"/>
      <c r="O1115" s="15"/>
      <c r="P1115" s="8">
        <v>45140</v>
      </c>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4" t="s">
        <v>38</v>
      </c>
      <c r="AY1115" s="5" t="s">
        <v>5068</v>
      </c>
      <c r="AZ1115" s="5" t="s">
        <v>38</v>
      </c>
      <c r="BA1115" s="12"/>
      <c r="BB1115" s="12"/>
      <c r="BC1115" s="12"/>
      <c r="BD1115" s="11">
        <v>0</v>
      </c>
      <c r="BE1115" s="11">
        <v>0</v>
      </c>
    </row>
    <row x14ac:dyDescent="0.25" r="1116" customHeight="1" ht="17.25">
      <c r="A1116" s="11">
        <v>38614632</v>
      </c>
      <c r="B1116" s="4" t="s">
        <v>5069</v>
      </c>
      <c r="C1116" s="5" t="s">
        <v>5070</v>
      </c>
      <c r="D1116" s="5" t="s">
        <v>5071</v>
      </c>
      <c r="E1116" s="5" t="s">
        <v>5072</v>
      </c>
      <c r="F1116" s="13">
        <f>""</f>
      </c>
      <c r="G1116" s="13">
        <f>""</f>
      </c>
      <c r="H1116" s="11">
        <v>0</v>
      </c>
      <c r="I1116" s="14">
        <v>3.97</v>
      </c>
      <c r="J1116" s="18"/>
      <c r="K1116" s="5" t="s">
        <v>90</v>
      </c>
      <c r="L1116" s="11">
        <v>165</v>
      </c>
      <c r="M1116" s="11">
        <v>2018</v>
      </c>
      <c r="N1116" s="11">
        <v>150</v>
      </c>
      <c r="O1116" s="15"/>
      <c r="P1116" s="8">
        <v>45140</v>
      </c>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4" t="s">
        <v>38</v>
      </c>
      <c r="AY1116" s="5" t="s">
        <v>5073</v>
      </c>
      <c r="AZ1116" s="5" t="s">
        <v>38</v>
      </c>
      <c r="BA1116" s="12"/>
      <c r="BB1116" s="12"/>
      <c r="BC1116" s="12"/>
      <c r="BD1116" s="11">
        <v>0</v>
      </c>
      <c r="BE1116" s="11">
        <v>0</v>
      </c>
    </row>
    <row x14ac:dyDescent="0.25" r="1117" customHeight="1" ht="17.25">
      <c r="A1117" s="11">
        <v>1067210</v>
      </c>
      <c r="B1117" s="4" t="s">
        <v>5074</v>
      </c>
      <c r="C1117" s="5" t="s">
        <v>5075</v>
      </c>
      <c r="D1117" s="5" t="s">
        <v>5076</v>
      </c>
      <c r="E1117" s="12"/>
      <c r="F1117" s="13">
        <f>"0882252992"</f>
      </c>
      <c r="G1117" s="13">
        <f>"9780882252995"</f>
      </c>
      <c r="H1117" s="11">
        <v>0</v>
      </c>
      <c r="I1117" s="14">
        <v>3.93</v>
      </c>
      <c r="J1117" s="7" t="s">
        <v>5077</v>
      </c>
      <c r="K1117" s="5" t="s">
        <v>72</v>
      </c>
      <c r="L1117" s="11">
        <v>352</v>
      </c>
      <c r="M1117" s="11">
        <v>1981</v>
      </c>
      <c r="N1117" s="11">
        <v>1981</v>
      </c>
      <c r="O1117" s="15"/>
      <c r="P1117" s="8">
        <v>45140</v>
      </c>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4" t="s">
        <v>38</v>
      </c>
      <c r="AY1117" s="5" t="s">
        <v>5078</v>
      </c>
      <c r="AZ1117" s="5" t="s">
        <v>38</v>
      </c>
      <c r="BA1117" s="12"/>
      <c r="BB1117" s="12"/>
      <c r="BC1117" s="12"/>
      <c r="BD1117" s="11">
        <v>0</v>
      </c>
      <c r="BE1117" s="11">
        <v>0</v>
      </c>
    </row>
    <row x14ac:dyDescent="0.25" r="1118" customHeight="1" ht="17.25">
      <c r="A1118" s="11">
        <v>20231805</v>
      </c>
      <c r="B1118" s="4" t="s">
        <v>5079</v>
      </c>
      <c r="C1118" s="5" t="s">
        <v>5075</v>
      </c>
      <c r="D1118" s="5" t="s">
        <v>5076</v>
      </c>
      <c r="E1118" s="12"/>
      <c r="F1118" s="13">
        <f>""</f>
      </c>
      <c r="G1118" s="13">
        <f>""</f>
      </c>
      <c r="H1118" s="11">
        <v>0</v>
      </c>
      <c r="I1118" s="14">
        <v>3.75</v>
      </c>
      <c r="J1118" s="7" t="s">
        <v>376</v>
      </c>
      <c r="K1118" s="5" t="s">
        <v>90</v>
      </c>
      <c r="L1118" s="11">
        <v>384</v>
      </c>
      <c r="M1118" s="11">
        <v>2005</v>
      </c>
      <c r="N1118" s="11">
        <v>2005</v>
      </c>
      <c r="O1118" s="15"/>
      <c r="P1118" s="8">
        <v>45140</v>
      </c>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4" t="s">
        <v>38</v>
      </c>
      <c r="AY1118" s="5" t="s">
        <v>5080</v>
      </c>
      <c r="AZ1118" s="5" t="s">
        <v>38</v>
      </c>
      <c r="BA1118" s="12"/>
      <c r="BB1118" s="12"/>
      <c r="BC1118" s="12"/>
      <c r="BD1118" s="11">
        <v>0</v>
      </c>
      <c r="BE1118" s="11">
        <v>0</v>
      </c>
    </row>
    <row x14ac:dyDescent="0.25" r="1119" customHeight="1" ht="17.25">
      <c r="A1119" s="11">
        <v>123041142</v>
      </c>
      <c r="B1119" s="4" t="s">
        <v>5081</v>
      </c>
      <c r="C1119" s="5" t="s">
        <v>404</v>
      </c>
      <c r="D1119" s="5" t="s">
        <v>5082</v>
      </c>
      <c r="E1119" s="5" t="s">
        <v>5083</v>
      </c>
      <c r="F1119" s="13">
        <f>"0882141317"</f>
      </c>
      <c r="G1119" s="13">
        <f>"9780882141312"</f>
      </c>
      <c r="H1119" s="11">
        <v>0</v>
      </c>
      <c r="I1119" s="11">
        <v>4</v>
      </c>
      <c r="J1119" s="7" t="s">
        <v>496</v>
      </c>
      <c r="K1119" s="5" t="s">
        <v>60</v>
      </c>
      <c r="L1119" s="11">
        <v>156</v>
      </c>
      <c r="M1119" s="11">
        <v>2023</v>
      </c>
      <c r="N1119" s="11">
        <v>1995</v>
      </c>
      <c r="O1119" s="15"/>
      <c r="P1119" s="8">
        <v>45140</v>
      </c>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4" t="s">
        <v>38</v>
      </c>
      <c r="AY1119" s="5" t="s">
        <v>5084</v>
      </c>
      <c r="AZ1119" s="5" t="s">
        <v>38</v>
      </c>
      <c r="BA1119" s="12"/>
      <c r="BB1119" s="12"/>
      <c r="BC1119" s="12"/>
      <c r="BD1119" s="11">
        <v>0</v>
      </c>
      <c r="BE1119" s="11">
        <v>0</v>
      </c>
    </row>
    <row x14ac:dyDescent="0.25" r="1120" customHeight="1" ht="17.25">
      <c r="A1120" s="11">
        <v>17341476</v>
      </c>
      <c r="B1120" s="4" t="s">
        <v>5085</v>
      </c>
      <c r="C1120" s="5" t="s">
        <v>281</v>
      </c>
      <c r="D1120" s="5" t="s">
        <v>282</v>
      </c>
      <c r="E1120" s="12"/>
      <c r="F1120" s="13">
        <f>""</f>
      </c>
      <c r="G1120" s="13">
        <f>""</f>
      </c>
      <c r="H1120" s="11">
        <v>0</v>
      </c>
      <c r="I1120" s="14">
        <v>4.06</v>
      </c>
      <c r="J1120" s="7" t="s">
        <v>491</v>
      </c>
      <c r="K1120" s="5" t="s">
        <v>60</v>
      </c>
      <c r="L1120" s="11">
        <v>156</v>
      </c>
      <c r="M1120" s="11">
        <v>1965</v>
      </c>
      <c r="N1120" s="11">
        <v>1944</v>
      </c>
      <c r="O1120" s="15"/>
      <c r="P1120" s="8">
        <v>45140</v>
      </c>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4" t="s">
        <v>38</v>
      </c>
      <c r="AY1120" s="5" t="s">
        <v>5086</v>
      </c>
      <c r="AZ1120" s="5" t="s">
        <v>38</v>
      </c>
      <c r="BA1120" s="12"/>
      <c r="BB1120" s="12"/>
      <c r="BC1120" s="12"/>
      <c r="BD1120" s="11">
        <v>0</v>
      </c>
      <c r="BE1120" s="11">
        <v>0</v>
      </c>
    </row>
    <row x14ac:dyDescent="0.25" r="1121" customHeight="1" ht="17.25">
      <c r="A1121" s="11">
        <v>857353</v>
      </c>
      <c r="B1121" s="4" t="s">
        <v>5087</v>
      </c>
      <c r="C1121" s="5" t="s">
        <v>5088</v>
      </c>
      <c r="D1121" s="5" t="s">
        <v>5089</v>
      </c>
      <c r="E1121" s="5" t="s">
        <v>5090</v>
      </c>
      <c r="F1121" s="13">
        <f>"0811204537"</f>
      </c>
      <c r="G1121" s="13">
        <f>"9780811204538"</f>
      </c>
      <c r="H1121" s="11">
        <v>0</v>
      </c>
      <c r="I1121" s="14">
        <v>4.11</v>
      </c>
      <c r="J1121" s="7" t="s">
        <v>126</v>
      </c>
      <c r="K1121" s="5" t="s">
        <v>72</v>
      </c>
      <c r="L1121" s="11">
        <v>117</v>
      </c>
      <c r="M1121" s="11">
        <v>1972</v>
      </c>
      <c r="N1121" s="11">
        <v>1972</v>
      </c>
      <c r="O1121" s="15"/>
      <c r="P1121" s="8">
        <v>45140</v>
      </c>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4" t="s">
        <v>38</v>
      </c>
      <c r="AY1121" s="5" t="s">
        <v>5091</v>
      </c>
      <c r="AZ1121" s="5" t="s">
        <v>38</v>
      </c>
      <c r="BA1121" s="12"/>
      <c r="BB1121" s="12"/>
      <c r="BC1121" s="12"/>
      <c r="BD1121" s="11">
        <v>0</v>
      </c>
      <c r="BE1121" s="11">
        <v>0</v>
      </c>
    </row>
    <row x14ac:dyDescent="0.25" r="1122" customHeight="1" ht="17.25">
      <c r="A1122" s="11">
        <v>823612</v>
      </c>
      <c r="B1122" s="4" t="s">
        <v>5092</v>
      </c>
      <c r="C1122" s="5" t="s">
        <v>5088</v>
      </c>
      <c r="D1122" s="5" t="s">
        <v>5089</v>
      </c>
      <c r="E1122" s="12"/>
      <c r="F1122" s="13">
        <f>"0811205444"</f>
      </c>
      <c r="G1122" s="13">
        <f>"9780811205443"</f>
      </c>
      <c r="H1122" s="11">
        <v>0</v>
      </c>
      <c r="I1122" s="14">
        <v>4.11</v>
      </c>
      <c r="J1122" s="7" t="s">
        <v>126</v>
      </c>
      <c r="K1122" s="5" t="s">
        <v>60</v>
      </c>
      <c r="L1122" s="11">
        <v>304</v>
      </c>
      <c r="M1122" s="11">
        <v>1974</v>
      </c>
      <c r="N1122" s="11">
        <v>1924</v>
      </c>
      <c r="O1122" s="15"/>
      <c r="P1122" s="8">
        <v>45140</v>
      </c>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4" t="s">
        <v>38</v>
      </c>
      <c r="AY1122" s="5" t="s">
        <v>5093</v>
      </c>
      <c r="AZ1122" s="5" t="s">
        <v>38</v>
      </c>
      <c r="BA1122" s="12"/>
      <c r="BB1122" s="12"/>
      <c r="BC1122" s="12"/>
      <c r="BD1122" s="11">
        <v>0</v>
      </c>
      <c r="BE1122" s="11">
        <v>0</v>
      </c>
    </row>
    <row x14ac:dyDescent="0.25" r="1123" customHeight="1" ht="17.25">
      <c r="A1123" s="11">
        <v>19661616</v>
      </c>
      <c r="B1123" s="4" t="s">
        <v>5094</v>
      </c>
      <c r="C1123" s="5" t="s">
        <v>5088</v>
      </c>
      <c r="D1123" s="5" t="s">
        <v>5089</v>
      </c>
      <c r="E1123" s="5" t="s">
        <v>5095</v>
      </c>
      <c r="F1123" s="13">
        <f>""</f>
      </c>
      <c r="G1123" s="13">
        <f>""</f>
      </c>
      <c r="H1123" s="11">
        <v>0</v>
      </c>
      <c r="I1123" s="14">
        <v>4.62</v>
      </c>
      <c r="J1123" s="7" t="s">
        <v>126</v>
      </c>
      <c r="K1123" s="5" t="s">
        <v>60</v>
      </c>
      <c r="L1123" s="11">
        <v>288</v>
      </c>
      <c r="M1123" s="11">
        <v>2003</v>
      </c>
      <c r="N1123" s="11">
        <v>2003</v>
      </c>
      <c r="O1123" s="15"/>
      <c r="P1123" s="8">
        <v>45140</v>
      </c>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4" t="s">
        <v>38</v>
      </c>
      <c r="AY1123" s="5" t="s">
        <v>5096</v>
      </c>
      <c r="AZ1123" s="5" t="s">
        <v>38</v>
      </c>
      <c r="BA1123" s="12"/>
      <c r="BB1123" s="12"/>
      <c r="BC1123" s="12"/>
      <c r="BD1123" s="11">
        <v>0</v>
      </c>
      <c r="BE1123" s="11">
        <v>0</v>
      </c>
    </row>
    <row x14ac:dyDescent="0.25" r="1124" customHeight="1" ht="17.25">
      <c r="A1124" s="11">
        <v>58832</v>
      </c>
      <c r="B1124" s="4" t="s">
        <v>5097</v>
      </c>
      <c r="C1124" s="5" t="s">
        <v>5098</v>
      </c>
      <c r="D1124" s="5" t="s">
        <v>5099</v>
      </c>
      <c r="E1124" s="5" t="s">
        <v>5100</v>
      </c>
      <c r="F1124" s="13">
        <f>"0811216985"</f>
      </c>
      <c r="G1124" s="13">
        <f>"9780811216982"</f>
      </c>
      <c r="H1124" s="11">
        <v>0</v>
      </c>
      <c r="I1124" s="14">
        <v>3.95</v>
      </c>
      <c r="J1124" s="7" t="s">
        <v>126</v>
      </c>
      <c r="K1124" s="5" t="s">
        <v>60</v>
      </c>
      <c r="L1124" s="11">
        <v>178</v>
      </c>
      <c r="M1124" s="11">
        <v>2007</v>
      </c>
      <c r="N1124" s="11">
        <v>2000</v>
      </c>
      <c r="O1124" s="15"/>
      <c r="P1124" s="8">
        <v>45140</v>
      </c>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4" t="s">
        <v>38</v>
      </c>
      <c r="AY1124" s="5" t="s">
        <v>5101</v>
      </c>
      <c r="AZ1124" s="5" t="s">
        <v>38</v>
      </c>
      <c r="BA1124" s="12"/>
      <c r="BB1124" s="12"/>
      <c r="BC1124" s="12"/>
      <c r="BD1124" s="11">
        <v>0</v>
      </c>
      <c r="BE1124" s="11">
        <v>0</v>
      </c>
    </row>
    <row x14ac:dyDescent="0.25" r="1125" customHeight="1" ht="17.25">
      <c r="A1125" s="11">
        <v>49232437</v>
      </c>
      <c r="B1125" s="4" t="s">
        <v>5102</v>
      </c>
      <c r="C1125" s="5" t="s">
        <v>5103</v>
      </c>
      <c r="D1125" s="5" t="s">
        <v>5104</v>
      </c>
      <c r="E1125" s="5" t="s">
        <v>5105</v>
      </c>
      <c r="F1125" s="13">
        <f>"1910695920"</f>
      </c>
      <c r="G1125" s="13">
        <f>""</f>
      </c>
      <c r="H1125" s="11">
        <v>0</v>
      </c>
      <c r="I1125" s="14">
        <v>4.17</v>
      </c>
      <c r="J1125" s="7" t="s">
        <v>169</v>
      </c>
      <c r="K1125" s="5" t="s">
        <v>90</v>
      </c>
      <c r="L1125" s="11">
        <v>340</v>
      </c>
      <c r="M1125" s="11">
        <v>2019</v>
      </c>
      <c r="N1125" s="11">
        <v>2019</v>
      </c>
      <c r="O1125" s="15"/>
      <c r="P1125" s="8">
        <v>45140</v>
      </c>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4" t="s">
        <v>38</v>
      </c>
      <c r="AY1125" s="5" t="s">
        <v>5106</v>
      </c>
      <c r="AZ1125" s="5" t="s">
        <v>38</v>
      </c>
      <c r="BA1125" s="12"/>
      <c r="BB1125" s="12"/>
      <c r="BC1125" s="12"/>
      <c r="BD1125" s="11">
        <v>0</v>
      </c>
      <c r="BE1125" s="11">
        <v>0</v>
      </c>
    </row>
    <row x14ac:dyDescent="0.25" r="1126" customHeight="1" ht="17.25">
      <c r="A1126" s="11">
        <v>29335881</v>
      </c>
      <c r="B1126" s="4" t="s">
        <v>5107</v>
      </c>
      <c r="C1126" s="5" t="s">
        <v>4371</v>
      </c>
      <c r="D1126" s="5" t="s">
        <v>4372</v>
      </c>
      <c r="E1126" s="5" t="s">
        <v>5108</v>
      </c>
      <c r="F1126" s="13">
        <f>""</f>
      </c>
      <c r="G1126" s="13">
        <f>""</f>
      </c>
      <c r="H1126" s="11">
        <v>0</v>
      </c>
      <c r="I1126" s="14">
        <v>4.33</v>
      </c>
      <c r="J1126" s="7" t="s">
        <v>126</v>
      </c>
      <c r="K1126" s="5" t="s">
        <v>90</v>
      </c>
      <c r="L1126" s="11">
        <v>200</v>
      </c>
      <c r="M1126" s="11">
        <v>2012</v>
      </c>
      <c r="N1126" s="11">
        <v>2012</v>
      </c>
      <c r="O1126" s="15"/>
      <c r="P1126" s="8">
        <v>45140</v>
      </c>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4" t="s">
        <v>38</v>
      </c>
      <c r="AY1126" s="5" t="s">
        <v>5109</v>
      </c>
      <c r="AZ1126" s="5" t="s">
        <v>38</v>
      </c>
      <c r="BA1126" s="12"/>
      <c r="BB1126" s="12"/>
      <c r="BC1126" s="12"/>
      <c r="BD1126" s="11">
        <v>0</v>
      </c>
      <c r="BE1126" s="11">
        <v>0</v>
      </c>
    </row>
    <row x14ac:dyDescent="0.25" r="1127" customHeight="1" ht="17.25">
      <c r="A1127" s="11">
        <v>51182084</v>
      </c>
      <c r="B1127" s="4" t="s">
        <v>5110</v>
      </c>
      <c r="C1127" s="5" t="s">
        <v>4184</v>
      </c>
      <c r="D1127" s="5" t="s">
        <v>4185</v>
      </c>
      <c r="E1127" s="5" t="s">
        <v>5111</v>
      </c>
      <c r="F1127" s="13">
        <f>"1786277522"</f>
      </c>
      <c r="G1127" s="13">
        <f>"9781786277527"</f>
      </c>
      <c r="H1127" s="11">
        <v>0</v>
      </c>
      <c r="I1127" s="14">
        <v>4.05</v>
      </c>
      <c r="J1127" s="7" t="s">
        <v>5112</v>
      </c>
      <c r="K1127" s="5" t="s">
        <v>72</v>
      </c>
      <c r="L1127" s="11">
        <v>64</v>
      </c>
      <c r="M1127" s="11">
        <v>2020</v>
      </c>
      <c r="N1127" s="11">
        <v>1926</v>
      </c>
      <c r="O1127" s="15"/>
      <c r="P1127" s="8">
        <v>45138</v>
      </c>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4" t="s">
        <v>38</v>
      </c>
      <c r="AY1127" s="5" t="s">
        <v>5113</v>
      </c>
      <c r="AZ1127" s="5" t="s">
        <v>38</v>
      </c>
      <c r="BA1127" s="12"/>
      <c r="BB1127" s="12"/>
      <c r="BC1127" s="12"/>
      <c r="BD1127" s="11">
        <v>0</v>
      </c>
      <c r="BE1127" s="11">
        <v>0</v>
      </c>
    </row>
    <row x14ac:dyDescent="0.25" r="1128" customHeight="1" ht="17.25">
      <c r="A1128" s="11">
        <v>3284612</v>
      </c>
      <c r="B1128" s="4" t="s">
        <v>5114</v>
      </c>
      <c r="C1128" s="5" t="s">
        <v>5115</v>
      </c>
      <c r="D1128" s="5" t="s">
        <v>5116</v>
      </c>
      <c r="E1128" s="12"/>
      <c r="F1128" s="13">
        <f>"0847831124"</f>
      </c>
      <c r="G1128" s="13">
        <f>"9780847831128"</f>
      </c>
      <c r="H1128" s="11">
        <v>0</v>
      </c>
      <c r="I1128" s="14">
        <v>3.98</v>
      </c>
      <c r="J1128" s="7" t="s">
        <v>5117</v>
      </c>
      <c r="K1128" s="5" t="s">
        <v>60</v>
      </c>
      <c r="L1128" s="11">
        <v>256</v>
      </c>
      <c r="M1128" s="11">
        <v>2008</v>
      </c>
      <c r="N1128" s="11">
        <v>2008</v>
      </c>
      <c r="O1128" s="15"/>
      <c r="P1128" s="8">
        <v>45138</v>
      </c>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4" t="s">
        <v>38</v>
      </c>
      <c r="AY1128" s="5" t="s">
        <v>5118</v>
      </c>
      <c r="AZ1128" s="5" t="s">
        <v>38</v>
      </c>
      <c r="BA1128" s="12"/>
      <c r="BB1128" s="12"/>
      <c r="BC1128" s="12"/>
      <c r="BD1128" s="11">
        <v>0</v>
      </c>
      <c r="BE1128" s="11">
        <v>0</v>
      </c>
    </row>
    <row x14ac:dyDescent="0.25" r="1129" customHeight="1" ht="17.25">
      <c r="A1129" s="11">
        <v>18339728</v>
      </c>
      <c r="B1129" s="4" t="s">
        <v>5119</v>
      </c>
      <c r="C1129" s="5" t="s">
        <v>5120</v>
      </c>
      <c r="D1129" s="5" t="s">
        <v>5121</v>
      </c>
      <c r="E1129" s="12"/>
      <c r="F1129" s="13">
        <f>"0789327260"</f>
      </c>
      <c r="G1129" s="13">
        <f>"9780789327260"</f>
      </c>
      <c r="H1129" s="11">
        <v>0</v>
      </c>
      <c r="I1129" s="14">
        <v>3.73</v>
      </c>
      <c r="J1129" s="7" t="s">
        <v>5117</v>
      </c>
      <c r="K1129" s="5" t="s">
        <v>60</v>
      </c>
      <c r="L1129" s="11">
        <v>256</v>
      </c>
      <c r="M1129" s="11">
        <v>2014</v>
      </c>
      <c r="N1129" s="11">
        <v>2013</v>
      </c>
      <c r="O1129" s="15"/>
      <c r="P1129" s="8">
        <v>45138</v>
      </c>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4" t="s">
        <v>38</v>
      </c>
      <c r="AY1129" s="5" t="s">
        <v>5122</v>
      </c>
      <c r="AZ1129" s="5" t="s">
        <v>38</v>
      </c>
      <c r="BA1129" s="12"/>
      <c r="BB1129" s="12"/>
      <c r="BC1129" s="12"/>
      <c r="BD1129" s="11">
        <v>0</v>
      </c>
      <c r="BE1129" s="11">
        <v>0</v>
      </c>
    </row>
    <row x14ac:dyDescent="0.25" r="1130" customHeight="1" ht="17.25">
      <c r="A1130" s="11">
        <v>31328503</v>
      </c>
      <c r="B1130" s="4" t="s">
        <v>5123</v>
      </c>
      <c r="C1130" s="5" t="s">
        <v>5120</v>
      </c>
      <c r="D1130" s="5" t="s">
        <v>5121</v>
      </c>
      <c r="E1130" s="12"/>
      <c r="F1130" s="13">
        <f>"0789332728"</f>
      </c>
      <c r="G1130" s="13">
        <f>"9780789332721"</f>
      </c>
      <c r="H1130" s="11">
        <v>0</v>
      </c>
      <c r="I1130" s="14">
        <v>3.77</v>
      </c>
      <c r="J1130" s="7" t="s">
        <v>2876</v>
      </c>
      <c r="K1130" s="5" t="s">
        <v>60</v>
      </c>
      <c r="L1130" s="11">
        <v>256</v>
      </c>
      <c r="M1130" s="11">
        <v>2017</v>
      </c>
      <c r="N1130" s="16"/>
      <c r="O1130" s="15"/>
      <c r="P1130" s="8">
        <v>45138</v>
      </c>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4" t="s">
        <v>38</v>
      </c>
      <c r="AY1130" s="5" t="s">
        <v>5124</v>
      </c>
      <c r="AZ1130" s="5" t="s">
        <v>38</v>
      </c>
      <c r="BA1130" s="12"/>
      <c r="BB1130" s="12"/>
      <c r="BC1130" s="12"/>
      <c r="BD1130" s="11">
        <v>0</v>
      </c>
      <c r="BE1130" s="11">
        <v>0</v>
      </c>
    </row>
    <row x14ac:dyDescent="0.25" r="1131" customHeight="1" ht="17.25">
      <c r="A1131" s="11">
        <v>13037</v>
      </c>
      <c r="B1131" s="4" t="s">
        <v>5125</v>
      </c>
      <c r="C1131" s="5" t="s">
        <v>87</v>
      </c>
      <c r="D1131" s="5" t="s">
        <v>88</v>
      </c>
      <c r="E1131" s="12"/>
      <c r="F1131" s="13">
        <f>"0140153195"</f>
      </c>
      <c r="G1131" s="13">
        <f>"9780140153194"</f>
      </c>
      <c r="H1131" s="11">
        <v>0</v>
      </c>
      <c r="I1131" s="14">
        <v>3.86</v>
      </c>
      <c r="J1131" s="7" t="s">
        <v>182</v>
      </c>
      <c r="K1131" s="5" t="s">
        <v>60</v>
      </c>
      <c r="L1131" s="11">
        <v>253</v>
      </c>
      <c r="M1131" s="11">
        <v>1991</v>
      </c>
      <c r="N1131" s="11">
        <v>1957</v>
      </c>
      <c r="O1131" s="15"/>
      <c r="P1131" s="8">
        <v>45137</v>
      </c>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4" t="s">
        <v>38</v>
      </c>
      <c r="AY1131" s="5" t="s">
        <v>5126</v>
      </c>
      <c r="AZ1131" s="5" t="s">
        <v>38</v>
      </c>
      <c r="BA1131" s="12"/>
      <c r="BB1131" s="12"/>
      <c r="BC1131" s="12"/>
      <c r="BD1131" s="11">
        <v>0</v>
      </c>
      <c r="BE1131" s="11">
        <v>0</v>
      </c>
    </row>
    <row x14ac:dyDescent="0.25" r="1132" customHeight="1" ht="17.25">
      <c r="A1132" s="11">
        <v>36236136</v>
      </c>
      <c r="B1132" s="4" t="s">
        <v>5127</v>
      </c>
      <c r="C1132" s="5" t="s">
        <v>5128</v>
      </c>
      <c r="D1132" s="5" t="s">
        <v>5129</v>
      </c>
      <c r="E1132" s="5" t="s">
        <v>5130</v>
      </c>
      <c r="F1132" s="13">
        <f>"0871404966"</f>
      </c>
      <c r="G1132" s="13">
        <f>"9780871404961"</f>
      </c>
      <c r="H1132" s="11">
        <v>0</v>
      </c>
      <c r="I1132" s="14">
        <v>4.27</v>
      </c>
      <c r="J1132" s="7" t="s">
        <v>988</v>
      </c>
      <c r="K1132" s="5" t="s">
        <v>72</v>
      </c>
      <c r="L1132" s="11">
        <v>960</v>
      </c>
      <c r="M1132" s="11">
        <v>2018</v>
      </c>
      <c r="N1132" s="16"/>
      <c r="O1132" s="15"/>
      <c r="P1132" s="8">
        <v>45137</v>
      </c>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4" t="s">
        <v>38</v>
      </c>
      <c r="AY1132" s="5" t="s">
        <v>5131</v>
      </c>
      <c r="AZ1132" s="5" t="s">
        <v>38</v>
      </c>
      <c r="BA1132" s="12"/>
      <c r="BB1132" s="12"/>
      <c r="BC1132" s="12"/>
      <c r="BD1132" s="11">
        <v>0</v>
      </c>
      <c r="BE1132" s="11">
        <v>0</v>
      </c>
    </row>
    <row x14ac:dyDescent="0.25" r="1133" customHeight="1" ht="17.25">
      <c r="A1133" s="11">
        <v>29875923</v>
      </c>
      <c r="B1133" s="4" t="s">
        <v>5132</v>
      </c>
      <c r="C1133" s="5" t="s">
        <v>5133</v>
      </c>
      <c r="D1133" s="5" t="s">
        <v>5134</v>
      </c>
      <c r="E1133" s="12"/>
      <c r="F1133" s="13">
        <f>"1555977626"</f>
      </c>
      <c r="G1133" s="13">
        <f>"9781555977627"</f>
      </c>
      <c r="H1133" s="11">
        <v>0</v>
      </c>
      <c r="I1133" s="14">
        <v>3.86</v>
      </c>
      <c r="J1133" s="7" t="s">
        <v>1001</v>
      </c>
      <c r="K1133" s="5" t="s">
        <v>60</v>
      </c>
      <c r="L1133" s="11">
        <v>336</v>
      </c>
      <c r="M1133" s="11">
        <v>2017</v>
      </c>
      <c r="N1133" s="11">
        <v>2007</v>
      </c>
      <c r="O1133" s="15"/>
      <c r="P1133" s="8">
        <v>45137</v>
      </c>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4" t="s">
        <v>38</v>
      </c>
      <c r="AY1133" s="5" t="s">
        <v>5135</v>
      </c>
      <c r="AZ1133" s="5" t="s">
        <v>38</v>
      </c>
      <c r="BA1133" s="12"/>
      <c r="BB1133" s="12"/>
      <c r="BC1133" s="12"/>
      <c r="BD1133" s="11">
        <v>0</v>
      </c>
      <c r="BE1133" s="11">
        <v>0</v>
      </c>
    </row>
    <row x14ac:dyDescent="0.25" r="1134" customHeight="1" ht="17.25">
      <c r="A1134" s="11">
        <v>11455485</v>
      </c>
      <c r="B1134" s="4" t="s">
        <v>5136</v>
      </c>
      <c r="C1134" s="5" t="s">
        <v>1730</v>
      </c>
      <c r="D1134" s="5" t="s">
        <v>1731</v>
      </c>
      <c r="E1134" s="5" t="s">
        <v>1732</v>
      </c>
      <c r="F1134" s="13">
        <f>"0811217345"</f>
      </c>
      <c r="G1134" s="13">
        <f>"9780811217347"</f>
      </c>
      <c r="H1134" s="11">
        <v>0</v>
      </c>
      <c r="I1134" s="14">
        <v>4.13</v>
      </c>
      <c r="J1134" s="7" t="s">
        <v>126</v>
      </c>
      <c r="K1134" s="5" t="s">
        <v>72</v>
      </c>
      <c r="L1134" s="11">
        <v>274</v>
      </c>
      <c r="M1134" s="11">
        <v>2012</v>
      </c>
      <c r="N1134" s="11">
        <v>1985</v>
      </c>
      <c r="O1134" s="15"/>
      <c r="P1134" s="8">
        <v>45137</v>
      </c>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4" t="s">
        <v>38</v>
      </c>
      <c r="AY1134" s="5" t="s">
        <v>5137</v>
      </c>
      <c r="AZ1134" s="5" t="s">
        <v>38</v>
      </c>
      <c r="BA1134" s="12"/>
      <c r="BB1134" s="12"/>
      <c r="BC1134" s="12"/>
      <c r="BD1134" s="11">
        <v>0</v>
      </c>
      <c r="BE1134" s="11">
        <v>0</v>
      </c>
    </row>
    <row x14ac:dyDescent="0.25" r="1135" customHeight="1" ht="17.25">
      <c r="A1135" s="11">
        <v>1585295</v>
      </c>
      <c r="B1135" s="4" t="s">
        <v>5138</v>
      </c>
      <c r="C1135" s="5" t="s">
        <v>5139</v>
      </c>
      <c r="D1135" s="5" t="s">
        <v>5140</v>
      </c>
      <c r="E1135" s="5" t="s">
        <v>5141</v>
      </c>
      <c r="F1135" s="13">
        <f>"0899508669"</f>
      </c>
      <c r="G1135" s="13">
        <f>"9780899508665"</f>
      </c>
      <c r="H1135" s="11">
        <v>0</v>
      </c>
      <c r="I1135" s="11">
        <v>4</v>
      </c>
      <c r="J1135" s="7" t="s">
        <v>5142</v>
      </c>
      <c r="K1135" s="5" t="s">
        <v>72</v>
      </c>
      <c r="L1135" s="11">
        <v>242</v>
      </c>
      <c r="M1135" s="11">
        <v>1993</v>
      </c>
      <c r="N1135" s="11">
        <v>1993</v>
      </c>
      <c r="O1135" s="15"/>
      <c r="P1135" s="8">
        <v>45137</v>
      </c>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4" t="s">
        <v>38</v>
      </c>
      <c r="AY1135" s="5" t="s">
        <v>5143</v>
      </c>
      <c r="AZ1135" s="5" t="s">
        <v>38</v>
      </c>
      <c r="BA1135" s="12"/>
      <c r="BB1135" s="12"/>
      <c r="BC1135" s="12"/>
      <c r="BD1135" s="11">
        <v>0</v>
      </c>
      <c r="BE1135" s="11">
        <v>0</v>
      </c>
    </row>
    <row x14ac:dyDescent="0.25" r="1136" customHeight="1" ht="17.25">
      <c r="A1136" s="11">
        <v>483110</v>
      </c>
      <c r="B1136" s="4" t="s">
        <v>5144</v>
      </c>
      <c r="C1136" s="5" t="s">
        <v>5145</v>
      </c>
      <c r="D1136" s="5" t="s">
        <v>5146</v>
      </c>
      <c r="E1136" s="5" t="s">
        <v>5147</v>
      </c>
      <c r="F1136" s="13">
        <f>"1590170946"</f>
      </c>
      <c r="G1136" s="13">
        <f>"9781590170946"</f>
      </c>
      <c r="H1136" s="11">
        <v>0</v>
      </c>
      <c r="I1136" s="14">
        <v>3.39</v>
      </c>
      <c r="J1136" s="7" t="s">
        <v>108</v>
      </c>
      <c r="K1136" s="5" t="s">
        <v>60</v>
      </c>
      <c r="L1136" s="11">
        <v>272</v>
      </c>
      <c r="M1136" s="11">
        <v>2004</v>
      </c>
      <c r="N1136" s="11">
        <v>1966</v>
      </c>
      <c r="O1136" s="15"/>
      <c r="P1136" s="8">
        <v>45137</v>
      </c>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4" t="s">
        <v>38</v>
      </c>
      <c r="AY1136" s="5" t="s">
        <v>5148</v>
      </c>
      <c r="AZ1136" s="5" t="s">
        <v>38</v>
      </c>
      <c r="BA1136" s="12"/>
      <c r="BB1136" s="12"/>
      <c r="BC1136" s="12"/>
      <c r="BD1136" s="11">
        <v>0</v>
      </c>
      <c r="BE1136" s="11">
        <v>0</v>
      </c>
    </row>
    <row x14ac:dyDescent="0.25" r="1137" customHeight="1" ht="17.25">
      <c r="A1137" s="11">
        <v>117565</v>
      </c>
      <c r="B1137" s="4" t="s">
        <v>5149</v>
      </c>
      <c r="C1137" s="5" t="s">
        <v>252</v>
      </c>
      <c r="D1137" s="5" t="s">
        <v>253</v>
      </c>
      <c r="E1137" s="12"/>
      <c r="F1137" s="13">
        <f>"0226106756"</f>
      </c>
      <c r="G1137" s="13">
        <f>"9780226106755"</f>
      </c>
      <c r="H1137" s="11">
        <v>0</v>
      </c>
      <c r="I1137" s="14">
        <v>4.1</v>
      </c>
      <c r="J1137" s="7" t="s">
        <v>5150</v>
      </c>
      <c r="K1137" s="5" t="s">
        <v>60</v>
      </c>
      <c r="L1137" s="11">
        <v>224</v>
      </c>
      <c r="M1137" s="11">
        <v>1998</v>
      </c>
      <c r="N1137" s="11">
        <v>1956</v>
      </c>
      <c r="O1137" s="15"/>
      <c r="P1137" s="8">
        <v>45137</v>
      </c>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4" t="s">
        <v>38</v>
      </c>
      <c r="AY1137" s="5" t="s">
        <v>5151</v>
      </c>
      <c r="AZ1137" s="5" t="s">
        <v>38</v>
      </c>
      <c r="BA1137" s="12"/>
      <c r="BB1137" s="12"/>
      <c r="BC1137" s="12"/>
      <c r="BD1137" s="11">
        <v>0</v>
      </c>
      <c r="BE1137" s="11">
        <v>0</v>
      </c>
    </row>
    <row x14ac:dyDescent="0.25" r="1138" customHeight="1" ht="17.25">
      <c r="A1138" s="11">
        <v>61094787</v>
      </c>
      <c r="B1138" s="4" t="s">
        <v>5152</v>
      </c>
      <c r="C1138" s="5" t="s">
        <v>5153</v>
      </c>
      <c r="D1138" s="5" t="s">
        <v>5154</v>
      </c>
      <c r="E1138" s="12"/>
      <c r="F1138" s="13">
        <f>""</f>
      </c>
      <c r="G1138" s="13">
        <f>""</f>
      </c>
      <c r="H1138" s="11">
        <v>0</v>
      </c>
      <c r="I1138" s="14">
        <v>4.21</v>
      </c>
      <c r="J1138" s="7" t="s">
        <v>120</v>
      </c>
      <c r="K1138" s="5" t="s">
        <v>90</v>
      </c>
      <c r="L1138" s="11">
        <v>376</v>
      </c>
      <c r="M1138" s="11">
        <v>2022</v>
      </c>
      <c r="N1138" s="11">
        <v>2022</v>
      </c>
      <c r="O1138" s="15"/>
      <c r="P1138" s="8">
        <v>45137</v>
      </c>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4" t="s">
        <v>38</v>
      </c>
      <c r="AY1138" s="5" t="s">
        <v>5155</v>
      </c>
      <c r="AZ1138" s="5" t="s">
        <v>38</v>
      </c>
      <c r="BA1138" s="12"/>
      <c r="BB1138" s="12"/>
      <c r="BC1138" s="12"/>
      <c r="BD1138" s="11">
        <v>0</v>
      </c>
      <c r="BE1138" s="11">
        <v>0</v>
      </c>
    </row>
    <row x14ac:dyDescent="0.25" r="1139" customHeight="1" ht="17.25">
      <c r="A1139" s="11">
        <v>232567</v>
      </c>
      <c r="B1139" s="4" t="s">
        <v>5156</v>
      </c>
      <c r="C1139" s="5" t="s">
        <v>5157</v>
      </c>
      <c r="D1139" s="5" t="s">
        <v>5158</v>
      </c>
      <c r="E1139" s="12"/>
      <c r="F1139" s="13">
        <f>"006090495X"</f>
      </c>
      <c r="G1139" s="13">
        <f>"9780060904951"</f>
      </c>
      <c r="H1139" s="11">
        <v>0</v>
      </c>
      <c r="I1139" s="14">
        <v>4.07</v>
      </c>
      <c r="J1139" s="7" t="s">
        <v>505</v>
      </c>
      <c r="K1139" s="5" t="s">
        <v>60</v>
      </c>
      <c r="L1139" s="11">
        <v>320</v>
      </c>
      <c r="M1139" s="11">
        <v>1976</v>
      </c>
      <c r="N1139" s="11">
        <v>1955</v>
      </c>
      <c r="O1139" s="15"/>
      <c r="P1139" s="8">
        <v>45137</v>
      </c>
      <c r="Q1139" s="8"/>
      <c r="R1139" s="8"/>
      <c r="S1139" s="8"/>
      <c r="T1139" s="8"/>
      <c r="U1139" s="8"/>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4" t="s">
        <v>38</v>
      </c>
      <c r="AY1139" s="5" t="s">
        <v>5159</v>
      </c>
      <c r="AZ1139" s="5" t="s">
        <v>38</v>
      </c>
      <c r="BA1139" s="12"/>
      <c r="BB1139" s="12"/>
      <c r="BC1139" s="12"/>
      <c r="BD1139" s="11">
        <v>0</v>
      </c>
      <c r="BE1139" s="11">
        <v>0</v>
      </c>
    </row>
    <row x14ac:dyDescent="0.25" r="1140" customHeight="1" ht="17.25">
      <c r="A1140" s="11">
        <v>90286</v>
      </c>
      <c r="B1140" s="4" t="s">
        <v>5160</v>
      </c>
      <c r="C1140" s="5" t="s">
        <v>5161</v>
      </c>
      <c r="D1140" s="5" t="s">
        <v>5162</v>
      </c>
      <c r="E1140" s="12"/>
      <c r="F1140" s="13">
        <f>"0028740173"</f>
      </c>
      <c r="G1140" s="13">
        <f>"9780028740171"</f>
      </c>
      <c r="H1140" s="11">
        <v>0</v>
      </c>
      <c r="I1140" s="14">
        <v>3.96</v>
      </c>
      <c r="J1140" s="7" t="s">
        <v>311</v>
      </c>
      <c r="K1140" s="5" t="s">
        <v>60</v>
      </c>
      <c r="L1140" s="11">
        <v>244</v>
      </c>
      <c r="M1140" s="11">
        <v>1995</v>
      </c>
      <c r="N1140" s="11">
        <v>1993</v>
      </c>
      <c r="O1140" s="15"/>
      <c r="P1140" s="8">
        <v>45137</v>
      </c>
      <c r="Q1140" s="8"/>
      <c r="R1140" s="8"/>
      <c r="S1140" s="8"/>
      <c r="T1140" s="8"/>
      <c r="U1140" s="8"/>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4" t="s">
        <v>38</v>
      </c>
      <c r="AY1140" s="5" t="s">
        <v>5163</v>
      </c>
      <c r="AZ1140" s="5" t="s">
        <v>38</v>
      </c>
      <c r="BA1140" s="12"/>
      <c r="BB1140" s="12"/>
      <c r="BC1140" s="12"/>
      <c r="BD1140" s="11">
        <v>0</v>
      </c>
      <c r="BE1140" s="11">
        <v>0</v>
      </c>
    </row>
    <row x14ac:dyDescent="0.25" r="1141" customHeight="1" ht="17.25">
      <c r="A1141" s="11">
        <v>26530322</v>
      </c>
      <c r="B1141" s="4" t="s">
        <v>5164</v>
      </c>
      <c r="C1141" s="5" t="s">
        <v>5165</v>
      </c>
      <c r="D1141" s="5" t="s">
        <v>5166</v>
      </c>
      <c r="E1141" s="12"/>
      <c r="F1141" s="13">
        <f>"0393246183"</f>
      </c>
      <c r="G1141" s="13">
        <f>"9780393246186"</f>
      </c>
      <c r="H1141" s="11">
        <v>0</v>
      </c>
      <c r="I1141" s="14">
        <v>3.96</v>
      </c>
      <c r="J1141" s="7" t="s">
        <v>144</v>
      </c>
      <c r="K1141" s="5" t="s">
        <v>72</v>
      </c>
      <c r="L1141" s="11">
        <v>340</v>
      </c>
      <c r="M1141" s="11">
        <v>2016</v>
      </c>
      <c r="N1141" s="11">
        <v>2016</v>
      </c>
      <c r="O1141" s="15"/>
      <c r="P1141" s="8">
        <v>45137</v>
      </c>
      <c r="Q1141" s="8"/>
      <c r="R1141" s="8"/>
      <c r="S1141" s="8"/>
      <c r="T1141" s="8"/>
      <c r="U1141" s="8"/>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U1141" s="8"/>
      <c r="AV1141" s="8"/>
      <c r="AW1141" s="8"/>
      <c r="AX1141" s="4" t="s">
        <v>38</v>
      </c>
      <c r="AY1141" s="5" t="s">
        <v>5167</v>
      </c>
      <c r="AZ1141" s="5" t="s">
        <v>38</v>
      </c>
      <c r="BA1141" s="12"/>
      <c r="BB1141" s="12"/>
      <c r="BC1141" s="12"/>
      <c r="BD1141" s="11">
        <v>0</v>
      </c>
      <c r="BE1141" s="11">
        <v>0</v>
      </c>
    </row>
    <row x14ac:dyDescent="0.25" r="1142" customHeight="1" ht="17.25">
      <c r="A1142" s="11">
        <v>276249</v>
      </c>
      <c r="B1142" s="4" t="s">
        <v>5168</v>
      </c>
      <c r="C1142" s="5" t="s">
        <v>5169</v>
      </c>
      <c r="D1142" s="5" t="s">
        <v>5170</v>
      </c>
      <c r="E1142" s="12"/>
      <c r="F1142" s="13">
        <f>"0674598466"</f>
      </c>
      <c r="G1142" s="13">
        <f>"9780674598461"</f>
      </c>
      <c r="H1142" s="11">
        <v>0</v>
      </c>
      <c r="I1142" s="11">
        <v>4</v>
      </c>
      <c r="J1142" s="7" t="s">
        <v>138</v>
      </c>
      <c r="K1142" s="5" t="s">
        <v>60</v>
      </c>
      <c r="L1142" s="11">
        <v>192</v>
      </c>
      <c r="M1142" s="11">
        <v>1980</v>
      </c>
      <c r="N1142" s="11">
        <v>1980</v>
      </c>
      <c r="O1142" s="15"/>
      <c r="P1142" s="8">
        <v>45137</v>
      </c>
      <c r="Q1142" s="8"/>
      <c r="R1142" s="8"/>
      <c r="S1142" s="8"/>
      <c r="T1142" s="8"/>
      <c r="U1142" s="8"/>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U1142" s="8"/>
      <c r="AV1142" s="8"/>
      <c r="AW1142" s="8"/>
      <c r="AX1142" s="4" t="s">
        <v>38</v>
      </c>
      <c r="AY1142" s="5" t="s">
        <v>5171</v>
      </c>
      <c r="AZ1142" s="5" t="s">
        <v>38</v>
      </c>
      <c r="BA1142" s="12"/>
      <c r="BB1142" s="12"/>
      <c r="BC1142" s="12"/>
      <c r="BD1142" s="11">
        <v>0</v>
      </c>
      <c r="BE1142" s="11">
        <v>0</v>
      </c>
    </row>
    <row x14ac:dyDescent="0.25" r="1143" customHeight="1" ht="17.25">
      <c r="A1143" s="11">
        <v>34137147</v>
      </c>
      <c r="B1143" s="4" t="s">
        <v>5172</v>
      </c>
      <c r="C1143" s="5" t="s">
        <v>5173</v>
      </c>
      <c r="D1143" s="5" t="s">
        <v>5174</v>
      </c>
      <c r="E1143" s="12"/>
      <c r="F1143" s="13">
        <f>""</f>
      </c>
      <c r="G1143" s="13">
        <f>""</f>
      </c>
      <c r="H1143" s="11">
        <v>0</v>
      </c>
      <c r="I1143" s="14">
        <v>3.93</v>
      </c>
      <c r="J1143" s="7" t="s">
        <v>5175</v>
      </c>
      <c r="K1143" s="5" t="s">
        <v>72</v>
      </c>
      <c r="L1143" s="11">
        <v>480</v>
      </c>
      <c r="M1143" s="11">
        <v>2008</v>
      </c>
      <c r="N1143" s="11">
        <v>2006</v>
      </c>
      <c r="O1143" s="15"/>
      <c r="P1143" s="8">
        <v>45136</v>
      </c>
      <c r="Q1143" s="8"/>
      <c r="R1143" s="8"/>
      <c r="S1143" s="8"/>
      <c r="T1143" s="8"/>
      <c r="U1143" s="8"/>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U1143" s="8"/>
      <c r="AV1143" s="8"/>
      <c r="AW1143" s="8"/>
      <c r="AX1143" s="4" t="s">
        <v>38</v>
      </c>
      <c r="AY1143" s="5" t="s">
        <v>5176</v>
      </c>
      <c r="AZ1143" s="5" t="s">
        <v>38</v>
      </c>
      <c r="BA1143" s="12"/>
      <c r="BB1143" s="12"/>
      <c r="BC1143" s="12"/>
      <c r="BD1143" s="11">
        <v>0</v>
      </c>
      <c r="BE1143" s="11">
        <v>0</v>
      </c>
    </row>
    <row x14ac:dyDescent="0.25" r="1144" customHeight="1" ht="17.25">
      <c r="A1144" s="11">
        <v>27843368</v>
      </c>
      <c r="B1144" s="4" t="s">
        <v>5177</v>
      </c>
      <c r="C1144" s="5" t="s">
        <v>5178</v>
      </c>
      <c r="D1144" s="5" t="s">
        <v>5179</v>
      </c>
      <c r="E1144" s="12"/>
      <c r="F1144" s="13">
        <f>"0299278735"</f>
      </c>
      <c r="G1144" s="13">
        <f>"9780299278731"</f>
      </c>
      <c r="H1144" s="11">
        <v>0</v>
      </c>
      <c r="I1144" s="11">
        <v>0</v>
      </c>
      <c r="J1144" s="7" t="s">
        <v>5180</v>
      </c>
      <c r="K1144" s="5" t="s">
        <v>90</v>
      </c>
      <c r="L1144" s="11">
        <v>244</v>
      </c>
      <c r="M1144" s="11">
        <v>2011</v>
      </c>
      <c r="N1144" s="11">
        <v>2011</v>
      </c>
      <c r="O1144" s="15"/>
      <c r="P1144" s="8">
        <v>45136</v>
      </c>
      <c r="Q1144" s="8"/>
      <c r="R1144" s="8"/>
      <c r="S1144" s="8"/>
      <c r="T1144" s="8"/>
      <c r="U1144" s="8"/>
      <c r="V1144" s="8"/>
      <c r="W1144" s="8"/>
      <c r="X1144" s="8"/>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U1144" s="8"/>
      <c r="AV1144" s="8"/>
      <c r="AW1144" s="8"/>
      <c r="AX1144" s="4" t="s">
        <v>38</v>
      </c>
      <c r="AY1144" s="5" t="s">
        <v>5181</v>
      </c>
      <c r="AZ1144" s="5" t="s">
        <v>38</v>
      </c>
      <c r="BA1144" s="12"/>
      <c r="BB1144" s="12"/>
      <c r="BC1144" s="12"/>
      <c r="BD1144" s="11">
        <v>0</v>
      </c>
      <c r="BE1144" s="11">
        <v>0</v>
      </c>
    </row>
    <row x14ac:dyDescent="0.25" r="1145" customHeight="1" ht="17.25">
      <c r="A1145" s="11">
        <v>56618625</v>
      </c>
      <c r="B1145" s="4" t="s">
        <v>5182</v>
      </c>
      <c r="C1145" s="5" t="s">
        <v>5183</v>
      </c>
      <c r="D1145" s="5" t="s">
        <v>5184</v>
      </c>
      <c r="E1145" s="5" t="s">
        <v>5185</v>
      </c>
      <c r="F1145" s="13">
        <f>"1681375141"</f>
      </c>
      <c r="G1145" s="13">
        <f>"9781681375144"</f>
      </c>
      <c r="H1145" s="11">
        <v>0</v>
      </c>
      <c r="I1145" s="14">
        <v>4.16</v>
      </c>
      <c r="J1145" s="7" t="s">
        <v>701</v>
      </c>
      <c r="K1145" s="5" t="s">
        <v>60</v>
      </c>
      <c r="L1145" s="11">
        <v>400</v>
      </c>
      <c r="M1145" s="11">
        <v>2022</v>
      </c>
      <c r="N1145" s="11">
        <v>1946</v>
      </c>
      <c r="O1145" s="15"/>
      <c r="P1145" s="8">
        <v>45136</v>
      </c>
      <c r="Q1145" s="8"/>
      <c r="R1145" s="8"/>
      <c r="S1145" s="8"/>
      <c r="T1145" s="8"/>
      <c r="U1145" s="8"/>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U1145" s="8"/>
      <c r="AV1145" s="8"/>
      <c r="AW1145" s="8"/>
      <c r="AX1145" s="4" t="s">
        <v>38</v>
      </c>
      <c r="AY1145" s="5" t="s">
        <v>5186</v>
      </c>
      <c r="AZ1145" s="5" t="s">
        <v>38</v>
      </c>
      <c r="BA1145" s="12"/>
      <c r="BB1145" s="12"/>
      <c r="BC1145" s="12"/>
      <c r="BD1145" s="11">
        <v>0</v>
      </c>
      <c r="BE1145" s="11">
        <v>0</v>
      </c>
    </row>
    <row x14ac:dyDescent="0.25" r="1146" customHeight="1" ht="17.25">
      <c r="A1146" s="11">
        <v>61107329</v>
      </c>
      <c r="B1146" s="4" t="s">
        <v>5187</v>
      </c>
      <c r="C1146" s="5" t="s">
        <v>5188</v>
      </c>
      <c r="D1146" s="5" t="s">
        <v>5189</v>
      </c>
      <c r="E1146" s="5" t="s">
        <v>5190</v>
      </c>
      <c r="F1146" s="13">
        <f>"1939663881"</f>
      </c>
      <c r="G1146" s="13">
        <f>"9781939663887"</f>
      </c>
      <c r="H1146" s="11">
        <v>0</v>
      </c>
      <c r="I1146" s="14">
        <v>4.21</v>
      </c>
      <c r="J1146" s="7" t="s">
        <v>5191</v>
      </c>
      <c r="K1146" s="5" t="s">
        <v>60</v>
      </c>
      <c r="L1146" s="11">
        <v>208</v>
      </c>
      <c r="M1146" s="11">
        <v>2022</v>
      </c>
      <c r="N1146" s="11">
        <v>1988</v>
      </c>
      <c r="O1146" s="15"/>
      <c r="P1146" s="8">
        <v>45136</v>
      </c>
      <c r="Q1146" s="8"/>
      <c r="R1146" s="8"/>
      <c r="S1146" s="8"/>
      <c r="T1146" s="8"/>
      <c r="U1146" s="8"/>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U1146" s="8"/>
      <c r="AV1146" s="8"/>
      <c r="AW1146" s="8"/>
      <c r="AX1146" s="4" t="s">
        <v>38</v>
      </c>
      <c r="AY1146" s="5" t="s">
        <v>5192</v>
      </c>
      <c r="AZ1146" s="5" t="s">
        <v>38</v>
      </c>
      <c r="BA1146" s="12"/>
      <c r="BB1146" s="12"/>
      <c r="BC1146" s="12"/>
      <c r="BD1146" s="11">
        <v>0</v>
      </c>
      <c r="BE1146" s="11">
        <v>0</v>
      </c>
    </row>
    <row x14ac:dyDescent="0.25" r="1147" customHeight="1" ht="17.25">
      <c r="A1147" s="11">
        <v>58878802</v>
      </c>
      <c r="B1147" s="4" t="s">
        <v>5193</v>
      </c>
      <c r="C1147" s="5" t="s">
        <v>5194</v>
      </c>
      <c r="D1147" s="5" t="s">
        <v>5195</v>
      </c>
      <c r="E1147" s="5" t="s">
        <v>5196</v>
      </c>
      <c r="F1147" s="13">
        <f>"0472038966"</f>
      </c>
      <c r="G1147" s="13">
        <f>"9780472038961"</f>
      </c>
      <c r="H1147" s="11">
        <v>0</v>
      </c>
      <c r="I1147" s="14">
        <v>4.71</v>
      </c>
      <c r="J1147" s="7" t="s">
        <v>5197</v>
      </c>
      <c r="K1147" s="5" t="s">
        <v>60</v>
      </c>
      <c r="L1147" s="11">
        <v>816</v>
      </c>
      <c r="M1147" s="11">
        <v>2022</v>
      </c>
      <c r="N1147" s="16"/>
      <c r="O1147" s="15"/>
      <c r="P1147" s="8">
        <v>45136</v>
      </c>
      <c r="Q1147" s="8"/>
      <c r="R1147" s="8"/>
      <c r="S1147" s="8"/>
      <c r="T1147" s="8"/>
      <c r="U1147" s="8"/>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4" t="s">
        <v>38</v>
      </c>
      <c r="AY1147" s="5" t="s">
        <v>5198</v>
      </c>
      <c r="AZ1147" s="5" t="s">
        <v>38</v>
      </c>
      <c r="BA1147" s="12"/>
      <c r="BB1147" s="12"/>
      <c r="BC1147" s="12"/>
      <c r="BD1147" s="11">
        <v>0</v>
      </c>
      <c r="BE1147" s="11">
        <v>0</v>
      </c>
    </row>
    <row x14ac:dyDescent="0.25" r="1148" customHeight="1" ht="17.25">
      <c r="A1148" s="11">
        <v>2598819</v>
      </c>
      <c r="B1148" s="4" t="s">
        <v>5199</v>
      </c>
      <c r="C1148" s="5" t="s">
        <v>5200</v>
      </c>
      <c r="D1148" s="5" t="s">
        <v>5201</v>
      </c>
      <c r="E1148" s="5" t="s">
        <v>5202</v>
      </c>
      <c r="F1148" s="13">
        <f>"0520256433"</f>
      </c>
      <c r="G1148" s="13">
        <f>"9780520256439"</f>
      </c>
      <c r="H1148" s="11">
        <v>0</v>
      </c>
      <c r="I1148" s="14">
        <v>4.18</v>
      </c>
      <c r="J1148" s="7" t="s">
        <v>1335</v>
      </c>
      <c r="K1148" s="5" t="s">
        <v>60</v>
      </c>
      <c r="L1148" s="11">
        <v>254</v>
      </c>
      <c r="M1148" s="11">
        <v>2008</v>
      </c>
      <c r="N1148" s="11">
        <v>1993</v>
      </c>
      <c r="O1148" s="15"/>
      <c r="P1148" s="8">
        <v>45136</v>
      </c>
      <c r="Q1148" s="8"/>
      <c r="R1148" s="8"/>
      <c r="S1148" s="8"/>
      <c r="T1148" s="8"/>
      <c r="U1148" s="8"/>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U1148" s="8"/>
      <c r="AV1148" s="8"/>
      <c r="AW1148" s="8"/>
      <c r="AX1148" s="4" t="s">
        <v>38</v>
      </c>
      <c r="AY1148" s="5" t="s">
        <v>5203</v>
      </c>
      <c r="AZ1148" s="5" t="s">
        <v>38</v>
      </c>
      <c r="BA1148" s="12"/>
      <c r="BB1148" s="12"/>
      <c r="BC1148" s="12"/>
      <c r="BD1148" s="11">
        <v>0</v>
      </c>
      <c r="BE1148" s="11">
        <v>0</v>
      </c>
    </row>
    <row x14ac:dyDescent="0.25" r="1149" customHeight="1" ht="17.25">
      <c r="A1149" s="11">
        <v>15962</v>
      </c>
      <c r="B1149" s="4" t="s">
        <v>5204</v>
      </c>
      <c r="C1149" s="5" t="s">
        <v>5205</v>
      </c>
      <c r="D1149" s="5" t="s">
        <v>5206</v>
      </c>
      <c r="E1149" s="12"/>
      <c r="F1149" s="13">
        <f>"0452265819"</f>
      </c>
      <c r="G1149" s="13">
        <f>"9780452265813"</f>
      </c>
      <c r="H1149" s="11">
        <v>0</v>
      </c>
      <c r="I1149" s="14">
        <v>3.89</v>
      </c>
      <c r="J1149" s="7" t="s">
        <v>751</v>
      </c>
      <c r="K1149" s="5" t="s">
        <v>60</v>
      </c>
      <c r="L1149" s="11">
        <v>416</v>
      </c>
      <c r="M1149" s="11">
        <v>1991</v>
      </c>
      <c r="N1149" s="11">
        <v>1990</v>
      </c>
      <c r="O1149" s="15"/>
      <c r="P1149" s="8">
        <v>45135</v>
      </c>
      <c r="Q1149" s="8"/>
      <c r="R1149" s="8"/>
      <c r="S1149" s="8"/>
      <c r="T1149" s="8"/>
      <c r="U1149" s="8"/>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U1149" s="8"/>
      <c r="AV1149" s="8"/>
      <c r="AW1149" s="8"/>
      <c r="AX1149" s="4" t="s">
        <v>38</v>
      </c>
      <c r="AY1149" s="5" t="s">
        <v>5207</v>
      </c>
      <c r="AZ1149" s="5" t="s">
        <v>38</v>
      </c>
      <c r="BA1149" s="12"/>
      <c r="BB1149" s="12"/>
      <c r="BC1149" s="12"/>
      <c r="BD1149" s="11">
        <v>0</v>
      </c>
      <c r="BE1149" s="11">
        <v>0</v>
      </c>
    </row>
    <row x14ac:dyDescent="0.25" r="1150" customHeight="1" ht="17.25">
      <c r="A1150" s="11">
        <v>50202953</v>
      </c>
      <c r="B1150" s="4" t="s">
        <v>5208</v>
      </c>
      <c r="C1150" s="5" t="s">
        <v>5209</v>
      </c>
      <c r="D1150" s="5" t="s">
        <v>5210</v>
      </c>
      <c r="E1150" s="12"/>
      <c r="F1150" s="13">
        <f>"163557563X"</f>
      </c>
      <c r="G1150" s="13">
        <f>"9781635575637"</f>
      </c>
      <c r="H1150" s="11">
        <v>0</v>
      </c>
      <c r="I1150" s="14">
        <v>4.23</v>
      </c>
      <c r="J1150" s="7" t="s">
        <v>5211</v>
      </c>
      <c r="K1150" s="5" t="s">
        <v>72</v>
      </c>
      <c r="L1150" s="11">
        <v>272</v>
      </c>
      <c r="M1150" s="11">
        <v>2020</v>
      </c>
      <c r="N1150" s="11">
        <v>2020</v>
      </c>
      <c r="O1150" s="15"/>
      <c r="P1150" s="8">
        <v>45134</v>
      </c>
      <c r="Q1150" s="8"/>
      <c r="R1150" s="8"/>
      <c r="S1150" s="8"/>
      <c r="T1150" s="8"/>
      <c r="U1150" s="8"/>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U1150" s="8"/>
      <c r="AV1150" s="8"/>
      <c r="AW1150" s="8"/>
      <c r="AX1150" s="4" t="s">
        <v>38</v>
      </c>
      <c r="AY1150" s="5" t="s">
        <v>5212</v>
      </c>
      <c r="AZ1150" s="5" t="s">
        <v>38</v>
      </c>
      <c r="BA1150" s="12"/>
      <c r="BB1150" s="12"/>
      <c r="BC1150" s="12"/>
      <c r="BD1150" s="11">
        <v>0</v>
      </c>
      <c r="BE1150" s="11">
        <v>0</v>
      </c>
    </row>
    <row x14ac:dyDescent="0.25" r="1151" customHeight="1" ht="17.25">
      <c r="A1151" s="11">
        <v>1025695</v>
      </c>
      <c r="B1151" s="4" t="s">
        <v>5213</v>
      </c>
      <c r="C1151" s="5" t="s">
        <v>5214</v>
      </c>
      <c r="D1151" s="5" t="s">
        <v>5215</v>
      </c>
      <c r="E1151" s="12"/>
      <c r="F1151" s="13">
        <f>"0521607264"</f>
      </c>
      <c r="G1151" s="13">
        <f>"9780521607261"</f>
      </c>
      <c r="H1151" s="11">
        <v>0</v>
      </c>
      <c r="I1151" s="11">
        <v>4</v>
      </c>
      <c r="J1151" s="7" t="s">
        <v>636</v>
      </c>
      <c r="K1151" s="5" t="s">
        <v>60</v>
      </c>
      <c r="L1151" s="11">
        <v>554</v>
      </c>
      <c r="M1151" s="11">
        <v>2008</v>
      </c>
      <c r="N1151" s="11">
        <v>2007</v>
      </c>
      <c r="O1151" s="15"/>
      <c r="P1151" s="8">
        <v>45134</v>
      </c>
      <c r="Q1151" s="8"/>
      <c r="R1151" s="8"/>
      <c r="S1151" s="8"/>
      <c r="T1151" s="8"/>
      <c r="U1151" s="8"/>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U1151" s="8"/>
      <c r="AV1151" s="8"/>
      <c r="AW1151" s="8"/>
      <c r="AX1151" s="4" t="s">
        <v>38</v>
      </c>
      <c r="AY1151" s="5" t="s">
        <v>5216</v>
      </c>
      <c r="AZ1151" s="5" t="s">
        <v>38</v>
      </c>
      <c r="BA1151" s="12"/>
      <c r="BB1151" s="12"/>
      <c r="BC1151" s="12"/>
      <c r="BD1151" s="11">
        <v>0</v>
      </c>
      <c r="BE1151" s="11">
        <v>0</v>
      </c>
    </row>
    <row x14ac:dyDescent="0.25" r="1152" customHeight="1" ht="17.25">
      <c r="A1152" s="11">
        <v>21136090</v>
      </c>
      <c r="B1152" s="4" t="s">
        <v>5217</v>
      </c>
      <c r="C1152" s="5" t="s">
        <v>5202</v>
      </c>
      <c r="D1152" s="5" t="s">
        <v>5218</v>
      </c>
      <c r="E1152" s="12"/>
      <c r="F1152" s="13">
        <f>""</f>
      </c>
      <c r="G1152" s="13">
        <f>""</f>
      </c>
      <c r="H1152" s="11">
        <v>0</v>
      </c>
      <c r="I1152" s="14">
        <v>3.93</v>
      </c>
      <c r="J1152" s="7" t="s">
        <v>636</v>
      </c>
      <c r="K1152" s="5" t="s">
        <v>90</v>
      </c>
      <c r="L1152" s="11">
        <v>472</v>
      </c>
      <c r="M1152" s="11">
        <v>1999</v>
      </c>
      <c r="N1152" s="11">
        <v>1995</v>
      </c>
      <c r="O1152" s="15"/>
      <c r="P1152" s="8">
        <v>45134</v>
      </c>
      <c r="Q1152" s="8"/>
      <c r="R1152" s="8"/>
      <c r="S1152" s="8"/>
      <c r="T1152" s="8"/>
      <c r="U1152" s="8"/>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U1152" s="8"/>
      <c r="AV1152" s="8"/>
      <c r="AW1152" s="8"/>
      <c r="AX1152" s="4" t="s">
        <v>38</v>
      </c>
      <c r="AY1152" s="5" t="s">
        <v>5219</v>
      </c>
      <c r="AZ1152" s="5" t="s">
        <v>38</v>
      </c>
      <c r="BA1152" s="12"/>
      <c r="BB1152" s="12"/>
      <c r="BC1152" s="12"/>
      <c r="BD1152" s="11">
        <v>0</v>
      </c>
      <c r="BE1152" s="11">
        <v>0</v>
      </c>
    </row>
    <row x14ac:dyDescent="0.25" r="1153" customHeight="1" ht="17.25">
      <c r="A1153" s="11">
        <v>60470412</v>
      </c>
      <c r="B1153" s="4" t="s">
        <v>5220</v>
      </c>
      <c r="C1153" s="5" t="s">
        <v>5221</v>
      </c>
      <c r="D1153" s="5" t="s">
        <v>5222</v>
      </c>
      <c r="E1153" s="5" t="s">
        <v>5223</v>
      </c>
      <c r="F1153" s="13">
        <f>"0190648317"</f>
      </c>
      <c r="G1153" s="13">
        <f>"9780190648312"</f>
      </c>
      <c r="H1153" s="11">
        <v>0</v>
      </c>
      <c r="I1153" s="11">
        <v>0</v>
      </c>
      <c r="J1153" s="7" t="s">
        <v>245</v>
      </c>
      <c r="K1153" s="5" t="s">
        <v>72</v>
      </c>
      <c r="L1153" s="11">
        <v>624</v>
      </c>
      <c r="M1153" s="11">
        <v>2022</v>
      </c>
      <c r="N1153" s="16"/>
      <c r="O1153" s="15"/>
      <c r="P1153" s="8">
        <v>45134</v>
      </c>
      <c r="Q1153" s="8"/>
      <c r="R1153" s="8"/>
      <c r="S1153" s="8"/>
      <c r="T1153" s="8"/>
      <c r="U1153" s="8"/>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U1153" s="8"/>
      <c r="AV1153" s="8"/>
      <c r="AW1153" s="8"/>
      <c r="AX1153" s="4" t="s">
        <v>38</v>
      </c>
      <c r="AY1153" s="5" t="s">
        <v>5224</v>
      </c>
      <c r="AZ1153" s="5" t="s">
        <v>38</v>
      </c>
      <c r="BA1153" s="12"/>
      <c r="BB1153" s="12"/>
      <c r="BC1153" s="12"/>
      <c r="BD1153" s="11">
        <v>0</v>
      </c>
      <c r="BE1153" s="11">
        <v>0</v>
      </c>
    </row>
    <row x14ac:dyDescent="0.25" r="1154" customHeight="1" ht="17.25">
      <c r="A1154" s="11">
        <v>19489891</v>
      </c>
      <c r="B1154" s="4" t="s">
        <v>5225</v>
      </c>
      <c r="C1154" s="5" t="s">
        <v>529</v>
      </c>
      <c r="D1154" s="5" t="s">
        <v>530</v>
      </c>
      <c r="E1154" s="5" t="s">
        <v>5226</v>
      </c>
      <c r="F1154" s="13">
        <f>""</f>
      </c>
      <c r="G1154" s="13">
        <f>""</f>
      </c>
      <c r="H1154" s="11">
        <v>0</v>
      </c>
      <c r="I1154" s="14">
        <v>3.97</v>
      </c>
      <c r="J1154" s="7" t="s">
        <v>5227</v>
      </c>
      <c r="K1154" s="5" t="s">
        <v>90</v>
      </c>
      <c r="L1154" s="11">
        <v>247</v>
      </c>
      <c r="M1154" s="11">
        <v>2012</v>
      </c>
      <c r="N1154" s="11">
        <v>2007</v>
      </c>
      <c r="O1154" s="15"/>
      <c r="P1154" s="8">
        <v>45134</v>
      </c>
      <c r="Q1154" s="8"/>
      <c r="R1154" s="8"/>
      <c r="S1154" s="8"/>
      <c r="T1154" s="8"/>
      <c r="U1154" s="8"/>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U1154" s="8"/>
      <c r="AV1154" s="8"/>
      <c r="AW1154" s="8"/>
      <c r="AX1154" s="4" t="s">
        <v>38</v>
      </c>
      <c r="AY1154" s="5" t="s">
        <v>5228</v>
      </c>
      <c r="AZ1154" s="5" t="s">
        <v>38</v>
      </c>
      <c r="BA1154" s="12"/>
      <c r="BB1154" s="12"/>
      <c r="BC1154" s="12"/>
      <c r="BD1154" s="11">
        <v>0</v>
      </c>
      <c r="BE1154" s="11">
        <v>0</v>
      </c>
    </row>
    <row x14ac:dyDescent="0.25" r="1155" customHeight="1" ht="17.25">
      <c r="A1155" s="11">
        <v>61361681</v>
      </c>
      <c r="B1155" s="4" t="s">
        <v>5229</v>
      </c>
      <c r="C1155" s="5" t="s">
        <v>5230</v>
      </c>
      <c r="D1155" s="5" t="s">
        <v>5231</v>
      </c>
      <c r="E1155" s="12"/>
      <c r="F1155" s="13">
        <f>"1728268230"</f>
      </c>
      <c r="G1155" s="13">
        <f>"9781728268231"</f>
      </c>
      <c r="H1155" s="11">
        <v>0</v>
      </c>
      <c r="I1155" s="14">
        <v>4.28</v>
      </c>
      <c r="J1155" s="7" t="s">
        <v>5232</v>
      </c>
      <c r="K1155" s="5" t="s">
        <v>72</v>
      </c>
      <c r="L1155" s="11">
        <v>448</v>
      </c>
      <c r="M1155" s="11">
        <v>2023</v>
      </c>
      <c r="N1155" s="11">
        <v>2023</v>
      </c>
      <c r="O1155" s="15"/>
      <c r="P1155" s="8">
        <v>45132</v>
      </c>
      <c r="Q1155" s="8"/>
      <c r="R1155" s="8"/>
      <c r="S1155" s="8"/>
      <c r="T1155" s="8"/>
      <c r="U1155" s="8"/>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U1155" s="8"/>
      <c r="AV1155" s="8"/>
      <c r="AW1155" s="8"/>
      <c r="AX1155" s="4" t="s">
        <v>38</v>
      </c>
      <c r="AY1155" s="5" t="s">
        <v>5233</v>
      </c>
      <c r="AZ1155" s="5" t="s">
        <v>38</v>
      </c>
      <c r="BA1155" s="12"/>
      <c r="BB1155" s="12"/>
      <c r="BC1155" s="12"/>
      <c r="BD1155" s="11">
        <v>0</v>
      </c>
      <c r="BE1155" s="11">
        <v>0</v>
      </c>
    </row>
    <row x14ac:dyDescent="0.25" r="1156" customHeight="1" ht="17.25">
      <c r="A1156" s="11">
        <v>238155</v>
      </c>
      <c r="B1156" s="4" t="s">
        <v>5234</v>
      </c>
      <c r="C1156" s="5" t="s">
        <v>4328</v>
      </c>
      <c r="D1156" s="5" t="s">
        <v>4329</v>
      </c>
      <c r="E1156" s="12"/>
      <c r="F1156" s="13">
        <f>"0525475281"</f>
      </c>
      <c r="G1156" s="13">
        <f>"9780525475286"</f>
      </c>
      <c r="H1156" s="11">
        <v>0</v>
      </c>
      <c r="I1156" s="14">
        <v>3.24</v>
      </c>
      <c r="J1156" s="7" t="s">
        <v>5235</v>
      </c>
      <c r="K1156" s="5" t="s">
        <v>60</v>
      </c>
      <c r="L1156" s="11">
        <v>144</v>
      </c>
      <c r="M1156" s="11">
        <v>1972</v>
      </c>
      <c r="N1156" s="11">
        <v>1967</v>
      </c>
      <c r="O1156" s="15"/>
      <c r="P1156" s="8">
        <v>43972</v>
      </c>
      <c r="Q1156" s="8"/>
      <c r="R1156" s="8"/>
      <c r="S1156" s="8"/>
      <c r="T1156" s="8"/>
      <c r="U1156" s="8"/>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8"/>
      <c r="AW1156" s="8"/>
      <c r="AX1156" s="4" t="s">
        <v>38</v>
      </c>
      <c r="AY1156" s="5" t="s">
        <v>5236</v>
      </c>
      <c r="AZ1156" s="5" t="s">
        <v>38</v>
      </c>
      <c r="BA1156" s="12"/>
      <c r="BB1156" s="12"/>
      <c r="BC1156" s="12"/>
      <c r="BD1156" s="11">
        <v>0</v>
      </c>
      <c r="BE1156" s="11">
        <v>0</v>
      </c>
    </row>
    <row x14ac:dyDescent="0.25" r="1157" customHeight="1" ht="17.25">
      <c r="A1157" s="11">
        <v>12401695</v>
      </c>
      <c r="B1157" s="4" t="s">
        <v>5237</v>
      </c>
      <c r="C1157" s="5" t="s">
        <v>5238</v>
      </c>
      <c r="D1157" s="5" t="s">
        <v>5239</v>
      </c>
      <c r="E1157" s="12"/>
      <c r="F1157" s="13">
        <f>"1250002494"</f>
      </c>
      <c r="G1157" s="13">
        <f>"9781250002495"</f>
      </c>
      <c r="H1157" s="11">
        <v>0</v>
      </c>
      <c r="I1157" s="14">
        <v>3.71</v>
      </c>
      <c r="J1157" s="7" t="s">
        <v>975</v>
      </c>
      <c r="K1157" s="5" t="s">
        <v>60</v>
      </c>
      <c r="L1157" s="11">
        <v>384</v>
      </c>
      <c r="M1157" s="11">
        <v>2012</v>
      </c>
      <c r="N1157" s="16"/>
      <c r="O1157" s="15"/>
      <c r="P1157" s="9">
        <v>44480</v>
      </c>
      <c r="Q1157" s="9"/>
      <c r="R1157" s="9"/>
      <c r="S1157" s="9"/>
      <c r="T1157" s="9"/>
      <c r="U1157" s="9"/>
      <c r="V1157" s="9"/>
      <c r="W1157" s="9"/>
      <c r="X1157" s="9"/>
      <c r="Y1157" s="9"/>
      <c r="Z1157" s="9"/>
      <c r="AA1157" s="9"/>
      <c r="AB1157" s="9"/>
      <c r="AC1157" s="9"/>
      <c r="AD1157" s="9"/>
      <c r="AE1157" s="9"/>
      <c r="AF1157" s="9"/>
      <c r="AG1157" s="9"/>
      <c r="AH1157" s="9"/>
      <c r="AI1157" s="9"/>
      <c r="AJ1157" s="9"/>
      <c r="AK1157" s="9"/>
      <c r="AL1157" s="9"/>
      <c r="AM1157" s="9"/>
      <c r="AN1157" s="9"/>
      <c r="AO1157" s="9"/>
      <c r="AP1157" s="9"/>
      <c r="AQ1157" s="9"/>
      <c r="AR1157" s="9"/>
      <c r="AS1157" s="9"/>
      <c r="AT1157" s="9"/>
      <c r="AU1157" s="9"/>
      <c r="AV1157" s="9"/>
      <c r="AW1157" s="9"/>
      <c r="AX1157" s="4" t="s">
        <v>38</v>
      </c>
      <c r="AY1157" s="5" t="s">
        <v>5240</v>
      </c>
      <c r="AZ1157" s="5" t="s">
        <v>38</v>
      </c>
      <c r="BA1157" s="12"/>
      <c r="BB1157" s="12"/>
      <c r="BC1157" s="12"/>
      <c r="BD1157" s="11">
        <v>0</v>
      </c>
      <c r="BE1157" s="11">
        <v>0</v>
      </c>
    </row>
    <row x14ac:dyDescent="0.25" r="1158" customHeight="1" ht="17.25">
      <c r="A1158" s="11">
        <v>52350</v>
      </c>
      <c r="B1158" s="4" t="s">
        <v>5241</v>
      </c>
      <c r="C1158" s="5" t="s">
        <v>1964</v>
      </c>
      <c r="D1158" s="5" t="s">
        <v>1965</v>
      </c>
      <c r="E1158" s="5" t="s">
        <v>5242</v>
      </c>
      <c r="F1158" s="13">
        <f>"0060080841"</f>
      </c>
      <c r="G1158" s="13">
        <f>"9780060080846"</f>
      </c>
      <c r="H1158" s="11">
        <v>0</v>
      </c>
      <c r="I1158" s="14">
        <v>3.83</v>
      </c>
      <c r="J1158" s="7" t="s">
        <v>5243</v>
      </c>
      <c r="K1158" s="5" t="s">
        <v>60</v>
      </c>
      <c r="L1158" s="11">
        <v>144</v>
      </c>
      <c r="M1158" s="11">
        <v>2002</v>
      </c>
      <c r="N1158" s="11">
        <v>1972</v>
      </c>
      <c r="O1158" s="15"/>
      <c r="P1158" s="9">
        <v>44859</v>
      </c>
      <c r="Q1158" s="9"/>
      <c r="R1158" s="9"/>
      <c r="S1158" s="9"/>
      <c r="T1158" s="9"/>
      <c r="U1158" s="9"/>
      <c r="V1158" s="9"/>
      <c r="W1158" s="9"/>
      <c r="X1158" s="9"/>
      <c r="Y1158" s="9"/>
      <c r="Z1158" s="9"/>
      <c r="AA1158" s="9"/>
      <c r="AB1158" s="9"/>
      <c r="AC1158" s="9"/>
      <c r="AD1158" s="9"/>
      <c r="AE1158" s="9"/>
      <c r="AF1158" s="9"/>
      <c r="AG1158" s="9"/>
      <c r="AH1158" s="9"/>
      <c r="AI1158" s="9"/>
      <c r="AJ1158" s="9"/>
      <c r="AK1158" s="9"/>
      <c r="AL1158" s="9"/>
      <c r="AM1158" s="9"/>
      <c r="AN1158" s="9"/>
      <c r="AO1158" s="9"/>
      <c r="AP1158" s="9"/>
      <c r="AQ1158" s="9"/>
      <c r="AR1158" s="9"/>
      <c r="AS1158" s="9"/>
      <c r="AT1158" s="9"/>
      <c r="AU1158" s="9"/>
      <c r="AV1158" s="9"/>
      <c r="AW1158" s="9"/>
      <c r="AX1158" s="4" t="s">
        <v>38</v>
      </c>
      <c r="AY1158" s="5" t="s">
        <v>5244</v>
      </c>
      <c r="AZ1158" s="5" t="s">
        <v>38</v>
      </c>
      <c r="BA1158" s="12"/>
      <c r="BB1158" s="12"/>
      <c r="BC1158" s="12"/>
      <c r="BD1158" s="11">
        <v>0</v>
      </c>
      <c r="BE1158" s="11">
        <v>0</v>
      </c>
    </row>
    <row x14ac:dyDescent="0.25" r="1159" customHeight="1" ht="17.25">
      <c r="A1159" s="11">
        <v>567610</v>
      </c>
      <c r="B1159" s="4" t="s">
        <v>5245</v>
      </c>
      <c r="C1159" s="5" t="s">
        <v>5246</v>
      </c>
      <c r="D1159" s="5" t="s">
        <v>5247</v>
      </c>
      <c r="E1159" s="5" t="s">
        <v>5248</v>
      </c>
      <c r="F1159" s="13">
        <f>""</f>
      </c>
      <c r="G1159" s="13">
        <f>""</f>
      </c>
      <c r="H1159" s="11">
        <v>0</v>
      </c>
      <c r="I1159" s="14">
        <v>3.98</v>
      </c>
      <c r="J1159" s="7" t="s">
        <v>5249</v>
      </c>
      <c r="K1159" s="5" t="s">
        <v>60</v>
      </c>
      <c r="L1159" s="11">
        <v>426</v>
      </c>
      <c r="M1159" s="11">
        <v>1972</v>
      </c>
      <c r="N1159" s="11">
        <v>1940</v>
      </c>
      <c r="O1159" s="15"/>
      <c r="P1159" s="8">
        <v>43934</v>
      </c>
      <c r="Q1159" s="8"/>
      <c r="R1159" s="8"/>
      <c r="S1159" s="8"/>
      <c r="T1159" s="8"/>
      <c r="U1159" s="8"/>
      <c r="V1159" s="8"/>
      <c r="W1159" s="8"/>
      <c r="X1159" s="8"/>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U1159" s="8"/>
      <c r="AV1159" s="8"/>
      <c r="AW1159" s="8"/>
      <c r="AX1159" s="4" t="s">
        <v>5250</v>
      </c>
      <c r="AY1159" s="5" t="s">
        <v>5251</v>
      </c>
      <c r="AZ1159" s="5" t="s">
        <v>38</v>
      </c>
      <c r="BA1159" s="12"/>
      <c r="BB1159" s="12"/>
      <c r="BC1159" s="12"/>
      <c r="BD1159" s="11">
        <v>0</v>
      </c>
      <c r="BE1159" s="11">
        <v>0</v>
      </c>
    </row>
    <row x14ac:dyDescent="0.25" r="1160" customHeight="1" ht="17.25">
      <c r="A1160" s="11">
        <v>429983</v>
      </c>
      <c r="B1160" s="4" t="s">
        <v>5252</v>
      </c>
      <c r="C1160" s="5" t="s">
        <v>1612</v>
      </c>
      <c r="D1160" s="5" t="s">
        <v>1613</v>
      </c>
      <c r="E1160" s="5" t="s">
        <v>5253</v>
      </c>
      <c r="F1160" s="13">
        <f>"0060168358"</f>
      </c>
      <c r="G1160" s="13">
        <f>"9780060168353"</f>
      </c>
      <c r="H1160" s="11">
        <v>0</v>
      </c>
      <c r="I1160" s="14">
        <v>4.25</v>
      </c>
      <c r="J1160" s="7" t="s">
        <v>5254</v>
      </c>
      <c r="K1160" s="5" t="s">
        <v>60</v>
      </c>
      <c r="L1160" s="11">
        <v>250</v>
      </c>
      <c r="M1160" s="11">
        <v>1992</v>
      </c>
      <c r="N1160" s="11">
        <v>1979</v>
      </c>
      <c r="O1160" s="15"/>
      <c r="P1160" s="8">
        <v>45129</v>
      </c>
      <c r="Q1160" s="8"/>
      <c r="R1160" s="8"/>
      <c r="S1160" s="8"/>
      <c r="T1160" s="8"/>
      <c r="U1160" s="8"/>
      <c r="V1160" s="8"/>
      <c r="W1160" s="8"/>
      <c r="X1160" s="8"/>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U1160" s="8"/>
      <c r="AV1160" s="8"/>
      <c r="AW1160" s="8"/>
      <c r="AX1160" s="4" t="s">
        <v>38</v>
      </c>
      <c r="AY1160" s="5" t="s">
        <v>5255</v>
      </c>
      <c r="AZ1160" s="5" t="s">
        <v>38</v>
      </c>
      <c r="BA1160" s="12"/>
      <c r="BB1160" s="12"/>
      <c r="BC1160" s="12"/>
      <c r="BD1160" s="11">
        <v>0</v>
      </c>
      <c r="BE1160" s="11">
        <v>0</v>
      </c>
    </row>
    <row x14ac:dyDescent="0.25" r="1161" customHeight="1" ht="17.25">
      <c r="A1161" s="11">
        <v>10530</v>
      </c>
      <c r="B1161" s="4" t="s">
        <v>5256</v>
      </c>
      <c r="C1161" s="5" t="s">
        <v>3076</v>
      </c>
      <c r="D1161" s="5" t="s">
        <v>3077</v>
      </c>
      <c r="E1161" s="12"/>
      <c r="F1161" s="13">
        <f>"0674810511"</f>
      </c>
      <c r="G1161" s="13">
        <f>"9780674810518"</f>
      </c>
      <c r="H1161" s="11">
        <v>0</v>
      </c>
      <c r="I1161" s="14">
        <v>4.14</v>
      </c>
      <c r="J1161" s="7" t="s">
        <v>138</v>
      </c>
      <c r="K1161" s="5" t="s">
        <v>60</v>
      </c>
      <c r="L1161" s="11">
        <v>160</v>
      </c>
      <c r="M1161" s="11">
        <v>1998</v>
      </c>
      <c r="N1161" s="11">
        <v>1994</v>
      </c>
      <c r="O1161" s="15"/>
      <c r="P1161" s="8">
        <v>45129</v>
      </c>
      <c r="Q1161" s="8"/>
      <c r="R1161" s="8"/>
      <c r="S1161" s="8"/>
      <c r="T1161" s="8"/>
      <c r="U1161" s="8"/>
      <c r="V1161" s="8"/>
      <c r="W1161" s="8"/>
      <c r="X1161" s="8"/>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U1161" s="8"/>
      <c r="AV1161" s="8"/>
      <c r="AW1161" s="8"/>
      <c r="AX1161" s="4" t="s">
        <v>5250</v>
      </c>
      <c r="AY1161" s="5" t="s">
        <v>5257</v>
      </c>
      <c r="AZ1161" s="5" t="s">
        <v>38</v>
      </c>
      <c r="BA1161" s="12"/>
      <c r="BB1161" s="12"/>
      <c r="BC1161" s="12"/>
      <c r="BD1161" s="11">
        <v>0</v>
      </c>
      <c r="BE1161" s="11">
        <v>0</v>
      </c>
    </row>
    <row x14ac:dyDescent="0.25" r="1162" customHeight="1" ht="17.25">
      <c r="A1162" s="11">
        <v>249203</v>
      </c>
      <c r="B1162" s="4" t="s">
        <v>5258</v>
      </c>
      <c r="C1162" s="5" t="s">
        <v>5259</v>
      </c>
      <c r="D1162" s="5" t="s">
        <v>5260</v>
      </c>
      <c r="E1162" s="12"/>
      <c r="F1162" s="13">
        <f>"0151012512"</f>
      </c>
      <c r="G1162" s="13">
        <f>"9780151012510"</f>
      </c>
      <c r="H1162" s="11">
        <v>0</v>
      </c>
      <c r="I1162" s="14">
        <v>3.88</v>
      </c>
      <c r="J1162" s="7" t="s">
        <v>2712</v>
      </c>
      <c r="K1162" s="5" t="s">
        <v>72</v>
      </c>
      <c r="L1162" s="11">
        <v>341</v>
      </c>
      <c r="M1162" s="11">
        <v>2007</v>
      </c>
      <c r="N1162" s="11">
        <v>2007</v>
      </c>
      <c r="O1162" s="15"/>
      <c r="P1162" s="8">
        <v>45129</v>
      </c>
      <c r="Q1162" s="8"/>
      <c r="R1162" s="8"/>
      <c r="S1162" s="8"/>
      <c r="T1162" s="8"/>
      <c r="U1162" s="8"/>
      <c r="V1162" s="8"/>
      <c r="W1162" s="8"/>
      <c r="X1162" s="8"/>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U1162" s="8"/>
      <c r="AV1162" s="8"/>
      <c r="AW1162" s="8"/>
      <c r="AX1162" s="4" t="s">
        <v>5250</v>
      </c>
      <c r="AY1162" s="5" t="s">
        <v>5261</v>
      </c>
      <c r="AZ1162" s="5" t="s">
        <v>38</v>
      </c>
      <c r="BA1162" s="12"/>
      <c r="BB1162" s="12"/>
      <c r="BC1162" s="12"/>
      <c r="BD1162" s="11">
        <v>0</v>
      </c>
      <c r="BE1162" s="11">
        <v>0</v>
      </c>
    </row>
    <row x14ac:dyDescent="0.25" r="1163" customHeight="1" ht="17.25">
      <c r="A1163" s="11">
        <v>204011</v>
      </c>
      <c r="B1163" s="4" t="s">
        <v>5262</v>
      </c>
      <c r="C1163" s="5" t="s">
        <v>5263</v>
      </c>
      <c r="D1163" s="5" t="s">
        <v>5264</v>
      </c>
      <c r="E1163" s="5" t="s">
        <v>5265</v>
      </c>
      <c r="F1163" s="13">
        <f>"0822310902"</f>
      </c>
      <c r="G1163" s="13">
        <f>"9780822310907"</f>
      </c>
      <c r="H1163" s="11">
        <v>0</v>
      </c>
      <c r="I1163" s="11">
        <v>4</v>
      </c>
      <c r="J1163" s="7" t="s">
        <v>5266</v>
      </c>
      <c r="K1163" s="5" t="s">
        <v>60</v>
      </c>
      <c r="L1163" s="11">
        <v>438</v>
      </c>
      <c r="M1163" s="11">
        <v>1992</v>
      </c>
      <c r="N1163" s="11">
        <v>1991</v>
      </c>
      <c r="O1163" s="15"/>
      <c r="P1163" s="8">
        <v>45129</v>
      </c>
      <c r="Q1163" s="8"/>
      <c r="R1163" s="8"/>
      <c r="S1163" s="8"/>
      <c r="T1163" s="8"/>
      <c r="U1163" s="8"/>
      <c r="V1163" s="8"/>
      <c r="W1163" s="8"/>
      <c r="X1163" s="8"/>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4" t="s">
        <v>38</v>
      </c>
      <c r="AY1163" s="5" t="s">
        <v>5267</v>
      </c>
      <c r="AZ1163" s="5" t="s">
        <v>38</v>
      </c>
      <c r="BA1163" s="12"/>
      <c r="BB1163" s="12"/>
      <c r="BC1163" s="12"/>
      <c r="BD1163" s="11">
        <v>0</v>
      </c>
      <c r="BE1163" s="11">
        <v>0</v>
      </c>
    </row>
    <row x14ac:dyDescent="0.25" r="1164" customHeight="1" ht="17.25">
      <c r="A1164" s="11">
        <v>162174</v>
      </c>
      <c r="B1164" s="4" t="s">
        <v>5268</v>
      </c>
      <c r="C1164" s="5" t="s">
        <v>3830</v>
      </c>
      <c r="D1164" s="5" t="s">
        <v>3831</v>
      </c>
      <c r="E1164" s="5" t="s">
        <v>5269</v>
      </c>
      <c r="F1164" s="13">
        <f>"0415254043"</f>
      </c>
      <c r="G1164" s="13">
        <f>"9780415254045"</f>
      </c>
      <c r="H1164" s="11">
        <v>0</v>
      </c>
      <c r="I1164" s="14">
        <v>3.67</v>
      </c>
      <c r="J1164" s="7" t="s">
        <v>163</v>
      </c>
      <c r="K1164" s="5" t="s">
        <v>60</v>
      </c>
      <c r="L1164" s="11">
        <v>280</v>
      </c>
      <c r="M1164" s="11">
        <v>2001</v>
      </c>
      <c r="N1164" s="11">
        <v>1948</v>
      </c>
      <c r="O1164" s="15"/>
      <c r="P1164" s="8">
        <v>45129</v>
      </c>
      <c r="Q1164" s="8"/>
      <c r="R1164" s="8"/>
      <c r="S1164" s="8"/>
      <c r="T1164" s="8"/>
      <c r="U1164" s="8"/>
      <c r="V1164" s="8"/>
      <c r="W1164" s="8"/>
      <c r="X1164" s="8"/>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4" t="s">
        <v>38</v>
      </c>
      <c r="AY1164" s="5" t="s">
        <v>5270</v>
      </c>
      <c r="AZ1164" s="5" t="s">
        <v>38</v>
      </c>
      <c r="BA1164" s="12"/>
      <c r="BB1164" s="12"/>
      <c r="BC1164" s="12"/>
      <c r="BD1164" s="11">
        <v>0</v>
      </c>
      <c r="BE1164" s="11">
        <v>0</v>
      </c>
    </row>
    <row x14ac:dyDescent="0.25" r="1165" customHeight="1" ht="17.25">
      <c r="A1165" s="11">
        <v>666634</v>
      </c>
      <c r="B1165" s="4" t="s">
        <v>5271</v>
      </c>
      <c r="C1165" s="5" t="s">
        <v>5272</v>
      </c>
      <c r="D1165" s="5" t="s">
        <v>5273</v>
      </c>
      <c r="E1165" s="5" t="s">
        <v>5274</v>
      </c>
      <c r="F1165" s="13">
        <f>"0486201058"</f>
      </c>
      <c r="G1165" s="13">
        <f>"9780486201054"</f>
      </c>
      <c r="H1165" s="11">
        <v>0</v>
      </c>
      <c r="I1165" s="14">
        <v>4.03</v>
      </c>
      <c r="J1165" s="7" t="s">
        <v>571</v>
      </c>
      <c r="K1165" s="5" t="s">
        <v>60</v>
      </c>
      <c r="L1165" s="11">
        <v>106</v>
      </c>
      <c r="M1165" s="11">
        <v>1973</v>
      </c>
      <c r="N1165" s="11">
        <v>1927</v>
      </c>
      <c r="O1165" s="15"/>
      <c r="P1165" s="8">
        <v>45129</v>
      </c>
      <c r="Q1165" s="8"/>
      <c r="R1165" s="8"/>
      <c r="S1165" s="8"/>
      <c r="T1165" s="8"/>
      <c r="U1165" s="8"/>
      <c r="V1165" s="8"/>
      <c r="W1165" s="8"/>
      <c r="X1165" s="8"/>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U1165" s="8"/>
      <c r="AV1165" s="8"/>
      <c r="AW1165" s="8"/>
      <c r="AX1165" s="4" t="s">
        <v>38</v>
      </c>
      <c r="AY1165" s="5" t="s">
        <v>5275</v>
      </c>
      <c r="AZ1165" s="5" t="s">
        <v>38</v>
      </c>
      <c r="BA1165" s="12"/>
      <c r="BB1165" s="12"/>
      <c r="BC1165" s="12"/>
      <c r="BD1165" s="11">
        <v>0</v>
      </c>
      <c r="BE1165" s="11">
        <v>0</v>
      </c>
    </row>
    <row x14ac:dyDescent="0.25" r="1166" customHeight="1" ht="17.25">
      <c r="A1166" s="11">
        <v>249201</v>
      </c>
      <c r="B1166" s="4" t="s">
        <v>5276</v>
      </c>
      <c r="C1166" s="5" t="s">
        <v>5259</v>
      </c>
      <c r="D1166" s="5" t="s">
        <v>5260</v>
      </c>
      <c r="E1166" s="12"/>
      <c r="F1166" s="13">
        <f>"0393329631"</f>
      </c>
      <c r="G1166" s="13">
        <f>"9780393329636"</f>
      </c>
      <c r="H1166" s="11">
        <v>0</v>
      </c>
      <c r="I1166" s="14">
        <v>4.27</v>
      </c>
      <c r="J1166" s="7" t="s">
        <v>2281</v>
      </c>
      <c r="K1166" s="5" t="s">
        <v>60</v>
      </c>
      <c r="L1166" s="11">
        <v>558</v>
      </c>
      <c r="M1166" s="11">
        <v>2007</v>
      </c>
      <c r="N1166" s="11">
        <v>2004</v>
      </c>
      <c r="O1166" s="15"/>
      <c r="P1166" s="8">
        <v>45129</v>
      </c>
      <c r="Q1166" s="8"/>
      <c r="R1166" s="8"/>
      <c r="S1166" s="8"/>
      <c r="T1166" s="8"/>
      <c r="U1166" s="8"/>
      <c r="V1166" s="8"/>
      <c r="W1166" s="8"/>
      <c r="X1166" s="8"/>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U1166" s="8"/>
      <c r="AV1166" s="8"/>
      <c r="AW1166" s="8"/>
      <c r="AX1166" s="4" t="s">
        <v>5250</v>
      </c>
      <c r="AY1166" s="5" t="s">
        <v>5277</v>
      </c>
      <c r="AZ1166" s="5" t="s">
        <v>38</v>
      </c>
      <c r="BA1166" s="12"/>
      <c r="BB1166" s="12"/>
      <c r="BC1166" s="12"/>
      <c r="BD1166" s="11">
        <v>0</v>
      </c>
      <c r="BE1166" s="11">
        <v>0</v>
      </c>
    </row>
    <row x14ac:dyDescent="0.25" r="1167" customHeight="1" ht="17.25">
      <c r="A1167" s="11">
        <v>11778315</v>
      </c>
      <c r="B1167" s="4" t="s">
        <v>5278</v>
      </c>
      <c r="C1167" s="5" t="s">
        <v>5279</v>
      </c>
      <c r="D1167" s="5" t="s">
        <v>5280</v>
      </c>
      <c r="E1167" s="12"/>
      <c r="F1167" s="13">
        <f>"0307595846"</f>
      </c>
      <c r="G1167" s="13">
        <f>"9780307595843"</f>
      </c>
      <c r="H1167" s="11">
        <v>0</v>
      </c>
      <c r="I1167" s="14">
        <v>4.18</v>
      </c>
      <c r="J1167" s="7" t="s">
        <v>665</v>
      </c>
      <c r="K1167" s="5" t="s">
        <v>72</v>
      </c>
      <c r="L1167" s="11">
        <v>368</v>
      </c>
      <c r="M1167" s="11">
        <v>2012</v>
      </c>
      <c r="N1167" s="11">
        <v>2012</v>
      </c>
      <c r="O1167" s="15"/>
      <c r="P1167" s="8">
        <v>45129</v>
      </c>
      <c r="Q1167" s="8"/>
      <c r="R1167" s="8"/>
      <c r="S1167" s="8"/>
      <c r="T1167" s="8"/>
      <c r="U1167" s="8"/>
      <c r="V1167" s="8"/>
      <c r="W1167" s="8"/>
      <c r="X1167" s="8"/>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U1167" s="8"/>
      <c r="AV1167" s="8"/>
      <c r="AW1167" s="8"/>
      <c r="AX1167" s="4" t="s">
        <v>38</v>
      </c>
      <c r="AY1167" s="5" t="s">
        <v>5281</v>
      </c>
      <c r="AZ1167" s="5" t="s">
        <v>38</v>
      </c>
      <c r="BA1167" s="12"/>
      <c r="BB1167" s="12"/>
      <c r="BC1167" s="12"/>
      <c r="BD1167" s="11">
        <v>0</v>
      </c>
      <c r="BE1167" s="11">
        <v>0</v>
      </c>
    </row>
    <row x14ac:dyDescent="0.25" r="1168" customHeight="1" ht="17.25">
      <c r="A1168" s="11">
        <v>58374</v>
      </c>
      <c r="B1168" s="4" t="s">
        <v>5282</v>
      </c>
      <c r="C1168" s="5" t="s">
        <v>5283</v>
      </c>
      <c r="D1168" s="5" t="s">
        <v>5284</v>
      </c>
      <c r="E1168" s="5" t="s">
        <v>1663</v>
      </c>
      <c r="F1168" s="13">
        <f>"1932416188"</f>
      </c>
      <c r="G1168" s="13">
        <f>"9781932416183"</f>
      </c>
      <c r="H1168" s="11">
        <v>0</v>
      </c>
      <c r="I1168" s="14">
        <v>3.95</v>
      </c>
      <c r="J1168" s="7" t="s">
        <v>5285</v>
      </c>
      <c r="K1168" s="5" t="s">
        <v>60</v>
      </c>
      <c r="L1168" s="11">
        <v>247</v>
      </c>
      <c r="M1168" s="11">
        <v>2005</v>
      </c>
      <c r="N1168" s="11">
        <v>1991</v>
      </c>
      <c r="O1168" s="15"/>
      <c r="P1168" s="8">
        <v>45129</v>
      </c>
      <c r="Q1168" s="8"/>
      <c r="R1168" s="8"/>
      <c r="S1168" s="8"/>
      <c r="T1168" s="8"/>
      <c r="U1168" s="8"/>
      <c r="V1168" s="8"/>
      <c r="W1168" s="8"/>
      <c r="X1168" s="8"/>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U1168" s="8"/>
      <c r="AV1168" s="8"/>
      <c r="AW1168" s="8"/>
      <c r="AX1168" s="4" t="s">
        <v>38</v>
      </c>
      <c r="AY1168" s="5" t="s">
        <v>5286</v>
      </c>
      <c r="AZ1168" s="5" t="s">
        <v>38</v>
      </c>
      <c r="BA1168" s="12"/>
      <c r="BB1168" s="12"/>
      <c r="BC1168" s="12"/>
      <c r="BD1168" s="11">
        <v>0</v>
      </c>
      <c r="BE1168" s="11">
        <v>0</v>
      </c>
    </row>
    <row x14ac:dyDescent="0.25" r="1169" customHeight="1" ht="17.25">
      <c r="A1169" s="11">
        <v>249042</v>
      </c>
      <c r="B1169" s="4" t="s">
        <v>5287</v>
      </c>
      <c r="C1169" s="5" t="s">
        <v>5288</v>
      </c>
      <c r="D1169" s="5" t="s">
        <v>5289</v>
      </c>
      <c r="E1169" s="12"/>
      <c r="F1169" s="13">
        <f>"0679736395"</f>
      </c>
      <c r="G1169" s="13">
        <f>"9780679736394"</f>
      </c>
      <c r="H1169" s="11">
        <v>0</v>
      </c>
      <c r="I1169" s="14">
        <v>3.99</v>
      </c>
      <c r="J1169" s="7" t="s">
        <v>114</v>
      </c>
      <c r="K1169" s="5" t="s">
        <v>60</v>
      </c>
      <c r="L1169" s="11">
        <v>84</v>
      </c>
      <c r="M1169" s="11">
        <v>1992</v>
      </c>
      <c r="N1169" s="11">
        <v>1990</v>
      </c>
      <c r="O1169" s="15"/>
      <c r="P1169" s="8">
        <v>45129</v>
      </c>
      <c r="Q1169" s="8"/>
      <c r="R1169" s="8"/>
      <c r="S1169" s="8"/>
      <c r="T1169" s="8"/>
      <c r="U1169" s="8"/>
      <c r="V1169" s="8"/>
      <c r="W1169" s="8"/>
      <c r="X1169" s="8"/>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U1169" s="8"/>
      <c r="AV1169" s="8"/>
      <c r="AW1169" s="8"/>
      <c r="AX1169" s="4" t="s">
        <v>38</v>
      </c>
      <c r="AY1169" s="5" t="s">
        <v>5290</v>
      </c>
      <c r="AZ1169" s="5" t="s">
        <v>38</v>
      </c>
      <c r="BA1169" s="12"/>
      <c r="BB1169" s="12"/>
      <c r="BC1169" s="12"/>
      <c r="BD1169" s="11">
        <v>0</v>
      </c>
      <c r="BE1169" s="11">
        <v>0</v>
      </c>
    </row>
    <row x14ac:dyDescent="0.25" r="1170" customHeight="1" ht="17.25">
      <c r="A1170" s="11">
        <v>15826957</v>
      </c>
      <c r="B1170" s="4" t="s">
        <v>5291</v>
      </c>
      <c r="C1170" s="5" t="s">
        <v>5292</v>
      </c>
      <c r="D1170" s="5" t="s">
        <v>5293</v>
      </c>
      <c r="E1170" s="12"/>
      <c r="F1170" s="13">
        <f>"0262018047"</f>
      </c>
      <c r="G1170" s="13">
        <f>"9780262018043"</f>
      </c>
      <c r="H1170" s="11">
        <v>0</v>
      </c>
      <c r="I1170" s="14">
        <v>3.89</v>
      </c>
      <c r="J1170" s="7" t="s">
        <v>4458</v>
      </c>
      <c r="K1170" s="5" t="s">
        <v>72</v>
      </c>
      <c r="L1170" s="11">
        <v>168</v>
      </c>
      <c r="M1170" s="11">
        <v>2012</v>
      </c>
      <c r="N1170" s="11">
        <v>2012</v>
      </c>
      <c r="O1170" s="15"/>
      <c r="P1170" s="8">
        <v>45129</v>
      </c>
      <c r="Q1170" s="8"/>
      <c r="R1170" s="8"/>
      <c r="S1170" s="8"/>
      <c r="T1170" s="8"/>
      <c r="U1170" s="8"/>
      <c r="V1170" s="8"/>
      <c r="W1170" s="8"/>
      <c r="X1170" s="8"/>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4" t="s">
        <v>5294</v>
      </c>
      <c r="AY1170" s="5" t="s">
        <v>5295</v>
      </c>
      <c r="AZ1170" s="5" t="s">
        <v>38</v>
      </c>
      <c r="BA1170" s="12"/>
      <c r="BB1170" s="12"/>
      <c r="BC1170" s="12"/>
      <c r="BD1170" s="11">
        <v>0</v>
      </c>
      <c r="BE1170" s="11">
        <v>0</v>
      </c>
    </row>
    <row x14ac:dyDescent="0.25" r="1171" customHeight="1" ht="17.25">
      <c r="A1171" s="11">
        <v>382468</v>
      </c>
      <c r="B1171" s="4" t="s">
        <v>5296</v>
      </c>
      <c r="C1171" s="5" t="s">
        <v>5297</v>
      </c>
      <c r="D1171" s="5" t="s">
        <v>5298</v>
      </c>
      <c r="E1171" s="12"/>
      <c r="F1171" s="13">
        <f>"0156006006"</f>
      </c>
      <c r="G1171" s="13">
        <f>"9780156006002"</f>
      </c>
      <c r="H1171" s="11">
        <v>0</v>
      </c>
      <c r="I1171" s="14">
        <v>3.71</v>
      </c>
      <c r="J1171" s="7" t="s">
        <v>268</v>
      </c>
      <c r="K1171" s="5" t="s">
        <v>60</v>
      </c>
      <c r="L1171" s="11">
        <v>352</v>
      </c>
      <c r="M1171" s="11">
        <v>1998</v>
      </c>
      <c r="N1171" s="11">
        <v>1997</v>
      </c>
      <c r="O1171" s="15"/>
      <c r="P1171" s="8">
        <v>45129</v>
      </c>
      <c r="Q1171" s="8"/>
      <c r="R1171" s="8"/>
      <c r="S1171" s="8"/>
      <c r="T1171" s="8"/>
      <c r="U1171" s="8"/>
      <c r="V1171" s="8"/>
      <c r="W1171" s="8"/>
      <c r="X1171" s="8"/>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U1171" s="8"/>
      <c r="AV1171" s="8"/>
      <c r="AW1171" s="8"/>
      <c r="AX1171" s="4" t="s">
        <v>5294</v>
      </c>
      <c r="AY1171" s="5" t="s">
        <v>5299</v>
      </c>
      <c r="AZ1171" s="5" t="s">
        <v>38</v>
      </c>
      <c r="BA1171" s="12"/>
      <c r="BB1171" s="12"/>
      <c r="BC1171" s="12"/>
      <c r="BD1171" s="11">
        <v>0</v>
      </c>
      <c r="BE1171" s="11">
        <v>0</v>
      </c>
    </row>
    <row x14ac:dyDescent="0.25" r="1172" customHeight="1" ht="17.25">
      <c r="A1172" s="11">
        <v>42943693</v>
      </c>
      <c r="B1172" s="4" t="s">
        <v>5300</v>
      </c>
      <c r="C1172" s="5" t="s">
        <v>5301</v>
      </c>
      <c r="D1172" s="5" t="s">
        <v>5302</v>
      </c>
      <c r="E1172" s="12"/>
      <c r="F1172" s="13">
        <f>"1948340054"</f>
      </c>
      <c r="G1172" s="13">
        <f>"9781948340052"</f>
      </c>
      <c r="H1172" s="11">
        <v>0</v>
      </c>
      <c r="I1172" s="14">
        <v>3.81</v>
      </c>
      <c r="J1172" s="7" t="s">
        <v>5303</v>
      </c>
      <c r="K1172" s="5" t="s">
        <v>60</v>
      </c>
      <c r="L1172" s="11">
        <v>280</v>
      </c>
      <c r="M1172" s="11">
        <v>2019</v>
      </c>
      <c r="N1172" s="11">
        <v>2019</v>
      </c>
      <c r="O1172" s="15"/>
      <c r="P1172" s="8">
        <v>45129</v>
      </c>
      <c r="Q1172" s="8"/>
      <c r="R1172" s="8"/>
      <c r="S1172" s="8"/>
      <c r="T1172" s="8"/>
      <c r="U1172" s="8"/>
      <c r="V1172" s="8"/>
      <c r="W1172" s="8"/>
      <c r="X1172" s="8"/>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U1172" s="8"/>
      <c r="AV1172" s="8"/>
      <c r="AW1172" s="8"/>
      <c r="AX1172" s="4" t="s">
        <v>5294</v>
      </c>
      <c r="AY1172" s="5" t="s">
        <v>5304</v>
      </c>
      <c r="AZ1172" s="5" t="s">
        <v>38</v>
      </c>
      <c r="BA1172" s="12"/>
      <c r="BB1172" s="12"/>
      <c r="BC1172" s="12"/>
      <c r="BD1172" s="11">
        <v>0</v>
      </c>
      <c r="BE1172" s="11">
        <v>0</v>
      </c>
    </row>
    <row x14ac:dyDescent="0.25" r="1173" customHeight="1" ht="17.25">
      <c r="A1173" s="11">
        <v>30383747</v>
      </c>
      <c r="B1173" s="4" t="s">
        <v>5305</v>
      </c>
      <c r="C1173" s="5" t="s">
        <v>5306</v>
      </c>
      <c r="D1173" s="5" t="s">
        <v>5307</v>
      </c>
      <c r="E1173" s="12"/>
      <c r="F1173" s="13">
        <f>"1349476137"</f>
      </c>
      <c r="G1173" s="13">
        <f>"9781349476138"</f>
      </c>
      <c r="H1173" s="11">
        <v>0</v>
      </c>
      <c r="I1173" s="11">
        <v>3</v>
      </c>
      <c r="J1173" s="7" t="s">
        <v>1472</v>
      </c>
      <c r="K1173" s="5" t="s">
        <v>60</v>
      </c>
      <c r="L1173" s="11">
        <v>295</v>
      </c>
      <c r="M1173" s="11">
        <v>2014</v>
      </c>
      <c r="N1173" s="11">
        <v>2014</v>
      </c>
      <c r="O1173" s="15"/>
      <c r="P1173" s="8">
        <v>45129</v>
      </c>
      <c r="Q1173" s="8"/>
      <c r="R1173" s="8"/>
      <c r="S1173" s="8"/>
      <c r="T1173" s="8"/>
      <c r="U1173" s="8"/>
      <c r="V1173" s="8"/>
      <c r="W1173" s="8"/>
      <c r="X1173" s="8"/>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U1173" s="8"/>
      <c r="AV1173" s="8"/>
      <c r="AW1173" s="8"/>
      <c r="AX1173" s="4" t="s">
        <v>5294</v>
      </c>
      <c r="AY1173" s="5" t="s">
        <v>5308</v>
      </c>
      <c r="AZ1173" s="5" t="s">
        <v>38</v>
      </c>
      <c r="BA1173" s="12"/>
      <c r="BB1173" s="12"/>
      <c r="BC1173" s="12"/>
      <c r="BD1173" s="11">
        <v>0</v>
      </c>
      <c r="BE1173" s="11">
        <v>0</v>
      </c>
    </row>
    <row x14ac:dyDescent="0.25" r="1174" customHeight="1" ht="17.25">
      <c r="A1174" s="11">
        <v>17934655</v>
      </c>
      <c r="B1174" s="4" t="s">
        <v>5309</v>
      </c>
      <c r="C1174" s="5" t="s">
        <v>5310</v>
      </c>
      <c r="D1174" s="5" t="s">
        <v>5311</v>
      </c>
      <c r="E1174" s="12"/>
      <c r="F1174" s="13">
        <f>"1555976719"</f>
      </c>
      <c r="G1174" s="13">
        <f>"9781555976712"</f>
      </c>
      <c r="H1174" s="11">
        <v>0</v>
      </c>
      <c r="I1174" s="14">
        <v>3.66</v>
      </c>
      <c r="J1174" s="7" t="s">
        <v>1001</v>
      </c>
      <c r="K1174" s="5" t="s">
        <v>60</v>
      </c>
      <c r="L1174" s="11">
        <v>230</v>
      </c>
      <c r="M1174" s="11">
        <v>2014</v>
      </c>
      <c r="N1174" s="11">
        <v>2014</v>
      </c>
      <c r="O1174" s="15"/>
      <c r="P1174" s="8">
        <v>45129</v>
      </c>
      <c r="Q1174" s="8"/>
      <c r="R1174" s="8"/>
      <c r="S1174" s="8"/>
      <c r="T1174" s="8"/>
      <c r="U1174" s="8"/>
      <c r="V1174" s="8"/>
      <c r="W1174" s="8"/>
      <c r="X1174" s="8"/>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U1174" s="8"/>
      <c r="AV1174" s="8"/>
      <c r="AW1174" s="8"/>
      <c r="AX1174" s="4" t="s">
        <v>5294</v>
      </c>
      <c r="AY1174" s="5" t="s">
        <v>5312</v>
      </c>
      <c r="AZ1174" s="5" t="s">
        <v>38</v>
      </c>
      <c r="BA1174" s="12"/>
      <c r="BB1174" s="12"/>
      <c r="BC1174" s="12"/>
      <c r="BD1174" s="11">
        <v>0</v>
      </c>
      <c r="BE1174" s="11">
        <v>0</v>
      </c>
    </row>
    <row x14ac:dyDescent="0.25" r="1175" customHeight="1" ht="17.25">
      <c r="A1175" s="11">
        <v>2284915</v>
      </c>
      <c r="B1175" s="4" t="s">
        <v>5313</v>
      </c>
      <c r="C1175" s="5" t="s">
        <v>5314</v>
      </c>
      <c r="D1175" s="5" t="s">
        <v>5315</v>
      </c>
      <c r="E1175" s="5" t="s">
        <v>5316</v>
      </c>
      <c r="F1175" s="13">
        <f>"0674399684"</f>
      </c>
      <c r="G1175" s="13">
        <f>"9780674399686"</f>
      </c>
      <c r="H1175" s="11">
        <v>0</v>
      </c>
      <c r="I1175" s="14">
        <v>3.4</v>
      </c>
      <c r="J1175" s="7" t="s">
        <v>138</v>
      </c>
      <c r="K1175" s="5" t="s">
        <v>60</v>
      </c>
      <c r="L1175" s="11">
        <v>404</v>
      </c>
      <c r="M1175" s="11">
        <v>1998</v>
      </c>
      <c r="N1175" s="11">
        <v>1993</v>
      </c>
      <c r="O1175" s="15"/>
      <c r="P1175" s="8">
        <v>45129</v>
      </c>
      <c r="Q1175" s="8"/>
      <c r="R1175" s="8"/>
      <c r="S1175" s="8"/>
      <c r="T1175" s="8"/>
      <c r="U1175" s="8"/>
      <c r="V1175" s="8"/>
      <c r="W1175" s="8"/>
      <c r="X1175" s="8"/>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U1175" s="8"/>
      <c r="AV1175" s="8"/>
      <c r="AW1175" s="8"/>
      <c r="AX1175" s="4" t="s">
        <v>5294</v>
      </c>
      <c r="AY1175" s="5" t="s">
        <v>5317</v>
      </c>
      <c r="AZ1175" s="5" t="s">
        <v>38</v>
      </c>
      <c r="BA1175" s="12"/>
      <c r="BB1175" s="12"/>
      <c r="BC1175" s="12"/>
      <c r="BD1175" s="11">
        <v>0</v>
      </c>
      <c r="BE1175" s="11">
        <v>0</v>
      </c>
    </row>
    <row x14ac:dyDescent="0.25" r="1176" customHeight="1" ht="17.25">
      <c r="A1176" s="11">
        <v>413</v>
      </c>
      <c r="B1176" s="4" t="s">
        <v>5318</v>
      </c>
      <c r="C1176" s="5" t="s">
        <v>4367</v>
      </c>
      <c r="D1176" s="5" t="s">
        <v>4368</v>
      </c>
      <c r="E1176" s="12"/>
      <c r="F1176" s="13">
        <f>"0312423209"</f>
      </c>
      <c r="G1176" s="13">
        <f>"9780312423209"</f>
      </c>
      <c r="H1176" s="11">
        <v>0</v>
      </c>
      <c r="I1176" s="14">
        <v>4.11</v>
      </c>
      <c r="J1176" s="7" t="s">
        <v>5319</v>
      </c>
      <c r="K1176" s="5" t="s">
        <v>60</v>
      </c>
      <c r="L1176" s="11">
        <v>773</v>
      </c>
      <c r="M1176" s="11">
        <v>2004</v>
      </c>
      <c r="N1176" s="11">
        <v>1997</v>
      </c>
      <c r="O1176" s="15"/>
      <c r="P1176" s="8">
        <v>45129</v>
      </c>
      <c r="Q1176" s="8"/>
      <c r="R1176" s="8"/>
      <c r="S1176" s="8"/>
      <c r="T1176" s="8"/>
      <c r="U1176" s="8"/>
      <c r="V1176" s="8"/>
      <c r="W1176" s="8"/>
      <c r="X1176" s="8"/>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U1176" s="8"/>
      <c r="AV1176" s="8"/>
      <c r="AW1176" s="8"/>
      <c r="AX1176" s="4" t="s">
        <v>5320</v>
      </c>
      <c r="AY1176" s="5" t="s">
        <v>5321</v>
      </c>
      <c r="AZ1176" s="5" t="s">
        <v>38</v>
      </c>
      <c r="BA1176" s="12"/>
      <c r="BB1176" s="12"/>
      <c r="BC1176" s="12"/>
      <c r="BD1176" s="11">
        <v>0</v>
      </c>
      <c r="BE1176" s="11">
        <v>0</v>
      </c>
    </row>
    <row x14ac:dyDescent="0.25" r="1177" customHeight="1" ht="17.25">
      <c r="A1177" s="11">
        <v>63208852</v>
      </c>
      <c r="B1177" s="4" t="s">
        <v>5322</v>
      </c>
      <c r="C1177" s="5" t="s">
        <v>5323</v>
      </c>
      <c r="D1177" s="5" t="s">
        <v>5324</v>
      </c>
      <c r="E1177" s="12"/>
      <c r="F1177" s="13">
        <f>"1955904227"</f>
      </c>
      <c r="G1177" s="13">
        <f>"9781955904223"</f>
      </c>
      <c r="H1177" s="11">
        <v>0</v>
      </c>
      <c r="I1177" s="14">
        <v>3.89</v>
      </c>
      <c r="J1177" s="7" t="s">
        <v>5325</v>
      </c>
      <c r="K1177" s="5" t="s">
        <v>60</v>
      </c>
      <c r="L1177" s="11">
        <v>728</v>
      </c>
      <c r="M1177" s="11">
        <v>2022</v>
      </c>
      <c r="N1177" s="11">
        <v>2022</v>
      </c>
      <c r="O1177" s="15"/>
      <c r="P1177" s="8">
        <v>45129</v>
      </c>
      <c r="Q1177" s="8"/>
      <c r="R1177" s="8"/>
      <c r="S1177" s="8"/>
      <c r="T1177" s="8"/>
      <c r="U1177" s="8"/>
      <c r="V1177" s="8"/>
      <c r="W1177" s="8"/>
      <c r="X1177" s="8"/>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4" t="s">
        <v>5320</v>
      </c>
      <c r="AY1177" s="5" t="s">
        <v>5326</v>
      </c>
      <c r="AZ1177" s="5" t="s">
        <v>38</v>
      </c>
      <c r="BA1177" s="12"/>
      <c r="BB1177" s="12"/>
      <c r="BC1177" s="12"/>
      <c r="BD1177" s="11">
        <v>0</v>
      </c>
      <c r="BE1177" s="11">
        <v>0</v>
      </c>
    </row>
    <row x14ac:dyDescent="0.25" r="1178" customHeight="1" ht="17.25">
      <c r="A1178" s="11">
        <v>16241580</v>
      </c>
      <c r="B1178" s="4" t="s">
        <v>5327</v>
      </c>
      <c r="C1178" s="5" t="s">
        <v>5328</v>
      </c>
      <c r="D1178" s="5" t="s">
        <v>5329</v>
      </c>
      <c r="E1178" s="12"/>
      <c r="F1178" s="13">
        <f>"0674073401"</f>
      </c>
      <c r="G1178" s="13">
        <f>"9780674073401"</f>
      </c>
      <c r="H1178" s="11">
        <v>0</v>
      </c>
      <c r="I1178" s="14">
        <v>4.17</v>
      </c>
      <c r="J1178" s="7" t="s">
        <v>905</v>
      </c>
      <c r="K1178" s="5" t="s">
        <v>72</v>
      </c>
      <c r="L1178" s="11">
        <v>752</v>
      </c>
      <c r="M1178" s="11">
        <v>2013</v>
      </c>
      <c r="N1178" s="11">
        <v>2013</v>
      </c>
      <c r="O1178" s="15"/>
      <c r="P1178" s="8">
        <v>45115</v>
      </c>
      <c r="Q1178" s="8"/>
      <c r="R1178" s="8"/>
      <c r="S1178" s="8"/>
      <c r="T1178" s="8"/>
      <c r="U1178" s="8"/>
      <c r="V1178" s="8"/>
      <c r="W1178" s="8"/>
      <c r="X1178" s="8"/>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U1178" s="8"/>
      <c r="AV1178" s="8"/>
      <c r="AW1178" s="8"/>
      <c r="AX1178" s="4" t="s">
        <v>38</v>
      </c>
      <c r="AY1178" s="5" t="s">
        <v>5330</v>
      </c>
      <c r="AZ1178" s="5" t="s">
        <v>38</v>
      </c>
      <c r="BA1178" s="12"/>
      <c r="BB1178" s="12"/>
      <c r="BC1178" s="12"/>
      <c r="BD1178" s="11">
        <v>0</v>
      </c>
      <c r="BE1178" s="11">
        <v>0</v>
      </c>
    </row>
    <row x14ac:dyDescent="0.25" r="1179" customHeight="1" ht="17.25">
      <c r="A1179" s="11">
        <v>100100</v>
      </c>
      <c r="B1179" s="4" t="s">
        <v>789</v>
      </c>
      <c r="C1179" s="5" t="s">
        <v>5331</v>
      </c>
      <c r="D1179" s="5" t="s">
        <v>5332</v>
      </c>
      <c r="E1179" s="12"/>
      <c r="F1179" s="13">
        <f>"0060936991"</f>
      </c>
      <c r="G1179" s="13">
        <f>"9780060936990"</f>
      </c>
      <c r="H1179" s="11">
        <v>0</v>
      </c>
      <c r="I1179" s="14">
        <v>4.4</v>
      </c>
      <c r="J1179" s="7" t="s">
        <v>5333</v>
      </c>
      <c r="K1179" s="5" t="s">
        <v>60</v>
      </c>
      <c r="L1179" s="11">
        <v>704</v>
      </c>
      <c r="M1179" s="11">
        <v>2001</v>
      </c>
      <c r="N1179" s="11">
        <v>1962</v>
      </c>
      <c r="O1179" s="15"/>
      <c r="P1179" s="8">
        <v>45096</v>
      </c>
      <c r="Q1179" s="8"/>
      <c r="R1179" s="8"/>
      <c r="S1179" s="8"/>
      <c r="T1179" s="8"/>
      <c r="U1179" s="8"/>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U1179" s="8"/>
      <c r="AV1179" s="8"/>
      <c r="AW1179" s="8"/>
      <c r="AX1179" s="4" t="s">
        <v>38</v>
      </c>
      <c r="AY1179" s="5" t="s">
        <v>5334</v>
      </c>
      <c r="AZ1179" s="5" t="s">
        <v>38</v>
      </c>
      <c r="BA1179" s="12"/>
      <c r="BB1179" s="12"/>
      <c r="BC1179" s="12"/>
      <c r="BD1179" s="11">
        <v>0</v>
      </c>
      <c r="BE1179" s="11">
        <v>0</v>
      </c>
    </row>
    <row x14ac:dyDescent="0.25" r="1180" customHeight="1" ht="17.25">
      <c r="A1180" s="11">
        <v>183683</v>
      </c>
      <c r="B1180" s="4" t="s">
        <v>5335</v>
      </c>
      <c r="C1180" s="5" t="s">
        <v>5336</v>
      </c>
      <c r="D1180" s="5" t="s">
        <v>5337</v>
      </c>
      <c r="E1180" s="12"/>
      <c r="F1180" s="13">
        <f>"1585422509"</f>
      </c>
      <c r="G1180" s="13">
        <f>"9781585422500"</f>
      </c>
      <c r="H1180" s="11">
        <v>0</v>
      </c>
      <c r="I1180" s="14">
        <v>4.26</v>
      </c>
      <c r="J1180" s="7" t="s">
        <v>5338</v>
      </c>
      <c r="K1180" s="5" t="s">
        <v>60</v>
      </c>
      <c r="L1180" s="11">
        <v>768</v>
      </c>
      <c r="M1180" s="11">
        <v>2003</v>
      </c>
      <c r="N1180" s="11">
        <v>1928</v>
      </c>
      <c r="O1180" s="15"/>
      <c r="P1180" s="8">
        <v>45059</v>
      </c>
      <c r="Q1180" s="8"/>
      <c r="R1180" s="8"/>
      <c r="S1180" s="8"/>
      <c r="T1180" s="8"/>
      <c r="U1180" s="8"/>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U1180" s="8"/>
      <c r="AV1180" s="8"/>
      <c r="AW1180" s="8"/>
      <c r="AX1180" s="4" t="s">
        <v>38</v>
      </c>
      <c r="AY1180" s="5" t="s">
        <v>5339</v>
      </c>
      <c r="AZ1180" s="5" t="s">
        <v>38</v>
      </c>
      <c r="BA1180" s="12"/>
      <c r="BB1180" s="12"/>
      <c r="BC1180" s="12"/>
      <c r="BD1180" s="11">
        <v>0</v>
      </c>
      <c r="BE1180" s="11">
        <v>0</v>
      </c>
    </row>
    <row x14ac:dyDescent="0.25" r="1181" customHeight="1" ht="17.25">
      <c r="A1181" s="11">
        <v>168033</v>
      </c>
      <c r="B1181" s="4" t="s">
        <v>5340</v>
      </c>
      <c r="C1181" s="5" t="s">
        <v>5341</v>
      </c>
      <c r="D1181" s="5" t="s">
        <v>5342</v>
      </c>
      <c r="E1181" s="12"/>
      <c r="F1181" s="13">
        <f>"0691015147"</f>
      </c>
      <c r="G1181" s="13">
        <f>"9780691015149"</f>
      </c>
      <c r="H1181" s="11">
        <v>0</v>
      </c>
      <c r="I1181" s="14">
        <v>4.24</v>
      </c>
      <c r="J1181" s="7" t="s">
        <v>172</v>
      </c>
      <c r="K1181" s="5" t="s">
        <v>60</v>
      </c>
      <c r="L1181" s="11">
        <v>720</v>
      </c>
      <c r="M1181" s="11">
        <v>1991</v>
      </c>
      <c r="N1181" s="11">
        <v>1903</v>
      </c>
      <c r="O1181" s="15"/>
      <c r="P1181" s="8">
        <v>45115</v>
      </c>
      <c r="Q1181" s="8"/>
      <c r="R1181" s="8"/>
      <c r="S1181" s="8"/>
      <c r="T1181" s="8"/>
      <c r="U1181" s="8"/>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U1181" s="8"/>
      <c r="AV1181" s="8"/>
      <c r="AW1181" s="8"/>
      <c r="AX1181" s="4" t="s">
        <v>38</v>
      </c>
      <c r="AY1181" s="5" t="s">
        <v>5343</v>
      </c>
      <c r="AZ1181" s="5" t="s">
        <v>38</v>
      </c>
      <c r="BA1181" s="12"/>
      <c r="BB1181" s="12"/>
      <c r="BC1181" s="12"/>
      <c r="BD1181" s="11">
        <v>0</v>
      </c>
      <c r="BE1181" s="11">
        <v>0</v>
      </c>
    </row>
    <row x14ac:dyDescent="0.25" r="1182" customHeight="1" ht="17.25">
      <c r="A1182" s="11">
        <v>274375</v>
      </c>
      <c r="B1182" s="4" t="s">
        <v>5344</v>
      </c>
      <c r="C1182" s="5" t="s">
        <v>5345</v>
      </c>
      <c r="D1182" s="5" t="s">
        <v>5346</v>
      </c>
      <c r="E1182" s="12"/>
      <c r="F1182" s="13">
        <f>"0199243360"</f>
      </c>
      <c r="G1182" s="13">
        <f>"9780199243365"</f>
      </c>
      <c r="H1182" s="11">
        <v>0</v>
      </c>
      <c r="I1182" s="11">
        <v>4</v>
      </c>
      <c r="J1182" s="7" t="s">
        <v>5347</v>
      </c>
      <c r="K1182" s="5" t="s">
        <v>60</v>
      </c>
      <c r="L1182" s="11">
        <v>738</v>
      </c>
      <c r="M1182" s="11">
        <v>2001</v>
      </c>
      <c r="N1182" s="11">
        <v>1954</v>
      </c>
      <c r="O1182" s="15"/>
      <c r="P1182" s="8">
        <v>44473</v>
      </c>
      <c r="Q1182" s="8"/>
      <c r="R1182" s="8"/>
      <c r="S1182" s="8"/>
      <c r="T1182" s="8"/>
      <c r="U1182" s="8"/>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U1182" s="8"/>
      <c r="AV1182" s="8"/>
      <c r="AW1182" s="8"/>
      <c r="AX1182" s="4" t="s">
        <v>1049</v>
      </c>
      <c r="AY1182" s="5" t="s">
        <v>5348</v>
      </c>
      <c r="AZ1182" s="5" t="s">
        <v>38</v>
      </c>
      <c r="BA1182" s="12"/>
      <c r="BB1182" s="12"/>
      <c r="BC1182" s="12"/>
      <c r="BD1182" s="11">
        <v>0</v>
      </c>
      <c r="BE1182" s="11">
        <v>0</v>
      </c>
    </row>
    <row x14ac:dyDescent="0.25" r="1183" customHeight="1" ht="17.25">
      <c r="A1183" s="11">
        <v>20702569</v>
      </c>
      <c r="B1183" s="4" t="s">
        <v>5349</v>
      </c>
      <c r="C1183" s="5" t="s">
        <v>5350</v>
      </c>
      <c r="D1183" s="5" t="s">
        <v>5351</v>
      </c>
      <c r="E1183" s="12"/>
      <c r="F1183" s="13">
        <f>"1934824917"</f>
      </c>
      <c r="G1183" s="13">
        <f>"9781934824917"</f>
      </c>
      <c r="H1183" s="11">
        <v>0</v>
      </c>
      <c r="I1183" s="14">
        <v>4.4</v>
      </c>
      <c r="J1183" s="7" t="s">
        <v>1595</v>
      </c>
      <c r="K1183" s="5" t="s">
        <v>60</v>
      </c>
      <c r="L1183" s="11">
        <v>717</v>
      </c>
      <c r="M1183" s="11">
        <v>2014</v>
      </c>
      <c r="N1183" s="11">
        <v>2014</v>
      </c>
      <c r="O1183" s="15"/>
      <c r="P1183" s="8">
        <v>44257</v>
      </c>
      <c r="Q1183" s="8"/>
      <c r="R1183" s="8"/>
      <c r="S1183" s="8"/>
      <c r="T1183" s="8"/>
      <c r="U1183" s="8"/>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U1183" s="8"/>
      <c r="AV1183" s="8"/>
      <c r="AW1183" s="8"/>
      <c r="AX1183" s="4" t="s">
        <v>38</v>
      </c>
      <c r="AY1183" s="5" t="s">
        <v>5352</v>
      </c>
      <c r="AZ1183" s="5" t="s">
        <v>38</v>
      </c>
      <c r="BA1183" s="12"/>
      <c r="BB1183" s="12"/>
      <c r="BC1183" s="12"/>
      <c r="BD1183" s="11">
        <v>0</v>
      </c>
      <c r="BE1183" s="11">
        <v>0</v>
      </c>
    </row>
    <row x14ac:dyDescent="0.25" r="1184" customHeight="1" ht="17.25">
      <c r="A1184" s="11">
        <v>80890</v>
      </c>
      <c r="B1184" s="4" t="s">
        <v>5353</v>
      </c>
      <c r="C1184" s="5" t="s">
        <v>1715</v>
      </c>
      <c r="D1184" s="5" t="s">
        <v>1716</v>
      </c>
      <c r="E1184" s="5" t="s">
        <v>5354</v>
      </c>
      <c r="F1184" s="13">
        <f>"0679417370"</f>
      </c>
      <c r="G1184" s="13">
        <f>"9780679417378"</f>
      </c>
      <c r="H1184" s="11">
        <v>0</v>
      </c>
      <c r="I1184" s="14">
        <v>4.19</v>
      </c>
      <c r="J1184" s="7" t="s">
        <v>320</v>
      </c>
      <c r="K1184" s="5" t="s">
        <v>72</v>
      </c>
      <c r="L1184" s="11">
        <v>731</v>
      </c>
      <c r="M1184" s="11">
        <v>1994</v>
      </c>
      <c r="N1184" s="11">
        <v>1901</v>
      </c>
      <c r="O1184" s="15"/>
      <c r="P1184" s="8">
        <v>44256</v>
      </c>
      <c r="Q1184" s="8"/>
      <c r="R1184" s="8"/>
      <c r="S1184" s="8"/>
      <c r="T1184" s="8"/>
      <c r="U1184" s="8"/>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U1184" s="8"/>
      <c r="AV1184" s="8"/>
      <c r="AW1184" s="8"/>
      <c r="AX1184" s="4" t="s">
        <v>38</v>
      </c>
      <c r="AY1184" s="5" t="s">
        <v>5355</v>
      </c>
      <c r="AZ1184" s="5" t="s">
        <v>38</v>
      </c>
      <c r="BA1184" s="12"/>
      <c r="BB1184" s="12"/>
      <c r="BC1184" s="12"/>
      <c r="BD1184" s="11">
        <v>0</v>
      </c>
      <c r="BE1184" s="11">
        <v>0</v>
      </c>
    </row>
    <row x14ac:dyDescent="0.25" r="1185" customHeight="1" ht="17.25">
      <c r="A1185" s="11">
        <v>88077</v>
      </c>
      <c r="B1185" s="4" t="s">
        <v>5356</v>
      </c>
      <c r="C1185" s="5" t="s">
        <v>1715</v>
      </c>
      <c r="D1185" s="5" t="s">
        <v>1716</v>
      </c>
      <c r="E1185" s="5" t="s">
        <v>1717</v>
      </c>
      <c r="F1185" s="13">
        <f>"0679772871"</f>
      </c>
      <c r="G1185" s="13">
        <f>"9780593688137"</f>
      </c>
      <c r="H1185" s="11">
        <v>0</v>
      </c>
      <c r="I1185" s="14">
        <v>4.13</v>
      </c>
      <c r="J1185" s="7" t="s">
        <v>114</v>
      </c>
      <c r="K1185" s="5" t="s">
        <v>90</v>
      </c>
      <c r="L1185" s="11">
        <v>706</v>
      </c>
      <c r="M1185" s="11">
        <v>1996</v>
      </c>
      <c r="N1185" s="11">
        <v>1924</v>
      </c>
      <c r="O1185" s="15"/>
      <c r="P1185" s="8">
        <v>42609</v>
      </c>
      <c r="Q1185" s="8"/>
      <c r="R1185" s="8"/>
      <c r="S1185" s="8"/>
      <c r="T1185" s="8"/>
      <c r="U1185" s="8"/>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4" t="s">
        <v>38</v>
      </c>
      <c r="AY1185" s="5" t="s">
        <v>5357</v>
      </c>
      <c r="AZ1185" s="5" t="s">
        <v>38</v>
      </c>
      <c r="BA1185" s="12"/>
      <c r="BB1185" s="12"/>
      <c r="BC1185" s="12"/>
      <c r="BD1185" s="11">
        <v>0</v>
      </c>
      <c r="BE1185" s="11">
        <v>0</v>
      </c>
    </row>
    <row x14ac:dyDescent="0.25" r="1186" customHeight="1" ht="17.25">
      <c r="A1186" s="11">
        <v>81661</v>
      </c>
      <c r="B1186" s="4" t="s">
        <v>5358</v>
      </c>
      <c r="C1186" s="5" t="s">
        <v>5359</v>
      </c>
      <c r="D1186" s="5" t="s">
        <v>5360</v>
      </c>
      <c r="E1186" s="12"/>
      <c r="F1186" s="13">
        <f>"0670037966"</f>
      </c>
      <c r="G1186" s="13">
        <f>"9780670037964"</f>
      </c>
      <c r="H1186" s="11">
        <v>0</v>
      </c>
      <c r="I1186" s="14">
        <v>4.17</v>
      </c>
      <c r="J1186" s="7" t="s">
        <v>2772</v>
      </c>
      <c r="K1186" s="5" t="s">
        <v>72</v>
      </c>
      <c r="L1186" s="11">
        <v>720</v>
      </c>
      <c r="M1186" s="11">
        <v>2006</v>
      </c>
      <c r="N1186" s="11">
        <v>2006</v>
      </c>
      <c r="O1186" s="15"/>
      <c r="P1186" s="8">
        <v>42544</v>
      </c>
      <c r="Q1186" s="8"/>
      <c r="R1186" s="8"/>
      <c r="S1186" s="8"/>
      <c r="T1186" s="8"/>
      <c r="U1186" s="8"/>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U1186" s="8"/>
      <c r="AV1186" s="8"/>
      <c r="AW1186" s="8"/>
      <c r="AX1186" s="4" t="s">
        <v>1049</v>
      </c>
      <c r="AY1186" s="5" t="s">
        <v>5361</v>
      </c>
      <c r="AZ1186" s="5" t="s">
        <v>38</v>
      </c>
      <c r="BA1186" s="12"/>
      <c r="BB1186" s="12"/>
      <c r="BC1186" s="12"/>
      <c r="BD1186" s="11">
        <v>0</v>
      </c>
      <c r="BE1186" s="11">
        <v>0</v>
      </c>
    </row>
    <row x14ac:dyDescent="0.25" r="1187" customHeight="1" ht="17.25">
      <c r="A1187" s="11">
        <v>413082</v>
      </c>
      <c r="B1187" s="4" t="s">
        <v>5362</v>
      </c>
      <c r="C1187" s="5" t="s">
        <v>5363</v>
      </c>
      <c r="D1187" s="5" t="s">
        <v>5364</v>
      </c>
      <c r="E1187" s="12"/>
      <c r="F1187" s="13">
        <f>"8476696132"</f>
      </c>
      <c r="G1187" s="13">
        <f>"9788476696132"</f>
      </c>
      <c r="H1187" s="11">
        <v>0</v>
      </c>
      <c r="I1187" s="14">
        <v>4.1</v>
      </c>
      <c r="J1187" s="7" t="s">
        <v>5365</v>
      </c>
      <c r="K1187" s="5" t="s">
        <v>72</v>
      </c>
      <c r="L1187" s="11">
        <v>720</v>
      </c>
      <c r="M1187" s="11">
        <v>2003</v>
      </c>
      <c r="N1187" s="11">
        <v>1939</v>
      </c>
      <c r="O1187" s="15"/>
      <c r="P1187" s="8">
        <v>44094</v>
      </c>
      <c r="Q1187" s="8"/>
      <c r="R1187" s="8"/>
      <c r="S1187" s="8"/>
      <c r="T1187" s="8"/>
      <c r="U1187" s="8"/>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U1187" s="8"/>
      <c r="AV1187" s="8"/>
      <c r="AW1187" s="8"/>
      <c r="AX1187" s="4" t="s">
        <v>38</v>
      </c>
      <c r="AY1187" s="5" t="s">
        <v>5366</v>
      </c>
      <c r="AZ1187" s="5" t="s">
        <v>38</v>
      </c>
      <c r="BA1187" s="12"/>
      <c r="BB1187" s="12"/>
      <c r="BC1187" s="12"/>
      <c r="BD1187" s="11">
        <v>0</v>
      </c>
      <c r="BE1187" s="11">
        <v>0</v>
      </c>
    </row>
    <row x14ac:dyDescent="0.25" r="1188" customHeight="1" ht="17.25">
      <c r="A1188" s="11">
        <v>772099</v>
      </c>
      <c r="B1188" s="4" t="s">
        <v>5367</v>
      </c>
      <c r="C1188" s="5" t="s">
        <v>5368</v>
      </c>
      <c r="D1188" s="5" t="s">
        <v>5369</v>
      </c>
      <c r="E1188" s="5" t="s">
        <v>5370</v>
      </c>
      <c r="F1188" s="13">
        <f>"0262522101"</f>
      </c>
      <c r="G1188" s="13">
        <f>"9780262522106"</f>
      </c>
      <c r="H1188" s="11">
        <v>0</v>
      </c>
      <c r="I1188" s="14">
        <v>3.94</v>
      </c>
      <c r="J1188" s="7" t="s">
        <v>5371</v>
      </c>
      <c r="K1188" s="5" t="s">
        <v>60</v>
      </c>
      <c r="L1188" s="11">
        <v>885</v>
      </c>
      <c r="M1188" s="11">
        <v>1997</v>
      </c>
      <c r="N1188" s="11">
        <v>1997</v>
      </c>
      <c r="O1188" s="15"/>
      <c r="P1188" s="8">
        <v>45126</v>
      </c>
      <c r="Q1188" s="8"/>
      <c r="R1188" s="8"/>
      <c r="S1188" s="8"/>
      <c r="T1188" s="8"/>
      <c r="U1188" s="8"/>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U1188" s="8"/>
      <c r="AV1188" s="8"/>
      <c r="AW1188" s="8"/>
      <c r="AX1188" s="4" t="s">
        <v>38</v>
      </c>
      <c r="AY1188" s="5" t="s">
        <v>5372</v>
      </c>
      <c r="AZ1188" s="5" t="s">
        <v>38</v>
      </c>
      <c r="BA1188" s="12"/>
      <c r="BB1188" s="12"/>
      <c r="BC1188" s="12"/>
      <c r="BD1188" s="11">
        <v>0</v>
      </c>
      <c r="BE1188" s="11">
        <v>0</v>
      </c>
    </row>
    <row x14ac:dyDescent="0.25" r="1189" customHeight="1" ht="17.25">
      <c r="A1189" s="11">
        <v>38209727</v>
      </c>
      <c r="B1189" s="4" t="s">
        <v>5373</v>
      </c>
      <c r="C1189" s="5" t="s">
        <v>5374</v>
      </c>
      <c r="D1189" s="5" t="s">
        <v>5375</v>
      </c>
      <c r="E1189" s="5" t="s">
        <v>5376</v>
      </c>
      <c r="F1189" s="13">
        <f>""</f>
      </c>
      <c r="G1189" s="13">
        <f>"9781564780881"</f>
      </c>
      <c r="H1189" s="11">
        <v>0</v>
      </c>
      <c r="I1189" s="14">
        <v>3.6</v>
      </c>
      <c r="J1189" s="7" t="s">
        <v>59</v>
      </c>
      <c r="K1189" s="5" t="s">
        <v>60</v>
      </c>
      <c r="L1189" s="11">
        <v>925</v>
      </c>
      <c r="M1189" s="11">
        <v>2017</v>
      </c>
      <c r="N1189" s="11">
        <v>1925</v>
      </c>
      <c r="O1189" s="15"/>
      <c r="P1189" s="8">
        <v>45129</v>
      </c>
      <c r="Q1189" s="8"/>
      <c r="R1189" s="8"/>
      <c r="S1189" s="8"/>
      <c r="T1189" s="8"/>
      <c r="U1189" s="8"/>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U1189" s="8"/>
      <c r="AV1189" s="8"/>
      <c r="AW1189" s="8"/>
      <c r="AX1189" s="4" t="s">
        <v>5320</v>
      </c>
      <c r="AY1189" s="5" t="s">
        <v>5377</v>
      </c>
      <c r="AZ1189" s="5" t="s">
        <v>38</v>
      </c>
      <c r="BA1189" s="12"/>
      <c r="BB1189" s="12"/>
      <c r="BC1189" s="12"/>
      <c r="BD1189" s="11">
        <v>0</v>
      </c>
      <c r="BE1189" s="11">
        <v>0</v>
      </c>
    </row>
    <row x14ac:dyDescent="0.25" r="1190" customHeight="1" ht="17.25">
      <c r="A1190" s="11">
        <v>55419898</v>
      </c>
      <c r="B1190" s="4" t="s">
        <v>5378</v>
      </c>
      <c r="C1190" s="5" t="s">
        <v>5379</v>
      </c>
      <c r="D1190" s="5" t="s">
        <v>5380</v>
      </c>
      <c r="E1190" s="5" t="s">
        <v>5381</v>
      </c>
      <c r="F1190" s="13">
        <f>"1939810523"</f>
      </c>
      <c r="G1190" s="13">
        <f>"9781939810526"</f>
      </c>
      <c r="H1190" s="11">
        <v>0</v>
      </c>
      <c r="I1190" s="14">
        <v>4.22</v>
      </c>
      <c r="J1190" s="7" t="s">
        <v>5382</v>
      </c>
      <c r="K1190" s="5" t="s">
        <v>60</v>
      </c>
      <c r="L1190" s="11">
        <v>920</v>
      </c>
      <c r="M1190" s="11">
        <v>2021</v>
      </c>
      <c r="N1190" s="11">
        <v>2013</v>
      </c>
      <c r="O1190" s="15"/>
      <c r="P1190" s="8">
        <v>45129</v>
      </c>
      <c r="Q1190" s="8"/>
      <c r="R1190" s="8"/>
      <c r="S1190" s="8"/>
      <c r="T1190" s="8"/>
      <c r="U1190" s="8"/>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U1190" s="8"/>
      <c r="AV1190" s="8"/>
      <c r="AW1190" s="8"/>
      <c r="AX1190" s="4" t="s">
        <v>5320</v>
      </c>
      <c r="AY1190" s="5" t="s">
        <v>5383</v>
      </c>
      <c r="AZ1190" s="5" t="s">
        <v>38</v>
      </c>
      <c r="BA1190" s="12"/>
      <c r="BB1190" s="12"/>
      <c r="BC1190" s="12"/>
      <c r="BD1190" s="11">
        <v>0</v>
      </c>
      <c r="BE1190" s="11">
        <v>0</v>
      </c>
    </row>
    <row x14ac:dyDescent="0.25" r="1191" customHeight="1" ht="17.25">
      <c r="A1191" s="11">
        <v>408862</v>
      </c>
      <c r="B1191" s="4" t="s">
        <v>5384</v>
      </c>
      <c r="C1191" s="5" t="s">
        <v>5385</v>
      </c>
      <c r="D1191" s="5" t="s">
        <v>5386</v>
      </c>
      <c r="E1191" s="12"/>
      <c r="F1191" s="13">
        <f>"0684826305"</f>
      </c>
      <c r="G1191" s="13">
        <f>"9780684826301"</f>
      </c>
      <c r="H1191" s="11">
        <v>0</v>
      </c>
      <c r="I1191" s="14">
        <v>4.03</v>
      </c>
      <c r="J1191" s="7" t="s">
        <v>966</v>
      </c>
      <c r="K1191" s="5" t="s">
        <v>60</v>
      </c>
      <c r="L1191" s="11">
        <v>880</v>
      </c>
      <c r="M1191" s="11">
        <v>1995</v>
      </c>
      <c r="N1191" s="11">
        <v>1890</v>
      </c>
      <c r="O1191" s="15"/>
      <c r="P1191" s="8">
        <v>44959</v>
      </c>
      <c r="Q1191" s="8"/>
      <c r="R1191" s="8"/>
      <c r="S1191" s="8"/>
      <c r="T1191" s="8"/>
      <c r="U1191" s="8"/>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U1191" s="8"/>
      <c r="AV1191" s="8"/>
      <c r="AW1191" s="8"/>
      <c r="AX1191" s="4" t="s">
        <v>2478</v>
      </c>
      <c r="AY1191" s="5" t="s">
        <v>5387</v>
      </c>
      <c r="AZ1191" s="5" t="s">
        <v>38</v>
      </c>
      <c r="BA1191" s="12"/>
      <c r="BB1191" s="12"/>
      <c r="BC1191" s="12"/>
      <c r="BD1191" s="11">
        <v>0</v>
      </c>
      <c r="BE1191" s="11">
        <v>0</v>
      </c>
    </row>
    <row x14ac:dyDescent="0.25" r="1192" customHeight="1" ht="17.25">
      <c r="A1192" s="11">
        <v>17333230</v>
      </c>
      <c r="B1192" s="4" t="s">
        <v>5388</v>
      </c>
      <c r="C1192" s="5" t="s">
        <v>5389</v>
      </c>
      <c r="D1192" s="5" t="s">
        <v>5390</v>
      </c>
      <c r="E1192" s="12"/>
      <c r="F1192" s="13">
        <f>"0316074314"</f>
      </c>
      <c r="G1192" s="13">
        <f>"9780316074315"</f>
      </c>
      <c r="H1192" s="11">
        <v>0</v>
      </c>
      <c r="I1192" s="14">
        <v>3.74</v>
      </c>
      <c r="J1192" s="7" t="s">
        <v>411</v>
      </c>
      <c r="K1192" s="5" t="s">
        <v>72</v>
      </c>
      <c r="L1192" s="11">
        <v>848</v>
      </c>
      <c r="M1192" s="11">
        <v>2013</v>
      </c>
      <c r="N1192" s="11">
        <v>2013</v>
      </c>
      <c r="O1192" s="15"/>
      <c r="P1192" s="8">
        <v>45111</v>
      </c>
      <c r="Q1192" s="8"/>
      <c r="R1192" s="8"/>
      <c r="S1192" s="8"/>
      <c r="T1192" s="8"/>
      <c r="U1192" s="8"/>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U1192" s="8"/>
      <c r="AV1192" s="8"/>
      <c r="AW1192" s="8"/>
      <c r="AX1192" s="4" t="s">
        <v>5391</v>
      </c>
      <c r="AY1192" s="5" t="s">
        <v>5392</v>
      </c>
      <c r="AZ1192" s="5" t="s">
        <v>38</v>
      </c>
      <c r="BA1192" s="12"/>
      <c r="BB1192" s="12"/>
      <c r="BC1192" s="12"/>
      <c r="BD1192" s="11">
        <v>0</v>
      </c>
      <c r="BE1192" s="11">
        <v>0</v>
      </c>
    </row>
    <row x14ac:dyDescent="0.25" r="1193" customHeight="1" ht="17.25">
      <c r="A1193" s="11">
        <v>36030</v>
      </c>
      <c r="B1193" s="4" t="s">
        <v>5393</v>
      </c>
      <c r="C1193" s="5" t="s">
        <v>5394</v>
      </c>
      <c r="D1193" s="5" t="s">
        <v>5395</v>
      </c>
      <c r="E1193" s="12"/>
      <c r="F1193" s="13">
        <f>"1842931075"</f>
      </c>
      <c r="G1193" s="13">
        <f>"9781842931073"</f>
      </c>
      <c r="H1193" s="11">
        <v>0</v>
      </c>
      <c r="I1193" s="14">
        <v>3.92</v>
      </c>
      <c r="J1193" s="7" t="s">
        <v>5396</v>
      </c>
      <c r="K1193" s="5" t="s">
        <v>60</v>
      </c>
      <c r="L1193" s="11">
        <v>800</v>
      </c>
      <c r="M1193" s="11">
        <v>1999</v>
      </c>
      <c r="N1193" s="11">
        <v>1971</v>
      </c>
      <c r="O1193" s="15"/>
      <c r="P1193" s="8">
        <v>45070</v>
      </c>
      <c r="Q1193" s="8"/>
      <c r="R1193" s="8"/>
      <c r="S1193" s="8"/>
      <c r="T1193" s="8"/>
      <c r="U1193" s="8"/>
      <c r="V1193" s="8"/>
      <c r="W1193" s="8"/>
      <c r="X1193" s="8"/>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U1193" s="8"/>
      <c r="AV1193" s="8"/>
      <c r="AW1193" s="8"/>
      <c r="AX1193" s="4" t="s">
        <v>38</v>
      </c>
      <c r="AY1193" s="5" t="s">
        <v>5397</v>
      </c>
      <c r="AZ1193" s="5" t="s">
        <v>38</v>
      </c>
      <c r="BA1193" s="12"/>
      <c r="BB1193" s="12"/>
      <c r="BC1193" s="12"/>
      <c r="BD1193" s="11">
        <v>0</v>
      </c>
      <c r="BE1193" s="11">
        <v>0</v>
      </c>
    </row>
    <row x14ac:dyDescent="0.25" r="1194" customHeight="1" ht="17.25">
      <c r="A1194" s="11">
        <v>61629865</v>
      </c>
      <c r="B1194" s="4" t="s">
        <v>5398</v>
      </c>
      <c r="C1194" s="5" t="s">
        <v>5399</v>
      </c>
      <c r="D1194" s="5" t="s">
        <v>5400</v>
      </c>
      <c r="E1194" s="5" t="s">
        <v>5190</v>
      </c>
      <c r="F1194" s="13">
        <f>"1628974516"</f>
      </c>
      <c r="G1194" s="13">
        <f>"9781628974515"</f>
      </c>
      <c r="H1194" s="11">
        <v>0</v>
      </c>
      <c r="I1194" s="14">
        <v>3.91</v>
      </c>
      <c r="J1194" s="7" t="s">
        <v>59</v>
      </c>
      <c r="K1194" s="5" t="s">
        <v>60</v>
      </c>
      <c r="L1194" s="11">
        <v>885</v>
      </c>
      <c r="M1194" s="11">
        <v>2023</v>
      </c>
      <c r="N1194" s="11">
        <v>1989</v>
      </c>
      <c r="O1194" s="15"/>
      <c r="P1194" s="8">
        <v>45003</v>
      </c>
      <c r="Q1194" s="8"/>
      <c r="R1194" s="8"/>
      <c r="S1194" s="8"/>
      <c r="T1194" s="8"/>
      <c r="U1194" s="8"/>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U1194" s="8"/>
      <c r="AV1194" s="8"/>
      <c r="AW1194" s="8"/>
      <c r="AX1194" s="4" t="s">
        <v>5320</v>
      </c>
      <c r="AY1194" s="5" t="s">
        <v>5401</v>
      </c>
      <c r="AZ1194" s="5" t="s">
        <v>38</v>
      </c>
      <c r="BA1194" s="12"/>
      <c r="BB1194" s="12"/>
      <c r="BC1194" s="12"/>
      <c r="BD1194" s="11">
        <v>0</v>
      </c>
      <c r="BE1194" s="11">
        <v>0</v>
      </c>
    </row>
    <row x14ac:dyDescent="0.25" r="1195" customHeight="1" ht="17.25">
      <c r="A1195" s="11">
        <v>90018</v>
      </c>
      <c r="B1195" s="4" t="s">
        <v>5402</v>
      </c>
      <c r="C1195" s="5" t="s">
        <v>5403</v>
      </c>
      <c r="D1195" s="5" t="s">
        <v>5404</v>
      </c>
      <c r="E1195" s="5" t="s">
        <v>5405</v>
      </c>
      <c r="F1195" s="13">
        <f>"1590301994"</f>
      </c>
      <c r="G1195" s="13">
        <f>"9781590301999"</f>
      </c>
      <c r="H1195" s="11">
        <v>0</v>
      </c>
      <c r="I1195" s="14">
        <v>4.19</v>
      </c>
      <c r="J1195" s="7" t="s">
        <v>5406</v>
      </c>
      <c r="K1195" s="5" t="s">
        <v>60</v>
      </c>
      <c r="L1195" s="11">
        <v>880</v>
      </c>
      <c r="M1195" s="11">
        <v>2006</v>
      </c>
      <c r="N1195" s="11">
        <v>2003</v>
      </c>
      <c r="O1195" s="15"/>
      <c r="P1195" s="8">
        <v>45070</v>
      </c>
      <c r="Q1195" s="8"/>
      <c r="R1195" s="8"/>
      <c r="S1195" s="8"/>
      <c r="T1195" s="8"/>
      <c r="U1195" s="8"/>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U1195" s="8"/>
      <c r="AV1195" s="8"/>
      <c r="AW1195" s="8"/>
      <c r="AX1195" s="4" t="s">
        <v>38</v>
      </c>
      <c r="AY1195" s="5" t="s">
        <v>5407</v>
      </c>
      <c r="AZ1195" s="5" t="s">
        <v>38</v>
      </c>
      <c r="BA1195" s="12"/>
      <c r="BB1195" s="12"/>
      <c r="BC1195" s="12"/>
      <c r="BD1195" s="11">
        <v>0</v>
      </c>
      <c r="BE1195" s="11">
        <v>0</v>
      </c>
    </row>
    <row x14ac:dyDescent="0.25" r="1196" customHeight="1" ht="17.25">
      <c r="A1196" s="11">
        <v>27826456</v>
      </c>
      <c r="B1196" s="4" t="s">
        <v>5408</v>
      </c>
      <c r="C1196" s="5" t="s">
        <v>5409</v>
      </c>
      <c r="D1196" s="5" t="s">
        <v>5410</v>
      </c>
      <c r="E1196" s="12"/>
      <c r="F1196" s="13">
        <f>"9735050595"</f>
      </c>
      <c r="G1196" s="13">
        <f>"9789735050597"</f>
      </c>
      <c r="H1196" s="11">
        <v>0</v>
      </c>
      <c r="I1196" s="14">
        <v>4.3</v>
      </c>
      <c r="J1196" s="7" t="s">
        <v>5411</v>
      </c>
      <c r="K1196" s="5" t="s">
        <v>60</v>
      </c>
      <c r="L1196" s="11">
        <v>840</v>
      </c>
      <c r="M1196" s="11">
        <v>2015</v>
      </c>
      <c r="N1196" s="11">
        <v>2015</v>
      </c>
      <c r="O1196" s="15"/>
      <c r="P1196" s="8">
        <v>44869</v>
      </c>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U1196" s="8"/>
      <c r="AV1196" s="8"/>
      <c r="AW1196" s="8"/>
      <c r="AX1196" s="4" t="s">
        <v>38</v>
      </c>
      <c r="AY1196" s="5" t="s">
        <v>5412</v>
      </c>
      <c r="AZ1196" s="5" t="s">
        <v>38</v>
      </c>
      <c r="BA1196" s="12"/>
      <c r="BB1196" s="12"/>
      <c r="BC1196" s="12"/>
      <c r="BD1196" s="11">
        <v>0</v>
      </c>
      <c r="BE1196" s="11">
        <v>0</v>
      </c>
    </row>
    <row x14ac:dyDescent="0.25" r="1197" customHeight="1" ht="17.25">
      <c r="A1197" s="11">
        <v>21971409</v>
      </c>
      <c r="B1197" s="4" t="s">
        <v>5413</v>
      </c>
      <c r="C1197" s="5" t="s">
        <v>5414</v>
      </c>
      <c r="D1197" s="5" t="s">
        <v>5415</v>
      </c>
      <c r="E1197" s="12"/>
      <c r="F1197" s="13">
        <f>"158394835X"</f>
      </c>
      <c r="G1197" s="13">
        <f>"9781583948354"</f>
      </c>
      <c r="H1197" s="11">
        <v>0</v>
      </c>
      <c r="I1197" s="14">
        <v>4.48</v>
      </c>
      <c r="J1197" s="7" t="s">
        <v>5416</v>
      </c>
      <c r="K1197" s="5" t="s">
        <v>60</v>
      </c>
      <c r="L1197" s="11">
        <v>896</v>
      </c>
      <c r="M1197" s="11">
        <v>2015</v>
      </c>
      <c r="N1197" s="11">
        <v>2015</v>
      </c>
      <c r="O1197" s="15"/>
      <c r="P1197" s="8">
        <v>44790</v>
      </c>
      <c r="Q1197" s="8"/>
      <c r="R1197" s="8"/>
      <c r="S1197" s="8"/>
      <c r="T1197" s="8"/>
      <c r="U1197" s="8"/>
      <c r="V1197" s="8"/>
      <c r="W1197" s="8"/>
      <c r="X1197" s="8"/>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4" t="s">
        <v>38</v>
      </c>
      <c r="AY1197" s="5" t="s">
        <v>5417</v>
      </c>
      <c r="AZ1197" s="5" t="s">
        <v>38</v>
      </c>
      <c r="BA1197" s="12"/>
      <c r="BB1197" s="12"/>
      <c r="BC1197" s="12"/>
      <c r="BD1197" s="11">
        <v>0</v>
      </c>
      <c r="BE1197" s="11">
        <v>0</v>
      </c>
    </row>
    <row x14ac:dyDescent="0.25" r="1198" customHeight="1" ht="17.25">
      <c r="A1198" s="11">
        <v>10836</v>
      </c>
      <c r="B1198" s="4" t="s">
        <v>5418</v>
      </c>
      <c r="C1198" s="5" t="s">
        <v>5419</v>
      </c>
      <c r="D1198" s="5" t="s">
        <v>5420</v>
      </c>
      <c r="E1198" s="12"/>
      <c r="F1198" s="13">
        <f>"0802135587"</f>
      </c>
      <c r="G1198" s="13">
        <f>"9780802135582"</f>
      </c>
      <c r="H1198" s="11">
        <v>0</v>
      </c>
      <c r="I1198" s="14">
        <v>4.12</v>
      </c>
      <c r="J1198" s="7" t="s">
        <v>5421</v>
      </c>
      <c r="K1198" s="5" t="s">
        <v>60</v>
      </c>
      <c r="L1198" s="11">
        <v>814</v>
      </c>
      <c r="M1198" s="11">
        <v>1997</v>
      </c>
      <c r="N1198" s="11">
        <v>1997</v>
      </c>
      <c r="O1198" s="15"/>
      <c r="P1198" s="8">
        <v>44166</v>
      </c>
      <c r="Q1198" s="8"/>
      <c r="R1198" s="8"/>
      <c r="S1198" s="8"/>
      <c r="T1198" s="8"/>
      <c r="U1198" s="8"/>
      <c r="V1198" s="8"/>
      <c r="W1198" s="8"/>
      <c r="X1198" s="8"/>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U1198" s="8"/>
      <c r="AV1198" s="8"/>
      <c r="AW1198" s="8"/>
      <c r="AX1198" s="4" t="s">
        <v>1049</v>
      </c>
      <c r="AY1198" s="5" t="s">
        <v>5422</v>
      </c>
      <c r="AZ1198" s="5" t="s">
        <v>38</v>
      </c>
      <c r="BA1198" s="12"/>
      <c r="BB1198" s="12"/>
      <c r="BC1198" s="12"/>
      <c r="BD1198" s="11">
        <v>0</v>
      </c>
      <c r="BE1198" s="11">
        <v>0</v>
      </c>
    </row>
    <row x14ac:dyDescent="0.25" r="1199" customHeight="1" ht="17.25">
      <c r="A1199" s="11">
        <v>141078</v>
      </c>
      <c r="B1199" s="4" t="s">
        <v>5423</v>
      </c>
      <c r="C1199" s="5" t="s">
        <v>5424</v>
      </c>
      <c r="D1199" s="5" t="s">
        <v>5425</v>
      </c>
      <c r="E1199" s="5" t="s">
        <v>5426</v>
      </c>
      <c r="F1199" s="13">
        <f>"0802137687"</f>
      </c>
      <c r="G1199" s="13">
        <f>"9780802137685"</f>
      </c>
      <c r="H1199" s="11">
        <v>0</v>
      </c>
      <c r="I1199" s="14">
        <v>4.33</v>
      </c>
      <c r="J1199" s="7" t="s">
        <v>66</v>
      </c>
      <c r="K1199" s="5" t="s">
        <v>60</v>
      </c>
      <c r="L1199" s="11">
        <v>896</v>
      </c>
      <c r="M1199" s="11">
        <v>2001</v>
      </c>
      <c r="N1199" s="11">
        <v>1965</v>
      </c>
      <c r="O1199" s="15"/>
      <c r="P1199" s="9">
        <v>43430</v>
      </c>
      <c r="Q1199" s="9"/>
      <c r="R1199" s="9"/>
      <c r="S1199" s="9"/>
      <c r="T1199" s="9"/>
      <c r="U1199" s="9"/>
      <c r="V1199" s="9"/>
      <c r="W1199" s="9"/>
      <c r="X1199" s="9"/>
      <c r="Y1199" s="9"/>
      <c r="Z1199" s="9"/>
      <c r="AA1199" s="9"/>
      <c r="AB1199" s="9"/>
      <c r="AC1199" s="9"/>
      <c r="AD1199" s="9"/>
      <c r="AE1199" s="9"/>
      <c r="AF1199" s="9"/>
      <c r="AG1199" s="9"/>
      <c r="AH1199" s="9"/>
      <c r="AI1199" s="9"/>
      <c r="AJ1199" s="9"/>
      <c r="AK1199" s="9"/>
      <c r="AL1199" s="9"/>
      <c r="AM1199" s="9"/>
      <c r="AN1199" s="9"/>
      <c r="AO1199" s="9"/>
      <c r="AP1199" s="9"/>
      <c r="AQ1199" s="9"/>
      <c r="AR1199" s="9"/>
      <c r="AS1199" s="9"/>
      <c r="AT1199" s="9"/>
      <c r="AU1199" s="9"/>
      <c r="AV1199" s="9"/>
      <c r="AW1199" s="9"/>
      <c r="AX1199" s="4" t="s">
        <v>38</v>
      </c>
      <c r="AY1199" s="5" t="s">
        <v>5427</v>
      </c>
      <c r="AZ1199" s="5" t="s">
        <v>38</v>
      </c>
      <c r="BA1199" s="12"/>
      <c r="BB1199" s="12"/>
      <c r="BC1199" s="12"/>
      <c r="BD1199" s="11">
        <v>0</v>
      </c>
      <c r="BE1199" s="11">
        <v>0</v>
      </c>
    </row>
    <row x14ac:dyDescent="0.25" r="1200" customHeight="1" ht="17.25">
      <c r="A1200" s="11">
        <v>996383</v>
      </c>
      <c r="B1200" s="4" t="s">
        <v>5428</v>
      </c>
      <c r="C1200" s="5" t="s">
        <v>5429</v>
      </c>
      <c r="D1200" s="5" t="s">
        <v>5430</v>
      </c>
      <c r="E1200" s="12"/>
      <c r="F1200" s="13">
        <f>"034534345X"</f>
      </c>
      <c r="G1200" s="13">
        <f>"9780345343451"</f>
      </c>
      <c r="H1200" s="11">
        <v>0</v>
      </c>
      <c r="I1200" s="14">
        <v>4.58</v>
      </c>
      <c r="J1200" s="7" t="s">
        <v>352</v>
      </c>
      <c r="K1200" s="5" t="s">
        <v>60</v>
      </c>
      <c r="L1200" s="11">
        <v>814</v>
      </c>
      <c r="M1200" s="11">
        <v>1983</v>
      </c>
      <c r="N1200" s="11">
        <v>1983</v>
      </c>
      <c r="O1200" s="15"/>
      <c r="P1200" s="8">
        <v>43961</v>
      </c>
      <c r="Q1200" s="8"/>
      <c r="R1200" s="8"/>
      <c r="S1200" s="8"/>
      <c r="T1200" s="8"/>
      <c r="U1200" s="8"/>
      <c r="V1200" s="8"/>
      <c r="W1200" s="8"/>
      <c r="X1200" s="8"/>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U1200" s="8"/>
      <c r="AV1200" s="8"/>
      <c r="AW1200" s="8"/>
      <c r="AX1200" s="4" t="s">
        <v>2566</v>
      </c>
      <c r="AY1200" s="5" t="s">
        <v>5431</v>
      </c>
      <c r="AZ1200" s="5" t="s">
        <v>38</v>
      </c>
      <c r="BA1200" s="12"/>
      <c r="BB1200" s="12"/>
      <c r="BC1200" s="12"/>
      <c r="BD1200" s="11">
        <v>0</v>
      </c>
      <c r="BE1200" s="11">
        <v>0</v>
      </c>
    </row>
    <row x14ac:dyDescent="0.25" r="1201" customHeight="1" ht="17.25">
      <c r="A1201" s="11">
        <v>16884</v>
      </c>
      <c r="B1201" s="4" t="s">
        <v>5432</v>
      </c>
      <c r="C1201" s="5" t="s">
        <v>5433</v>
      </c>
      <c r="D1201" s="5" t="s">
        <v>5434</v>
      </c>
      <c r="E1201" s="12"/>
      <c r="F1201" s="13">
        <f>"0684813785"</f>
      </c>
      <c r="G1201" s="13">
        <f>"9780684813783"</f>
      </c>
      <c r="H1201" s="11">
        <v>0</v>
      </c>
      <c r="I1201" s="14">
        <v>4.38</v>
      </c>
      <c r="J1201" s="7" t="s">
        <v>376</v>
      </c>
      <c r="K1201" s="5" t="s">
        <v>60</v>
      </c>
      <c r="L1201" s="11">
        <v>886</v>
      </c>
      <c r="M1201" s="11">
        <v>1995</v>
      </c>
      <c r="N1201" s="11">
        <v>1986</v>
      </c>
      <c r="O1201" s="15"/>
      <c r="P1201" s="9">
        <v>44165</v>
      </c>
      <c r="Q1201" s="9"/>
      <c r="R1201" s="9"/>
      <c r="S1201" s="9"/>
      <c r="T1201" s="9"/>
      <c r="U1201" s="9"/>
      <c r="V1201" s="9"/>
      <c r="W1201" s="9"/>
      <c r="X1201" s="9"/>
      <c r="Y1201" s="9"/>
      <c r="Z1201" s="9"/>
      <c r="AA1201" s="9"/>
      <c r="AB1201" s="9"/>
      <c r="AC1201" s="9"/>
      <c r="AD1201" s="9"/>
      <c r="AE1201" s="9"/>
      <c r="AF1201" s="9"/>
      <c r="AG1201" s="9"/>
      <c r="AH1201" s="9"/>
      <c r="AI1201" s="9"/>
      <c r="AJ1201" s="9"/>
      <c r="AK1201" s="9"/>
      <c r="AL1201" s="9"/>
      <c r="AM1201" s="9"/>
      <c r="AN1201" s="9"/>
      <c r="AO1201" s="9"/>
      <c r="AP1201" s="9"/>
      <c r="AQ1201" s="9"/>
      <c r="AR1201" s="9"/>
      <c r="AS1201" s="9"/>
      <c r="AT1201" s="9"/>
      <c r="AU1201" s="9"/>
      <c r="AV1201" s="9"/>
      <c r="AW1201" s="9"/>
      <c r="AX1201" s="4" t="s">
        <v>38</v>
      </c>
      <c r="AY1201" s="5" t="s">
        <v>5435</v>
      </c>
      <c r="AZ1201" s="5" t="s">
        <v>38</v>
      </c>
      <c r="BA1201" s="12"/>
      <c r="BB1201" s="12"/>
      <c r="BC1201" s="12"/>
      <c r="BD1201" s="11">
        <v>0</v>
      </c>
      <c r="BE1201" s="11">
        <v>0</v>
      </c>
    </row>
    <row x14ac:dyDescent="0.25" r="1202" customHeight="1" ht="17.25">
      <c r="A1202" s="11">
        <v>509086</v>
      </c>
      <c r="B1202" s="4" t="s">
        <v>5436</v>
      </c>
      <c r="C1202" s="5" t="s">
        <v>5437</v>
      </c>
      <c r="D1202" s="5" t="s">
        <v>5438</v>
      </c>
      <c r="E1202" s="5" t="s">
        <v>5439</v>
      </c>
      <c r="F1202" s="13">
        <f>"8478446591"</f>
      </c>
      <c r="G1202" s="13">
        <f>"9788478446599"</f>
      </c>
      <c r="H1202" s="11">
        <v>0</v>
      </c>
      <c r="I1202" s="14">
        <v>4.22</v>
      </c>
      <c r="J1202" s="7" t="s">
        <v>5440</v>
      </c>
      <c r="K1202" s="5" t="s">
        <v>60</v>
      </c>
      <c r="L1202" s="11">
        <v>786</v>
      </c>
      <c r="M1202" s="11">
        <v>2003</v>
      </c>
      <c r="N1202" s="11">
        <v>1983</v>
      </c>
      <c r="O1202" s="15"/>
      <c r="P1202" s="8">
        <v>43976</v>
      </c>
      <c r="Q1202" s="8"/>
      <c r="R1202" s="8"/>
      <c r="S1202" s="8"/>
      <c r="T1202" s="8"/>
      <c r="U1202" s="8"/>
      <c r="V1202" s="8"/>
      <c r="W1202" s="8"/>
      <c r="X1202" s="8"/>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U1202" s="8"/>
      <c r="AV1202" s="8"/>
      <c r="AW1202" s="8"/>
      <c r="AX1202" s="4" t="s">
        <v>38</v>
      </c>
      <c r="AY1202" s="5" t="s">
        <v>5441</v>
      </c>
      <c r="AZ1202" s="5" t="s">
        <v>38</v>
      </c>
      <c r="BA1202" s="12"/>
      <c r="BB1202" s="12"/>
      <c r="BC1202" s="12"/>
      <c r="BD1202" s="11">
        <v>0</v>
      </c>
      <c r="BE1202" s="11">
        <v>0</v>
      </c>
    </row>
    <row x14ac:dyDescent="0.25" r="1203" customHeight="1" ht="17.25">
      <c r="A1203" s="11">
        <v>43672241</v>
      </c>
      <c r="B1203" s="4" t="s">
        <v>5442</v>
      </c>
      <c r="C1203" s="5" t="s">
        <v>5443</v>
      </c>
      <c r="D1203" s="5" t="s">
        <v>5444</v>
      </c>
      <c r="E1203" s="12"/>
      <c r="F1203" s="13">
        <f>"140004359X"</f>
      </c>
      <c r="G1203" s="13">
        <f>"9781400043590"</f>
      </c>
      <c r="H1203" s="11">
        <v>0</v>
      </c>
      <c r="I1203" s="14">
        <v>4.6</v>
      </c>
      <c r="J1203" s="7" t="s">
        <v>665</v>
      </c>
      <c r="K1203" s="5" t="s">
        <v>72</v>
      </c>
      <c r="L1203" s="11">
        <v>880</v>
      </c>
      <c r="M1203" s="11">
        <v>2013</v>
      </c>
      <c r="N1203" s="16"/>
      <c r="O1203" s="15"/>
      <c r="P1203" s="8">
        <v>43877</v>
      </c>
      <c r="Q1203" s="8"/>
      <c r="R1203" s="8"/>
      <c r="S1203" s="8"/>
      <c r="T1203" s="8"/>
      <c r="U1203" s="8"/>
      <c r="V1203" s="8"/>
      <c r="W1203" s="8"/>
      <c r="X1203" s="8"/>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4" t="s">
        <v>2566</v>
      </c>
      <c r="AY1203" s="5" t="s">
        <v>5445</v>
      </c>
      <c r="AZ1203" s="5" t="s">
        <v>38</v>
      </c>
      <c r="BA1203" s="12"/>
      <c r="BB1203" s="12"/>
      <c r="BC1203" s="12"/>
      <c r="BD1203" s="11">
        <v>0</v>
      </c>
      <c r="BE1203" s="11">
        <v>0</v>
      </c>
    </row>
    <row x14ac:dyDescent="0.25" r="1204" customHeight="1" ht="17.25">
      <c r="A1204" s="11">
        <v>10821772</v>
      </c>
      <c r="B1204" s="4" t="s">
        <v>5446</v>
      </c>
      <c r="C1204" s="5" t="s">
        <v>5447</v>
      </c>
      <c r="D1204" s="5" t="s">
        <v>5448</v>
      </c>
      <c r="E1204" s="5" t="s">
        <v>5449</v>
      </c>
      <c r="F1204" s="13">
        <f>"0374229767"</f>
      </c>
      <c r="G1204" s="13">
        <f>"9780374229764"</f>
      </c>
      <c r="H1204" s="11">
        <v>0</v>
      </c>
      <c r="I1204" s="14">
        <v>3.78</v>
      </c>
      <c r="J1204" s="7" t="s">
        <v>120</v>
      </c>
      <c r="K1204" s="5" t="s">
        <v>72</v>
      </c>
      <c r="L1204" s="11">
        <v>1133</v>
      </c>
      <c r="M1204" s="11">
        <v>2011</v>
      </c>
      <c r="N1204" s="11">
        <v>2005</v>
      </c>
      <c r="O1204" s="15"/>
      <c r="P1204" s="8">
        <v>45129</v>
      </c>
      <c r="Q1204" s="8"/>
      <c r="R1204" s="8"/>
      <c r="S1204" s="8"/>
      <c r="T1204" s="8"/>
      <c r="U1204" s="8"/>
      <c r="V1204" s="8"/>
      <c r="W1204" s="8"/>
      <c r="X1204" s="8"/>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4" t="s">
        <v>5320</v>
      </c>
      <c r="AY1204" s="5" t="s">
        <v>5450</v>
      </c>
      <c r="AZ1204" s="5" t="s">
        <v>38</v>
      </c>
      <c r="BA1204" s="12"/>
      <c r="BB1204" s="12"/>
      <c r="BC1204" s="12"/>
      <c r="BD1204" s="11">
        <v>0</v>
      </c>
      <c r="BE1204" s="11">
        <v>0</v>
      </c>
    </row>
    <row x14ac:dyDescent="0.25" r="1205" customHeight="1" ht="17.25">
      <c r="A1205" s="11">
        <v>3232810</v>
      </c>
      <c r="B1205" s="4" t="s">
        <v>5451</v>
      </c>
      <c r="C1205" s="5" t="s">
        <v>5452</v>
      </c>
      <c r="D1205" s="5" t="s">
        <v>5453</v>
      </c>
      <c r="E1205" s="12"/>
      <c r="F1205" s="13">
        <f>"9509051349"</f>
      </c>
      <c r="G1205" s="13">
        <f>"9789509051348"</f>
      </c>
      <c r="H1205" s="11">
        <v>0</v>
      </c>
      <c r="I1205" s="14">
        <v>4.23</v>
      </c>
      <c r="J1205" s="7" t="s">
        <v>5454</v>
      </c>
      <c r="K1205" s="5" t="s">
        <v>72</v>
      </c>
      <c r="L1205" s="11">
        <v>1328</v>
      </c>
      <c r="M1205" s="11">
        <v>2004</v>
      </c>
      <c r="N1205" s="11">
        <v>1998</v>
      </c>
      <c r="O1205" s="15"/>
      <c r="P1205" s="8">
        <v>45129</v>
      </c>
      <c r="Q1205" s="8"/>
      <c r="R1205" s="8"/>
      <c r="S1205" s="8"/>
      <c r="T1205" s="8"/>
      <c r="U1205" s="8"/>
      <c r="V1205" s="8"/>
      <c r="W1205" s="8"/>
      <c r="X1205" s="8"/>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U1205" s="8"/>
      <c r="AV1205" s="8"/>
      <c r="AW1205" s="8"/>
      <c r="AX1205" s="4" t="s">
        <v>5320</v>
      </c>
      <c r="AY1205" s="5" t="s">
        <v>5455</v>
      </c>
      <c r="AZ1205" s="5" t="s">
        <v>38</v>
      </c>
      <c r="BA1205" s="12"/>
      <c r="BB1205" s="12"/>
      <c r="BC1205" s="12"/>
      <c r="BD1205" s="11">
        <v>0</v>
      </c>
      <c r="BE1205" s="11">
        <v>0</v>
      </c>
    </row>
    <row x14ac:dyDescent="0.25" r="1206" customHeight="1" ht="17.25">
      <c r="A1206" s="11">
        <v>744833</v>
      </c>
      <c r="B1206" s="4" t="s">
        <v>5456</v>
      </c>
      <c r="C1206" s="5" t="s">
        <v>5457</v>
      </c>
      <c r="D1206" s="5" t="s">
        <v>5458</v>
      </c>
      <c r="E1206" s="12"/>
      <c r="F1206" s="13">
        <f>"0393312216"</f>
      </c>
      <c r="G1206" s="13">
        <f>"9780393312218"</f>
      </c>
      <c r="H1206" s="11">
        <v>0</v>
      </c>
      <c r="I1206" s="14">
        <v>4.38</v>
      </c>
      <c r="J1206" s="7" t="s">
        <v>144</v>
      </c>
      <c r="K1206" s="5" t="s">
        <v>60</v>
      </c>
      <c r="L1206" s="11">
        <v>1135</v>
      </c>
      <c r="M1206" s="11">
        <v>1995</v>
      </c>
      <c r="N1206" s="11">
        <v>1992</v>
      </c>
      <c r="O1206" s="15"/>
      <c r="P1206" s="8">
        <v>45129</v>
      </c>
      <c r="Q1206" s="8"/>
      <c r="R1206" s="8"/>
      <c r="S1206" s="8"/>
      <c r="T1206" s="8"/>
      <c r="U1206" s="8"/>
      <c r="V1206" s="8"/>
      <c r="W1206" s="8"/>
      <c r="X1206" s="8"/>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U1206" s="8"/>
      <c r="AV1206" s="8"/>
      <c r="AW1206" s="8"/>
      <c r="AX1206" s="4" t="s">
        <v>5320</v>
      </c>
      <c r="AY1206" s="5" t="s">
        <v>5459</v>
      </c>
      <c r="AZ1206" s="5" t="s">
        <v>38</v>
      </c>
      <c r="BA1206" s="12"/>
      <c r="BB1206" s="12"/>
      <c r="BC1206" s="12"/>
      <c r="BD1206" s="11">
        <v>0</v>
      </c>
      <c r="BE1206" s="11">
        <v>0</v>
      </c>
    </row>
    <row x14ac:dyDescent="0.25" r="1207" customHeight="1" ht="17.25">
      <c r="A1207" s="11">
        <v>463533</v>
      </c>
      <c r="B1207" s="4" t="s">
        <v>5460</v>
      </c>
      <c r="C1207" s="5" t="s">
        <v>5461</v>
      </c>
      <c r="D1207" s="5" t="s">
        <v>5462</v>
      </c>
      <c r="E1207" s="5" t="s">
        <v>5463</v>
      </c>
      <c r="F1207" s="13">
        <f>"0375421092"</f>
      </c>
      <c r="G1207" s="13">
        <f>"9780375421099"</f>
      </c>
      <c r="H1207" s="11">
        <v>0</v>
      </c>
      <c r="I1207" s="14">
        <v>3.99</v>
      </c>
      <c r="J1207" s="7" t="s">
        <v>5464</v>
      </c>
      <c r="K1207" s="5" t="s">
        <v>72</v>
      </c>
      <c r="L1207" s="11">
        <v>953</v>
      </c>
      <c r="M1207" s="11">
        <v>2007</v>
      </c>
      <c r="N1207" s="11">
        <v>-450</v>
      </c>
      <c r="O1207" s="15"/>
      <c r="P1207" s="8">
        <v>45116</v>
      </c>
      <c r="Q1207" s="8"/>
      <c r="R1207" s="8"/>
      <c r="S1207" s="8"/>
      <c r="T1207" s="8"/>
      <c r="U1207" s="8"/>
      <c r="V1207" s="8"/>
      <c r="W1207" s="8"/>
      <c r="X1207" s="8"/>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U1207" s="8"/>
      <c r="AV1207" s="8"/>
      <c r="AW1207" s="8"/>
      <c r="AX1207" s="4" t="s">
        <v>38</v>
      </c>
      <c r="AY1207" s="5" t="s">
        <v>5465</v>
      </c>
      <c r="AZ1207" s="5" t="s">
        <v>38</v>
      </c>
      <c r="BA1207" s="12"/>
      <c r="BB1207" s="12"/>
      <c r="BC1207" s="12"/>
      <c r="BD1207" s="11">
        <v>0</v>
      </c>
      <c r="BE1207" s="11">
        <v>0</v>
      </c>
    </row>
    <row x14ac:dyDescent="0.25" r="1208" customHeight="1" ht="17.25">
      <c r="A1208" s="11">
        <v>18770233</v>
      </c>
      <c r="B1208" s="4" t="s">
        <v>5466</v>
      </c>
      <c r="C1208" s="5" t="s">
        <v>5467</v>
      </c>
      <c r="D1208" s="5" t="s">
        <v>5468</v>
      </c>
      <c r="E1208" s="12"/>
      <c r="F1208" s="13">
        <f>"0674724739"</f>
      </c>
      <c r="G1208" s="13">
        <f>"9780674724730"</f>
      </c>
      <c r="H1208" s="11">
        <v>0</v>
      </c>
      <c r="I1208" s="14">
        <v>4.2</v>
      </c>
      <c r="J1208" s="7" t="s">
        <v>905</v>
      </c>
      <c r="K1208" s="5" t="s">
        <v>72</v>
      </c>
      <c r="L1208" s="11">
        <v>1200</v>
      </c>
      <c r="M1208" s="11">
        <v>2014</v>
      </c>
      <c r="N1208" s="11">
        <v>2014</v>
      </c>
      <c r="O1208" s="15"/>
      <c r="P1208" s="8">
        <v>45043</v>
      </c>
      <c r="Q1208" s="8"/>
      <c r="R1208" s="8"/>
      <c r="S1208" s="8"/>
      <c r="T1208" s="8"/>
      <c r="U1208" s="8"/>
      <c r="V1208" s="8"/>
      <c r="W1208" s="8"/>
      <c r="X1208" s="8"/>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U1208" s="8"/>
      <c r="AV1208" s="8"/>
      <c r="AW1208" s="8"/>
      <c r="AX1208" s="4" t="s">
        <v>38</v>
      </c>
      <c r="AY1208" s="5" t="s">
        <v>5469</v>
      </c>
      <c r="AZ1208" s="5" t="s">
        <v>38</v>
      </c>
      <c r="BA1208" s="12"/>
      <c r="BB1208" s="12"/>
      <c r="BC1208" s="12"/>
      <c r="BD1208" s="11">
        <v>0</v>
      </c>
      <c r="BE1208" s="11">
        <v>0</v>
      </c>
    </row>
    <row x14ac:dyDescent="0.25" r="1209" customHeight="1" ht="17.25">
      <c r="A1209" s="11">
        <v>305483</v>
      </c>
      <c r="B1209" s="4" t="s">
        <v>5470</v>
      </c>
      <c r="C1209" s="5" t="s">
        <v>5471</v>
      </c>
      <c r="D1209" s="5" t="s">
        <v>5472</v>
      </c>
      <c r="E1209" s="12"/>
      <c r="F1209" s="13">
        <f>"0198614535"</f>
      </c>
      <c r="G1209" s="13">
        <f>"9780198614531"</f>
      </c>
      <c r="H1209" s="11">
        <v>0</v>
      </c>
      <c r="I1209" s="14">
        <v>4.17</v>
      </c>
      <c r="J1209" s="7" t="s">
        <v>245</v>
      </c>
      <c r="K1209" s="5" t="s">
        <v>72</v>
      </c>
      <c r="L1209" s="11">
        <v>1184</v>
      </c>
      <c r="M1209" s="11">
        <v>2006</v>
      </c>
      <c r="N1209" s="11">
        <v>1985</v>
      </c>
      <c r="O1209" s="15"/>
      <c r="P1209" s="8">
        <v>45116</v>
      </c>
      <c r="Q1209" s="8"/>
      <c r="R1209" s="8"/>
      <c r="S1209" s="8"/>
      <c r="T1209" s="8"/>
      <c r="U1209" s="8"/>
      <c r="V1209" s="8"/>
      <c r="W1209" s="8"/>
      <c r="X1209" s="8"/>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U1209" s="8"/>
      <c r="AV1209" s="8"/>
      <c r="AW1209" s="8"/>
      <c r="AX1209" s="4" t="s">
        <v>38</v>
      </c>
      <c r="AY1209" s="5" t="s">
        <v>5473</v>
      </c>
      <c r="AZ1209" s="5" t="s">
        <v>38</v>
      </c>
      <c r="BA1209" s="12"/>
      <c r="BB1209" s="12"/>
      <c r="BC1209" s="12"/>
      <c r="BD1209" s="11">
        <v>0</v>
      </c>
      <c r="BE1209" s="11">
        <v>0</v>
      </c>
    </row>
    <row x14ac:dyDescent="0.25" r="1210" customHeight="1" ht="17.25">
      <c r="A1210" s="11">
        <v>301227</v>
      </c>
      <c r="B1210" s="4" t="s">
        <v>5474</v>
      </c>
      <c r="C1210" s="5" t="s">
        <v>5475</v>
      </c>
      <c r="D1210" s="5" t="s">
        <v>5476</v>
      </c>
      <c r="E1210" s="5" t="s">
        <v>5477</v>
      </c>
      <c r="F1210" s="13">
        <f>"0198606419"</f>
      </c>
      <c r="G1210" s="13">
        <f>"9780198606413"</f>
      </c>
      <c r="H1210" s="11">
        <v>0</v>
      </c>
      <c r="I1210" s="14">
        <v>4.65</v>
      </c>
      <c r="J1210" s="7" t="s">
        <v>1215</v>
      </c>
      <c r="K1210" s="5" t="s">
        <v>72</v>
      </c>
      <c r="L1210" s="11">
        <v>1704</v>
      </c>
      <c r="M1210" s="11">
        <v>2003</v>
      </c>
      <c r="N1210" s="11">
        <v>1949</v>
      </c>
      <c r="O1210" s="15"/>
      <c r="P1210" s="8">
        <v>45115</v>
      </c>
      <c r="Q1210" s="8"/>
      <c r="R1210" s="8"/>
      <c r="S1210" s="8"/>
      <c r="T1210" s="8"/>
      <c r="U1210" s="8"/>
      <c r="V1210" s="8"/>
      <c r="W1210" s="8"/>
      <c r="X1210" s="8"/>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U1210" s="8"/>
      <c r="AV1210" s="8"/>
      <c r="AW1210" s="8"/>
      <c r="AX1210" s="4" t="s">
        <v>2566</v>
      </c>
      <c r="AY1210" s="5" t="s">
        <v>5478</v>
      </c>
      <c r="AZ1210" s="5" t="s">
        <v>38</v>
      </c>
      <c r="BA1210" s="12"/>
      <c r="BB1210" s="12"/>
      <c r="BC1210" s="12"/>
      <c r="BD1210" s="11">
        <v>0</v>
      </c>
      <c r="BE1210" s="11">
        <v>0</v>
      </c>
    </row>
    <row x14ac:dyDescent="0.25" r="1211" customHeight="1" ht="17.25">
      <c r="A1211" s="11">
        <v>41363</v>
      </c>
      <c r="B1211" s="4" t="s">
        <v>5479</v>
      </c>
      <c r="C1211" s="5" t="s">
        <v>5480</v>
      </c>
      <c r="D1211" s="5" t="s">
        <v>5481</v>
      </c>
      <c r="E1211" s="12"/>
      <c r="F1211" s="13">
        <f>"0452273080"</f>
      </c>
      <c r="G1211" s="13">
        <f>"9780452273085"</f>
      </c>
      <c r="H1211" s="11">
        <v>0</v>
      </c>
      <c r="I1211" s="14">
        <v>4.47</v>
      </c>
      <c r="J1211" s="7" t="s">
        <v>751</v>
      </c>
      <c r="K1211" s="5" t="s">
        <v>60</v>
      </c>
      <c r="L1211" s="11">
        <v>1312</v>
      </c>
      <c r="M1211" s="11">
        <v>1996</v>
      </c>
      <c r="N1211" s="11">
        <v>1994</v>
      </c>
      <c r="O1211" s="15"/>
      <c r="P1211" s="8">
        <v>45123</v>
      </c>
      <c r="Q1211" s="8"/>
      <c r="R1211" s="8"/>
      <c r="S1211" s="8"/>
      <c r="T1211" s="8"/>
      <c r="U1211" s="8"/>
      <c r="V1211" s="8"/>
      <c r="W1211" s="8"/>
      <c r="X1211" s="8"/>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U1211" s="8"/>
      <c r="AV1211" s="8"/>
      <c r="AW1211" s="8"/>
      <c r="AX1211" s="4" t="s">
        <v>38</v>
      </c>
      <c r="AY1211" s="5" t="s">
        <v>5482</v>
      </c>
      <c r="AZ1211" s="5" t="s">
        <v>38</v>
      </c>
      <c r="BA1211" s="12"/>
      <c r="BB1211" s="12"/>
      <c r="BC1211" s="12"/>
      <c r="BD1211" s="11">
        <v>0</v>
      </c>
      <c r="BE1211" s="11">
        <v>0</v>
      </c>
    </row>
    <row x14ac:dyDescent="0.25" r="1212" customHeight="1" ht="17.25">
      <c r="A1212" s="11">
        <v>393711</v>
      </c>
      <c r="B1212" s="4" t="s">
        <v>5483</v>
      </c>
      <c r="C1212" s="5" t="s">
        <v>5484</v>
      </c>
      <c r="D1212" s="5" t="s">
        <v>5485</v>
      </c>
      <c r="E1212" s="12"/>
      <c r="F1212" s="13">
        <f>"1557000026"</f>
      </c>
      <c r="G1212" s="13">
        <f>"9781557000026"</f>
      </c>
      <c r="H1212" s="11">
        <v>0</v>
      </c>
      <c r="I1212" s="14">
        <v>3.94</v>
      </c>
      <c r="J1212" s="7" t="s">
        <v>5486</v>
      </c>
      <c r="K1212" s="5" t="s">
        <v>60</v>
      </c>
      <c r="L1212" s="11">
        <v>1571</v>
      </c>
      <c r="M1212" s="11">
        <v>1999</v>
      </c>
      <c r="N1212" s="11">
        <v>1888</v>
      </c>
      <c r="O1212" s="15"/>
      <c r="P1212" s="8">
        <v>44959</v>
      </c>
      <c r="Q1212" s="8"/>
      <c r="R1212" s="8"/>
      <c r="S1212" s="8"/>
      <c r="T1212" s="8"/>
      <c r="U1212" s="8"/>
      <c r="V1212" s="8"/>
      <c r="W1212" s="8"/>
      <c r="X1212" s="8"/>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U1212" s="8"/>
      <c r="AV1212" s="8"/>
      <c r="AW1212" s="8"/>
      <c r="AX1212" s="4" t="s">
        <v>38</v>
      </c>
      <c r="AY1212" s="5" t="s">
        <v>5487</v>
      </c>
      <c r="AZ1212" s="5" t="s">
        <v>38</v>
      </c>
      <c r="BA1212" s="12"/>
      <c r="BB1212" s="12"/>
      <c r="BC1212" s="12"/>
      <c r="BD1212" s="11">
        <v>0</v>
      </c>
      <c r="BE1212" s="11">
        <v>0</v>
      </c>
    </row>
    <row x14ac:dyDescent="0.25" r="1213" customHeight="1" ht="17.25">
      <c r="A1213" s="11">
        <v>874941</v>
      </c>
      <c r="B1213" s="4" t="s">
        <v>5488</v>
      </c>
      <c r="C1213" s="5" t="s">
        <v>5489</v>
      </c>
      <c r="D1213" s="5" t="s">
        <v>5490</v>
      </c>
      <c r="E1213" s="5" t="s">
        <v>5491</v>
      </c>
      <c r="F1213" s="13">
        <f>"0550142304"</f>
      </c>
      <c r="G1213" s="13">
        <f>"9780550142306"</f>
      </c>
      <c r="H1213" s="11">
        <v>0</v>
      </c>
      <c r="I1213" s="14">
        <v>4.49</v>
      </c>
      <c r="J1213" s="7" t="s">
        <v>5492</v>
      </c>
      <c r="K1213" s="5" t="s">
        <v>72</v>
      </c>
      <c r="L1213" s="11">
        <v>1320</v>
      </c>
      <c r="M1213" s="11">
        <v>1999</v>
      </c>
      <c r="N1213" s="11">
        <v>1988</v>
      </c>
      <c r="O1213" s="15"/>
      <c r="P1213" s="8">
        <v>44455</v>
      </c>
      <c r="Q1213" s="8"/>
      <c r="R1213" s="8"/>
      <c r="S1213" s="8"/>
      <c r="T1213" s="8"/>
      <c r="U1213" s="8"/>
      <c r="V1213" s="8"/>
      <c r="W1213" s="8"/>
      <c r="X1213" s="8"/>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U1213" s="8"/>
      <c r="AV1213" s="8"/>
      <c r="AW1213" s="8"/>
      <c r="AX1213" s="4" t="s">
        <v>2566</v>
      </c>
      <c r="AY1213" s="5" t="s">
        <v>5493</v>
      </c>
      <c r="AZ1213" s="5" t="s">
        <v>38</v>
      </c>
      <c r="BA1213" s="12"/>
      <c r="BB1213" s="12"/>
      <c r="BC1213" s="12"/>
      <c r="BD1213" s="11">
        <v>0</v>
      </c>
      <c r="BE1213" s="11">
        <v>0</v>
      </c>
    </row>
    <row x14ac:dyDescent="0.25" r="1214" customHeight="1" ht="17.25">
      <c r="A1214" s="11">
        <v>228263</v>
      </c>
      <c r="B1214" s="4" t="s">
        <v>5494</v>
      </c>
      <c r="C1214" s="5" t="s">
        <v>5495</v>
      </c>
      <c r="D1214" s="5" t="s">
        <v>5496</v>
      </c>
      <c r="E1214" s="5" t="s">
        <v>5497</v>
      </c>
      <c r="F1214" s="13">
        <f>"0140513639"</f>
      </c>
      <c r="G1214" s="13">
        <f>"9780140513639"</f>
      </c>
      <c r="H1214" s="11">
        <v>0</v>
      </c>
      <c r="I1214" s="14">
        <v>4.17</v>
      </c>
      <c r="J1214" s="7" t="s">
        <v>491</v>
      </c>
      <c r="K1214" s="5" t="s">
        <v>60</v>
      </c>
      <c r="L1214" s="11">
        <v>1024</v>
      </c>
      <c r="M1214" s="11">
        <v>2000</v>
      </c>
      <c r="N1214" s="11">
        <v>1982</v>
      </c>
      <c r="O1214" s="15"/>
      <c r="P1214" s="8">
        <v>44455</v>
      </c>
      <c r="Q1214" s="8"/>
      <c r="R1214" s="8"/>
      <c r="S1214" s="8"/>
      <c r="T1214" s="8"/>
      <c r="U1214" s="8"/>
      <c r="V1214" s="8"/>
      <c r="W1214" s="8"/>
      <c r="X1214" s="8"/>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4" t="s">
        <v>38</v>
      </c>
      <c r="AY1214" s="5" t="s">
        <v>5498</v>
      </c>
      <c r="AZ1214" s="5" t="s">
        <v>38</v>
      </c>
      <c r="BA1214" s="12"/>
      <c r="BB1214" s="12"/>
      <c r="BC1214" s="12"/>
      <c r="BD1214" s="11">
        <v>0</v>
      </c>
      <c r="BE1214" s="11">
        <v>0</v>
      </c>
    </row>
    <row x14ac:dyDescent="0.25" r="1215" customHeight="1" ht="17.25">
      <c r="A1215" s="11">
        <v>31923</v>
      </c>
      <c r="B1215" s="4" t="s">
        <v>5499</v>
      </c>
      <c r="C1215" s="5" t="s">
        <v>5500</v>
      </c>
      <c r="D1215" s="5" t="s">
        <v>5501</v>
      </c>
      <c r="E1215" s="5" t="s">
        <v>5502</v>
      </c>
      <c r="F1215" s="13">
        <f>"0875428320"</f>
      </c>
      <c r="G1215" s="13">
        <f>"9780875428321"</f>
      </c>
      <c r="H1215" s="11">
        <v>0</v>
      </c>
      <c r="I1215" s="14">
        <v>4.1</v>
      </c>
      <c r="J1215" s="7" t="s">
        <v>646</v>
      </c>
      <c r="K1215" s="5" t="s">
        <v>60</v>
      </c>
      <c r="L1215" s="11">
        <v>1024</v>
      </c>
      <c r="M1215" s="11">
        <v>1992</v>
      </c>
      <c r="N1215" s="11">
        <v>1510</v>
      </c>
      <c r="O1215" s="15"/>
      <c r="P1215" s="8">
        <v>43957</v>
      </c>
      <c r="Q1215" s="8"/>
      <c r="R1215" s="8"/>
      <c r="S1215" s="8"/>
      <c r="T1215" s="8"/>
      <c r="U1215" s="8"/>
      <c r="V1215" s="8"/>
      <c r="W1215" s="8"/>
      <c r="X1215" s="8"/>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U1215" s="8"/>
      <c r="AV1215" s="8"/>
      <c r="AW1215" s="8"/>
      <c r="AX1215" s="4" t="s">
        <v>38</v>
      </c>
      <c r="AY1215" s="5" t="s">
        <v>5503</v>
      </c>
      <c r="AZ1215" s="5" t="s">
        <v>38</v>
      </c>
      <c r="BA1215" s="12"/>
      <c r="BB1215" s="12"/>
      <c r="BC1215" s="12"/>
      <c r="BD1215" s="11">
        <v>0</v>
      </c>
      <c r="BE1215" s="11">
        <v>0</v>
      </c>
    </row>
    <row x14ac:dyDescent="0.25" r="1216" customHeight="1" ht="17.25">
      <c r="A1216" s="11">
        <v>34129245</v>
      </c>
      <c r="B1216" s="4" t="s">
        <v>5504</v>
      </c>
      <c r="C1216" s="5" t="s">
        <v>5505</v>
      </c>
      <c r="D1216" s="5" t="s">
        <v>5506</v>
      </c>
      <c r="E1216" s="12"/>
      <c r="F1216" s="13">
        <f>"0802124917"</f>
      </c>
      <c r="G1216" s="13">
        <f>"9780802124913"</f>
      </c>
      <c r="H1216" s="11">
        <v>0</v>
      </c>
      <c r="I1216" s="14">
        <v>2.98</v>
      </c>
      <c r="J1216" s="7" t="s">
        <v>66</v>
      </c>
      <c r="K1216" s="5" t="s">
        <v>72</v>
      </c>
      <c r="L1216" s="11">
        <v>1660</v>
      </c>
      <c r="M1216" s="11">
        <v>2017</v>
      </c>
      <c r="N1216" s="11">
        <v>2017</v>
      </c>
      <c r="O1216" s="15"/>
      <c r="P1216" s="8">
        <v>44227</v>
      </c>
      <c r="Q1216" s="8"/>
      <c r="R1216" s="8"/>
      <c r="S1216" s="8"/>
      <c r="T1216" s="8"/>
      <c r="U1216" s="8"/>
      <c r="V1216" s="8"/>
      <c r="W1216" s="8"/>
      <c r="X1216" s="8"/>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U1216" s="8"/>
      <c r="AV1216" s="8"/>
      <c r="AW1216" s="8"/>
      <c r="AX1216" s="4" t="s">
        <v>38</v>
      </c>
      <c r="AY1216" s="5" t="s">
        <v>5507</v>
      </c>
      <c r="AZ1216" s="5" t="s">
        <v>38</v>
      </c>
      <c r="BA1216" s="12"/>
      <c r="BB1216" s="12"/>
      <c r="BC1216" s="12"/>
      <c r="BD1216" s="11">
        <v>0</v>
      </c>
      <c r="BE1216" s="11">
        <v>0</v>
      </c>
    </row>
    <row x14ac:dyDescent="0.25" r="1217" customHeight="1" ht="17.25">
      <c r="A1217" s="11">
        <v>44042</v>
      </c>
      <c r="B1217" s="4" t="s">
        <v>5508</v>
      </c>
      <c r="C1217" s="5" t="s">
        <v>3939</v>
      </c>
      <c r="D1217" s="5" t="s">
        <v>3940</v>
      </c>
      <c r="E1217" s="12"/>
      <c r="F1217" s="13">
        <f>"8423338738"</f>
      </c>
      <c r="G1217" s="13">
        <f>"9788423338733"</f>
      </c>
      <c r="H1217" s="11">
        <v>0</v>
      </c>
      <c r="I1217" s="14">
        <v>4.4</v>
      </c>
      <c r="J1217" s="7" t="s">
        <v>5509</v>
      </c>
      <c r="K1217" s="5" t="s">
        <v>72</v>
      </c>
      <c r="L1217" s="11">
        <v>1664</v>
      </c>
      <c r="M1217" s="11">
        <v>2006</v>
      </c>
      <c r="N1217" s="11">
        <v>2006</v>
      </c>
      <c r="O1217" s="15"/>
      <c r="P1217" s="8">
        <v>44094</v>
      </c>
      <c r="Q1217" s="8"/>
      <c r="R1217" s="8"/>
      <c r="S1217" s="8"/>
      <c r="T1217" s="8"/>
      <c r="U1217" s="8"/>
      <c r="V1217" s="8"/>
      <c r="W1217" s="8"/>
      <c r="X1217" s="8"/>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U1217" s="8"/>
      <c r="AV1217" s="8"/>
      <c r="AW1217" s="8"/>
      <c r="AX1217" s="4" t="s">
        <v>38</v>
      </c>
      <c r="AY1217" s="5" t="s">
        <v>5510</v>
      </c>
      <c r="AZ1217" s="5" t="s">
        <v>38</v>
      </c>
      <c r="BA1217" s="12"/>
      <c r="BB1217" s="12"/>
      <c r="BC1217" s="12"/>
      <c r="BD1217" s="11">
        <v>0</v>
      </c>
      <c r="BE1217" s="11">
        <v>0</v>
      </c>
    </row>
    <row x14ac:dyDescent="0.25" r="1218" customHeight="1" ht="17.25">
      <c r="A1218" s="11">
        <v>12078712</v>
      </c>
      <c r="B1218" s="4" t="s">
        <v>5511</v>
      </c>
      <c r="C1218" s="5" t="s">
        <v>5512</v>
      </c>
      <c r="D1218" s="5" t="s">
        <v>5513</v>
      </c>
      <c r="E1218" s="12"/>
      <c r="F1218" s="13">
        <f>"9681678753"</f>
      </c>
      <c r="G1218" s="13">
        <f>"9789681678753"</f>
      </c>
      <c r="H1218" s="11">
        <v>0</v>
      </c>
      <c r="I1218" s="14">
        <v>3.89</v>
      </c>
      <c r="J1218" s="7" t="s">
        <v>5514</v>
      </c>
      <c r="K1218" s="5" t="s">
        <v>60</v>
      </c>
      <c r="L1218" s="11">
        <v>449</v>
      </c>
      <c r="M1218" s="11">
        <v>2007</v>
      </c>
      <c r="N1218" s="11">
        <v>1984</v>
      </c>
      <c r="O1218" s="15"/>
      <c r="P1218" s="8">
        <v>45129</v>
      </c>
      <c r="Q1218" s="8"/>
      <c r="R1218" s="8"/>
      <c r="S1218" s="8"/>
      <c r="T1218" s="8"/>
      <c r="U1218" s="8"/>
      <c r="V1218" s="8"/>
      <c r="W1218" s="8"/>
      <c r="X1218" s="8"/>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U1218" s="8"/>
      <c r="AV1218" s="8"/>
      <c r="AW1218" s="8"/>
      <c r="AX1218" s="4" t="s">
        <v>5320</v>
      </c>
      <c r="AY1218" s="5" t="s">
        <v>5515</v>
      </c>
      <c r="AZ1218" s="5" t="s">
        <v>38</v>
      </c>
      <c r="BA1218" s="12"/>
      <c r="BB1218" s="12"/>
      <c r="BC1218" s="12"/>
      <c r="BD1218" s="11">
        <v>0</v>
      </c>
      <c r="BE1218" s="11">
        <v>0</v>
      </c>
    </row>
    <row x14ac:dyDescent="0.25" r="1219" customHeight="1" ht="17.25">
      <c r="A1219" s="11">
        <v>26014318</v>
      </c>
      <c r="B1219" s="4" t="s">
        <v>5516</v>
      </c>
      <c r="C1219" s="5" t="s">
        <v>5517</v>
      </c>
      <c r="D1219" s="5" t="s">
        <v>5518</v>
      </c>
      <c r="E1219" s="12"/>
      <c r="F1219" s="13">
        <f>"9871156936"</f>
      </c>
      <c r="G1219" s="13">
        <f>"9789871156931"</f>
      </c>
      <c r="H1219" s="11">
        <v>0</v>
      </c>
      <c r="I1219" s="14">
        <v>4.47</v>
      </c>
      <c r="J1219" s="7" t="s">
        <v>5519</v>
      </c>
      <c r="K1219" s="5" t="s">
        <v>60</v>
      </c>
      <c r="L1219" s="11">
        <v>672</v>
      </c>
      <c r="M1219" s="11">
        <v>2008</v>
      </c>
      <c r="N1219" s="11">
        <v>2000</v>
      </c>
      <c r="O1219" s="15"/>
      <c r="P1219" s="8">
        <v>45129</v>
      </c>
      <c r="Q1219" s="8"/>
      <c r="R1219" s="8"/>
      <c r="S1219" s="8"/>
      <c r="T1219" s="8"/>
      <c r="U1219" s="8"/>
      <c r="V1219" s="8"/>
      <c r="W1219" s="8"/>
      <c r="X1219" s="8"/>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U1219" s="8"/>
      <c r="AV1219" s="8"/>
      <c r="AW1219" s="8"/>
      <c r="AX1219" s="4" t="s">
        <v>5320</v>
      </c>
      <c r="AY1219" s="5" t="s">
        <v>5520</v>
      </c>
      <c r="AZ1219" s="5" t="s">
        <v>38</v>
      </c>
      <c r="BA1219" s="12"/>
      <c r="BB1219" s="12"/>
      <c r="BC1219" s="12"/>
      <c r="BD1219" s="11">
        <v>0</v>
      </c>
      <c r="BE1219" s="11">
        <v>0</v>
      </c>
    </row>
    <row x14ac:dyDescent="0.25" r="1220" customHeight="1" ht="17.25">
      <c r="A1220" s="11">
        <v>473557</v>
      </c>
      <c r="B1220" s="4" t="s">
        <v>5521</v>
      </c>
      <c r="C1220" s="5" t="s">
        <v>5522</v>
      </c>
      <c r="D1220" s="5" t="s">
        <v>5523</v>
      </c>
      <c r="E1220" s="12"/>
      <c r="F1220" s="13">
        <f>"0811201449"</f>
      </c>
      <c r="G1220" s="13">
        <f>"9780811201445"</f>
      </c>
      <c r="H1220" s="11">
        <v>0</v>
      </c>
      <c r="I1220" s="14">
        <v>4.21</v>
      </c>
      <c r="J1220" s="7" t="s">
        <v>126</v>
      </c>
      <c r="K1220" s="5" t="s">
        <v>60</v>
      </c>
      <c r="L1220" s="11">
        <v>313</v>
      </c>
      <c r="M1220" s="11">
        <v>1961</v>
      </c>
      <c r="N1220" s="11">
        <v>1941</v>
      </c>
      <c r="O1220" s="15"/>
      <c r="P1220" s="8">
        <v>45129</v>
      </c>
      <c r="Q1220" s="8"/>
      <c r="R1220" s="8"/>
      <c r="S1220" s="8"/>
      <c r="T1220" s="8"/>
      <c r="U1220" s="8"/>
      <c r="V1220" s="8"/>
      <c r="W1220" s="8"/>
      <c r="X1220" s="8"/>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4" t="s">
        <v>5320</v>
      </c>
      <c r="AY1220" s="5" t="s">
        <v>5524</v>
      </c>
      <c r="AZ1220" s="5" t="s">
        <v>38</v>
      </c>
      <c r="BA1220" s="12"/>
      <c r="BB1220" s="12"/>
      <c r="BC1220" s="12"/>
      <c r="BD1220" s="11">
        <v>0</v>
      </c>
      <c r="BE1220" s="11">
        <v>0</v>
      </c>
    </row>
    <row x14ac:dyDescent="0.25" r="1221" customHeight="1" ht="17.25">
      <c r="A1221" s="11">
        <v>775155</v>
      </c>
      <c r="B1221" s="4" t="s">
        <v>5525</v>
      </c>
      <c r="C1221" s="5" t="s">
        <v>5526</v>
      </c>
      <c r="D1221" s="5" t="s">
        <v>5527</v>
      </c>
      <c r="E1221" s="5" t="s">
        <v>486</v>
      </c>
      <c r="F1221" s="13">
        <f>"0156319357"</f>
      </c>
      <c r="G1221" s="13">
        <f>"9780156319355"</f>
      </c>
      <c r="H1221" s="11">
        <v>0</v>
      </c>
      <c r="I1221" s="14">
        <v>3.78</v>
      </c>
      <c r="J1221" s="7" t="s">
        <v>3118</v>
      </c>
      <c r="K1221" s="5" t="s">
        <v>60</v>
      </c>
      <c r="L1221" s="11">
        <v>547</v>
      </c>
      <c r="M1221" s="11">
        <v>1989</v>
      </c>
      <c r="N1221" s="11">
        <v>1977</v>
      </c>
      <c r="O1221" s="15"/>
      <c r="P1221" s="8">
        <v>45129</v>
      </c>
      <c r="Q1221" s="8"/>
      <c r="R1221" s="8"/>
      <c r="S1221" s="8"/>
      <c r="T1221" s="8"/>
      <c r="U1221" s="8"/>
      <c r="V1221" s="8"/>
      <c r="W1221" s="8"/>
      <c r="X1221" s="8"/>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U1221" s="8"/>
      <c r="AV1221" s="8"/>
      <c r="AW1221" s="8"/>
      <c r="AX1221" s="4" t="s">
        <v>5320</v>
      </c>
      <c r="AY1221" s="5" t="s">
        <v>5528</v>
      </c>
      <c r="AZ1221" s="5" t="s">
        <v>38</v>
      </c>
      <c r="BA1221" s="12"/>
      <c r="BB1221" s="12"/>
      <c r="BC1221" s="12"/>
      <c r="BD1221" s="11">
        <v>0</v>
      </c>
      <c r="BE1221" s="11">
        <v>0</v>
      </c>
    </row>
    <row x14ac:dyDescent="0.25" r="1222" customHeight="1" ht="17.25">
      <c r="A1222" s="11">
        <v>1382558</v>
      </c>
      <c r="B1222" s="4" t="s">
        <v>5529</v>
      </c>
      <c r="C1222" s="5" t="s">
        <v>5530</v>
      </c>
      <c r="D1222" s="5" t="s">
        <v>5531</v>
      </c>
      <c r="E1222" s="5" t="s">
        <v>1699</v>
      </c>
      <c r="F1222" s="13">
        <f>"0807605794"</f>
      </c>
      <c r="G1222" s="13">
        <f>"9780807605790"</f>
      </c>
      <c r="H1222" s="11">
        <v>0</v>
      </c>
      <c r="I1222" s="14">
        <v>4.35</v>
      </c>
      <c r="J1222" s="7" t="s">
        <v>5532</v>
      </c>
      <c r="K1222" s="5" t="s">
        <v>72</v>
      </c>
      <c r="L1222" s="16"/>
      <c r="M1222" s="11">
        <v>1971</v>
      </c>
      <c r="N1222" s="11">
        <v>1969</v>
      </c>
      <c r="O1222" s="15"/>
      <c r="P1222" s="8">
        <v>45129</v>
      </c>
      <c r="Q1222" s="8"/>
      <c r="R1222" s="8"/>
      <c r="S1222" s="8"/>
      <c r="T1222" s="8"/>
      <c r="U1222" s="8"/>
      <c r="V1222" s="8"/>
      <c r="W1222" s="8"/>
      <c r="X1222" s="8"/>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U1222" s="8"/>
      <c r="AV1222" s="8"/>
      <c r="AW1222" s="8"/>
      <c r="AX1222" s="4" t="s">
        <v>5320</v>
      </c>
      <c r="AY1222" s="5" t="s">
        <v>5533</v>
      </c>
      <c r="AZ1222" s="5" t="s">
        <v>38</v>
      </c>
      <c r="BA1222" s="12"/>
      <c r="BB1222" s="12"/>
      <c r="BC1222" s="12"/>
      <c r="BD1222" s="11">
        <v>0</v>
      </c>
      <c r="BE1222" s="11">
        <v>0</v>
      </c>
    </row>
    <row x14ac:dyDescent="0.25" r="1223" customHeight="1" ht="17.25">
      <c r="A1223" s="11">
        <v>90994</v>
      </c>
      <c r="B1223" s="4" t="s">
        <v>5534</v>
      </c>
      <c r="C1223" s="5" t="s">
        <v>5535</v>
      </c>
      <c r="D1223" s="5" t="s">
        <v>5536</v>
      </c>
      <c r="E1223" s="12"/>
      <c r="F1223" s="13">
        <f>"0811210030"</f>
      </c>
      <c r="G1223" s="13">
        <f>"9780811210034"</f>
      </c>
      <c r="H1223" s="11">
        <v>0</v>
      </c>
      <c r="I1223" s="14">
        <v>3.82</v>
      </c>
      <c r="J1223" s="7" t="s">
        <v>126</v>
      </c>
      <c r="K1223" s="5" t="s">
        <v>60</v>
      </c>
      <c r="L1223" s="11">
        <v>180</v>
      </c>
      <c r="M1223" s="11">
        <v>1987</v>
      </c>
      <c r="N1223" s="11">
        <v>1964</v>
      </c>
      <c r="O1223" s="15"/>
      <c r="P1223" s="8">
        <v>45129</v>
      </c>
      <c r="Q1223" s="8"/>
      <c r="R1223" s="8"/>
      <c r="S1223" s="8"/>
      <c r="T1223" s="8"/>
      <c r="U1223" s="8"/>
      <c r="V1223" s="8"/>
      <c r="W1223" s="8"/>
      <c r="X1223" s="8"/>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U1223" s="8"/>
      <c r="AV1223" s="8"/>
      <c r="AW1223" s="8"/>
      <c r="AX1223" s="4" t="s">
        <v>5320</v>
      </c>
      <c r="AY1223" s="5" t="s">
        <v>5537</v>
      </c>
      <c r="AZ1223" s="5" t="s">
        <v>38</v>
      </c>
      <c r="BA1223" s="12"/>
      <c r="BB1223" s="12"/>
      <c r="BC1223" s="12"/>
      <c r="BD1223" s="11">
        <v>0</v>
      </c>
      <c r="BE1223" s="11">
        <v>0</v>
      </c>
    </row>
    <row x14ac:dyDescent="0.25" r="1224" customHeight="1" ht="17.25">
      <c r="A1224" s="11">
        <v>4413184</v>
      </c>
      <c r="B1224" s="4" t="s">
        <v>5538</v>
      </c>
      <c r="C1224" s="5" t="s">
        <v>5539</v>
      </c>
      <c r="D1224" s="5" t="s">
        <v>5540</v>
      </c>
      <c r="E1224" s="12"/>
      <c r="F1224" s="13">
        <f>"1573661457"</f>
      </c>
      <c r="G1224" s="13">
        <f>"9781573661454"</f>
      </c>
      <c r="H1224" s="11">
        <v>0</v>
      </c>
      <c r="I1224" s="14">
        <v>3.97</v>
      </c>
      <c r="J1224" s="7" t="s">
        <v>5541</v>
      </c>
      <c r="K1224" s="5" t="s">
        <v>60</v>
      </c>
      <c r="L1224" s="11">
        <v>488</v>
      </c>
      <c r="M1224" s="11">
        <v>2008</v>
      </c>
      <c r="N1224" s="11">
        <v>2008</v>
      </c>
      <c r="O1224" s="15"/>
      <c r="P1224" s="8">
        <v>45129</v>
      </c>
      <c r="Q1224" s="8"/>
      <c r="R1224" s="8"/>
      <c r="S1224" s="8"/>
      <c r="T1224" s="8"/>
      <c r="U1224" s="8"/>
      <c r="V1224" s="8"/>
      <c r="W1224" s="8"/>
      <c r="X1224" s="8"/>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U1224" s="8"/>
      <c r="AV1224" s="8"/>
      <c r="AW1224" s="8"/>
      <c r="AX1224" s="4" t="s">
        <v>5320</v>
      </c>
      <c r="AY1224" s="5" t="s">
        <v>5542</v>
      </c>
      <c r="AZ1224" s="5" t="s">
        <v>38</v>
      </c>
      <c r="BA1224" s="12"/>
      <c r="BB1224" s="12"/>
      <c r="BC1224" s="12"/>
      <c r="BD1224" s="11">
        <v>0</v>
      </c>
      <c r="BE1224" s="11">
        <v>0</v>
      </c>
    </row>
    <row x14ac:dyDescent="0.25" r="1225" customHeight="1" ht="17.25">
      <c r="A1225" s="11">
        <v>28294</v>
      </c>
      <c r="B1225" s="4" t="s">
        <v>5543</v>
      </c>
      <c r="C1225" s="5" t="s">
        <v>5544</v>
      </c>
      <c r="D1225" s="5" t="s">
        <v>5545</v>
      </c>
      <c r="E1225" s="5" t="s">
        <v>5546</v>
      </c>
      <c r="F1225" s="13">
        <f>"1567922961"</f>
      </c>
      <c r="G1225" s="13">
        <f>"9781567922967"</f>
      </c>
      <c r="H1225" s="11">
        <v>0</v>
      </c>
      <c r="I1225" s="14">
        <v>3.77</v>
      </c>
      <c r="J1225" s="7" t="s">
        <v>3094</v>
      </c>
      <c r="K1225" s="5" t="s">
        <v>60</v>
      </c>
      <c r="L1225" s="11">
        <v>284</v>
      </c>
      <c r="M1225" s="11">
        <v>2005</v>
      </c>
      <c r="N1225" s="11">
        <v>1969</v>
      </c>
      <c r="O1225" s="15"/>
      <c r="P1225" s="9">
        <v>41601</v>
      </c>
      <c r="Q1225" s="9"/>
      <c r="R1225" s="9"/>
      <c r="S1225" s="9"/>
      <c r="T1225" s="9"/>
      <c r="U1225" s="9"/>
      <c r="V1225" s="9"/>
      <c r="W1225" s="9"/>
      <c r="X1225" s="9"/>
      <c r="Y1225" s="9"/>
      <c r="Z1225" s="9"/>
      <c r="AA1225" s="9"/>
      <c r="AB1225" s="9"/>
      <c r="AC1225" s="9"/>
      <c r="AD1225" s="9"/>
      <c r="AE1225" s="9"/>
      <c r="AF1225" s="9"/>
      <c r="AG1225" s="9"/>
      <c r="AH1225" s="9"/>
      <c r="AI1225" s="9"/>
      <c r="AJ1225" s="9"/>
      <c r="AK1225" s="9"/>
      <c r="AL1225" s="9"/>
      <c r="AM1225" s="9"/>
      <c r="AN1225" s="9"/>
      <c r="AO1225" s="9"/>
      <c r="AP1225" s="9"/>
      <c r="AQ1225" s="9"/>
      <c r="AR1225" s="9"/>
      <c r="AS1225" s="9"/>
      <c r="AT1225" s="9"/>
      <c r="AU1225" s="9"/>
      <c r="AV1225" s="9"/>
      <c r="AW1225" s="9"/>
      <c r="AX1225" s="4" t="s">
        <v>5320</v>
      </c>
      <c r="AY1225" s="5" t="s">
        <v>5547</v>
      </c>
      <c r="AZ1225" s="5" t="s">
        <v>38</v>
      </c>
      <c r="BA1225" s="12"/>
      <c r="BB1225" s="12"/>
      <c r="BC1225" s="12"/>
      <c r="BD1225" s="11">
        <v>0</v>
      </c>
      <c r="BE1225" s="11">
        <v>0</v>
      </c>
    </row>
    <row x14ac:dyDescent="0.25" r="1226" customHeight="1" ht="17.25">
      <c r="A1226" s="11">
        <v>17832208</v>
      </c>
      <c r="B1226" s="4" t="s">
        <v>5548</v>
      </c>
      <c r="C1226" s="5" t="s">
        <v>5549</v>
      </c>
      <c r="D1226" s="5" t="s">
        <v>5550</v>
      </c>
      <c r="E1226" s="12"/>
      <c r="F1226" s="13">
        <f>""</f>
      </c>
      <c r="G1226" s="13">
        <f>""</f>
      </c>
      <c r="H1226" s="11">
        <v>0</v>
      </c>
      <c r="I1226" s="14">
        <v>3.91</v>
      </c>
      <c r="J1226" s="7" t="s">
        <v>5551</v>
      </c>
      <c r="K1226" s="5" t="s">
        <v>72</v>
      </c>
      <c r="L1226" s="11">
        <v>399</v>
      </c>
      <c r="M1226" s="11">
        <v>1966</v>
      </c>
      <c r="N1226" s="11">
        <v>1962</v>
      </c>
      <c r="O1226" s="15"/>
      <c r="P1226" s="8">
        <v>45129</v>
      </c>
      <c r="Q1226" s="8"/>
      <c r="R1226" s="8"/>
      <c r="S1226" s="8"/>
      <c r="T1226" s="8"/>
      <c r="U1226" s="8"/>
      <c r="V1226" s="8"/>
      <c r="W1226" s="8"/>
      <c r="X1226" s="8"/>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U1226" s="8"/>
      <c r="AV1226" s="8"/>
      <c r="AW1226" s="8"/>
      <c r="AX1226" s="4" t="s">
        <v>5320</v>
      </c>
      <c r="AY1226" s="5" t="s">
        <v>5552</v>
      </c>
      <c r="AZ1226" s="5" t="s">
        <v>38</v>
      </c>
      <c r="BA1226" s="12"/>
      <c r="BB1226" s="12"/>
      <c r="BC1226" s="12"/>
      <c r="BD1226" s="11">
        <v>0</v>
      </c>
      <c r="BE1226" s="11">
        <v>0</v>
      </c>
    </row>
    <row x14ac:dyDescent="0.25" r="1227" customHeight="1" ht="17.25">
      <c r="A1227" s="11">
        <v>9336187</v>
      </c>
      <c r="B1227" s="4" t="s">
        <v>5553</v>
      </c>
      <c r="C1227" s="5" t="s">
        <v>5554</v>
      </c>
      <c r="D1227" s="5" t="s">
        <v>5555</v>
      </c>
      <c r="E1227" s="12"/>
      <c r="F1227" s="13">
        <f>"1573661570"</f>
      </c>
      <c r="G1227" s="13">
        <f>"9781573661577"</f>
      </c>
      <c r="H1227" s="11">
        <v>0</v>
      </c>
      <c r="I1227" s="14">
        <v>4.5</v>
      </c>
      <c r="J1227" s="7" t="s">
        <v>5541</v>
      </c>
      <c r="K1227" s="5" t="s">
        <v>60</v>
      </c>
      <c r="L1227" s="11">
        <v>456</v>
      </c>
      <c r="M1227" s="11">
        <v>2010</v>
      </c>
      <c r="N1227" s="11">
        <v>2010</v>
      </c>
      <c r="O1227" s="15"/>
      <c r="P1227" s="8">
        <v>45129</v>
      </c>
      <c r="Q1227" s="8"/>
      <c r="R1227" s="8"/>
      <c r="S1227" s="8"/>
      <c r="T1227" s="8"/>
      <c r="U1227" s="8"/>
      <c r="V1227" s="8"/>
      <c r="W1227" s="8"/>
      <c r="X1227" s="8"/>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4" t="s">
        <v>5320</v>
      </c>
      <c r="AY1227" s="5" t="s">
        <v>5556</v>
      </c>
      <c r="AZ1227" s="5" t="s">
        <v>38</v>
      </c>
      <c r="BA1227" s="12"/>
      <c r="BB1227" s="12"/>
      <c r="BC1227" s="12"/>
      <c r="BD1227" s="11">
        <v>0</v>
      </c>
      <c r="BE1227" s="11">
        <v>0</v>
      </c>
    </row>
    <row x14ac:dyDescent="0.25" r="1228" customHeight="1" ht="17.25">
      <c r="A1228" s="11">
        <v>25330101</v>
      </c>
      <c r="B1228" s="4" t="s">
        <v>5557</v>
      </c>
      <c r="C1228" s="5" t="s">
        <v>5558</v>
      </c>
      <c r="D1228" s="5" t="s">
        <v>5559</v>
      </c>
      <c r="E1228" s="12"/>
      <c r="F1228" s="13">
        <f>"1617753963"</f>
      </c>
      <c r="G1228" s="13">
        <f>"9781617753961"</f>
      </c>
      <c r="H1228" s="11">
        <v>0</v>
      </c>
      <c r="I1228" s="14">
        <v>4.02</v>
      </c>
      <c r="J1228" s="7" t="s">
        <v>5560</v>
      </c>
      <c r="K1228" s="5" t="s">
        <v>60</v>
      </c>
      <c r="L1228" s="11">
        <v>160</v>
      </c>
      <c r="M1228" s="11">
        <v>2016</v>
      </c>
      <c r="N1228" s="11">
        <v>1965</v>
      </c>
      <c r="O1228" s="15"/>
      <c r="P1228" s="8">
        <v>45129</v>
      </c>
      <c r="Q1228" s="8"/>
      <c r="R1228" s="8"/>
      <c r="S1228" s="8"/>
      <c r="T1228" s="8"/>
      <c r="U1228" s="8"/>
      <c r="V1228" s="8"/>
      <c r="W1228" s="8"/>
      <c r="X1228" s="8"/>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U1228" s="8"/>
      <c r="AV1228" s="8"/>
      <c r="AW1228" s="8"/>
      <c r="AX1228" s="4" t="s">
        <v>5320</v>
      </c>
      <c r="AY1228" s="5" t="s">
        <v>5561</v>
      </c>
      <c r="AZ1228" s="5" t="s">
        <v>38</v>
      </c>
      <c r="BA1228" s="12"/>
      <c r="BB1228" s="12"/>
      <c r="BC1228" s="12"/>
      <c r="BD1228" s="11">
        <v>0</v>
      </c>
      <c r="BE1228" s="11">
        <v>0</v>
      </c>
    </row>
    <row x14ac:dyDescent="0.25" r="1229" customHeight="1" ht="17.25">
      <c r="A1229" s="11">
        <v>13547234</v>
      </c>
      <c r="B1229" s="4" t="s">
        <v>5562</v>
      </c>
      <c r="C1229" s="5" t="s">
        <v>5563</v>
      </c>
      <c r="D1229" s="5" t="s">
        <v>5564</v>
      </c>
      <c r="E1229" s="12"/>
      <c r="F1229" s="13">
        <f>"1451688385"</f>
      </c>
      <c r="G1229" s="13">
        <f>"9781451688382"</f>
      </c>
      <c r="H1229" s="11">
        <v>0</v>
      </c>
      <c r="I1229" s="14">
        <v>3.64</v>
      </c>
      <c r="J1229" s="7" t="s">
        <v>132</v>
      </c>
      <c r="K1229" s="5" t="s">
        <v>72</v>
      </c>
      <c r="L1229" s="11">
        <v>81</v>
      </c>
      <c r="M1229" s="11">
        <v>2012</v>
      </c>
      <c r="N1229" s="11">
        <v>2012</v>
      </c>
      <c r="O1229" s="15"/>
      <c r="P1229" s="8">
        <v>45129</v>
      </c>
      <c r="Q1229" s="8"/>
      <c r="R1229" s="8"/>
      <c r="S1229" s="8"/>
      <c r="T1229" s="8"/>
      <c r="U1229" s="8"/>
      <c r="V1229" s="8"/>
      <c r="W1229" s="8"/>
      <c r="X1229" s="8"/>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U1229" s="8"/>
      <c r="AV1229" s="8"/>
      <c r="AW1229" s="8"/>
      <c r="AX1229" s="4" t="s">
        <v>38</v>
      </c>
      <c r="AY1229" s="5" t="s">
        <v>5565</v>
      </c>
      <c r="AZ1229" s="5" t="s">
        <v>38</v>
      </c>
      <c r="BA1229" s="12"/>
      <c r="BB1229" s="12"/>
      <c r="BC1229" s="12"/>
      <c r="BD1229" s="11">
        <v>0</v>
      </c>
      <c r="BE1229" s="11">
        <v>0</v>
      </c>
    </row>
    <row x14ac:dyDescent="0.25" r="1230" customHeight="1" ht="17.25">
      <c r="A1230" s="11">
        <v>17694</v>
      </c>
      <c r="B1230" s="4" t="s">
        <v>5566</v>
      </c>
      <c r="C1230" s="5" t="s">
        <v>195</v>
      </c>
      <c r="D1230" s="5" t="s">
        <v>196</v>
      </c>
      <c r="E1230" s="5" t="s">
        <v>5567</v>
      </c>
      <c r="F1230" s="13">
        <f>"0805212078"</f>
      </c>
      <c r="G1230" s="13">
        <f>"9780805212075"</f>
      </c>
      <c r="H1230" s="11">
        <v>0</v>
      </c>
      <c r="I1230" s="14">
        <v>3.69</v>
      </c>
      <c r="J1230" s="7" t="s">
        <v>197</v>
      </c>
      <c r="K1230" s="5" t="s">
        <v>60</v>
      </c>
      <c r="L1230" s="11">
        <v>160</v>
      </c>
      <c r="M1230" s="11">
        <v>2006</v>
      </c>
      <c r="N1230" s="11">
        <v>1931</v>
      </c>
      <c r="O1230" s="15"/>
      <c r="P1230" s="8">
        <v>45101</v>
      </c>
      <c r="Q1230" s="8"/>
      <c r="R1230" s="8"/>
      <c r="S1230" s="8"/>
      <c r="T1230" s="8"/>
      <c r="U1230" s="8"/>
      <c r="V1230" s="8"/>
      <c r="W1230" s="8"/>
      <c r="X1230" s="8"/>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4" t="s">
        <v>38</v>
      </c>
      <c r="AY1230" s="5" t="s">
        <v>5568</v>
      </c>
      <c r="AZ1230" s="5" t="s">
        <v>38</v>
      </c>
      <c r="BA1230" s="12"/>
      <c r="BB1230" s="12"/>
      <c r="BC1230" s="12"/>
      <c r="BD1230" s="11">
        <v>0</v>
      </c>
      <c r="BE1230" s="11">
        <v>0</v>
      </c>
    </row>
    <row x14ac:dyDescent="0.25" r="1231" customHeight="1" ht="17.25">
      <c r="A1231" s="11">
        <v>1517776</v>
      </c>
      <c r="B1231" s="4" t="s">
        <v>5569</v>
      </c>
      <c r="C1231" s="5" t="s">
        <v>5570</v>
      </c>
      <c r="D1231" s="5" t="s">
        <v>5571</v>
      </c>
      <c r="E1231" s="12"/>
      <c r="F1231" s="13">
        <f>"0767430360"</f>
      </c>
      <c r="G1231" s="13">
        <f>"9780767430364"</f>
      </c>
      <c r="H1231" s="11">
        <v>0</v>
      </c>
      <c r="I1231" s="14">
        <v>3.25</v>
      </c>
      <c r="J1231" s="7" t="s">
        <v>5572</v>
      </c>
      <c r="K1231" s="5" t="s">
        <v>60</v>
      </c>
      <c r="L1231" s="16"/>
      <c r="M1231" s="11">
        <v>2002</v>
      </c>
      <c r="N1231" s="11">
        <v>2002</v>
      </c>
      <c r="O1231" s="15"/>
      <c r="P1231" s="8">
        <v>45127</v>
      </c>
      <c r="Q1231" s="8"/>
      <c r="R1231" s="8"/>
      <c r="S1231" s="8"/>
      <c r="T1231" s="8"/>
      <c r="U1231" s="8"/>
      <c r="V1231" s="8"/>
      <c r="W1231" s="8"/>
      <c r="X1231" s="8"/>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U1231" s="8"/>
      <c r="AV1231" s="8"/>
      <c r="AW1231" s="8"/>
      <c r="AX1231" s="4" t="s">
        <v>38</v>
      </c>
      <c r="AY1231" s="5" t="s">
        <v>5573</v>
      </c>
      <c r="AZ1231" s="5" t="s">
        <v>38</v>
      </c>
      <c r="BA1231" s="12"/>
      <c r="BB1231" s="12"/>
      <c r="BC1231" s="12"/>
      <c r="BD1231" s="11">
        <v>0</v>
      </c>
      <c r="BE1231" s="11">
        <v>0</v>
      </c>
    </row>
    <row x14ac:dyDescent="0.25" r="1232" customHeight="1" ht="17.25">
      <c r="A1232" s="11">
        <v>560230</v>
      </c>
      <c r="B1232" s="4" t="s">
        <v>5574</v>
      </c>
      <c r="C1232" s="5" t="s">
        <v>5575</v>
      </c>
      <c r="D1232" s="5" t="s">
        <v>5576</v>
      </c>
      <c r="E1232" s="5" t="s">
        <v>531</v>
      </c>
      <c r="F1232" s="13">
        <f>"0415046017"</f>
      </c>
      <c r="G1232" s="13">
        <f>"9780415046015"</f>
      </c>
      <c r="H1232" s="11">
        <v>0</v>
      </c>
      <c r="I1232" s="14">
        <v>3.54</v>
      </c>
      <c r="J1232" s="7" t="s">
        <v>163</v>
      </c>
      <c r="K1232" s="5" t="s">
        <v>60</v>
      </c>
      <c r="L1232" s="11">
        <v>376</v>
      </c>
      <c r="M1232" s="11">
        <v>1990</v>
      </c>
      <c r="N1232" s="11">
        <v>1928</v>
      </c>
      <c r="O1232" s="15"/>
      <c r="P1232" s="8">
        <v>45127</v>
      </c>
      <c r="Q1232" s="8"/>
      <c r="R1232" s="8"/>
      <c r="S1232" s="8"/>
      <c r="T1232" s="8"/>
      <c r="U1232" s="8"/>
      <c r="V1232" s="8"/>
      <c r="W1232" s="8"/>
      <c r="X1232" s="8"/>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U1232" s="8"/>
      <c r="AV1232" s="8"/>
      <c r="AW1232" s="8"/>
      <c r="AX1232" s="4" t="s">
        <v>38</v>
      </c>
      <c r="AY1232" s="5" t="s">
        <v>5577</v>
      </c>
      <c r="AZ1232" s="5" t="s">
        <v>38</v>
      </c>
      <c r="BA1232" s="12"/>
      <c r="BB1232" s="12"/>
      <c r="BC1232" s="12"/>
      <c r="BD1232" s="11">
        <v>0</v>
      </c>
      <c r="BE1232" s="11">
        <v>0</v>
      </c>
    </row>
    <row x14ac:dyDescent="0.25" r="1233" customHeight="1" ht="17.25">
      <c r="A1233" s="11">
        <v>2066384</v>
      </c>
      <c r="B1233" s="4" t="s">
        <v>5578</v>
      </c>
      <c r="C1233" s="5" t="s">
        <v>5579</v>
      </c>
      <c r="D1233" s="5" t="s">
        <v>5580</v>
      </c>
      <c r="E1233" s="12"/>
      <c r="F1233" s="13">
        <f>"0195334574"</f>
      </c>
      <c r="G1233" s="13">
        <f>"9780195334579"</f>
      </c>
      <c r="H1233" s="11">
        <v>0</v>
      </c>
      <c r="I1233" s="14">
        <v>3.94</v>
      </c>
      <c r="J1233" s="7" t="s">
        <v>245</v>
      </c>
      <c r="K1233" s="5" t="s">
        <v>72</v>
      </c>
      <c r="L1233" s="11">
        <v>224</v>
      </c>
      <c r="M1233" s="11">
        <v>2008</v>
      </c>
      <c r="N1233" s="11">
        <v>2008</v>
      </c>
      <c r="O1233" s="15"/>
      <c r="P1233" s="8">
        <v>45126</v>
      </c>
      <c r="Q1233" s="8"/>
      <c r="R1233" s="8"/>
      <c r="S1233" s="8"/>
      <c r="T1233" s="8"/>
      <c r="U1233" s="8"/>
      <c r="V1233" s="8"/>
      <c r="W1233" s="8"/>
      <c r="X1233" s="8"/>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U1233" s="8"/>
      <c r="AV1233" s="8"/>
      <c r="AW1233" s="8"/>
      <c r="AX1233" s="4" t="s">
        <v>38</v>
      </c>
      <c r="AY1233" s="5" t="s">
        <v>5581</v>
      </c>
      <c r="AZ1233" s="5" t="s">
        <v>38</v>
      </c>
      <c r="BA1233" s="12"/>
      <c r="BB1233" s="12"/>
      <c r="BC1233" s="12"/>
      <c r="BD1233" s="11">
        <v>0</v>
      </c>
      <c r="BE1233" s="11">
        <v>0</v>
      </c>
    </row>
    <row x14ac:dyDescent="0.25" r="1234" customHeight="1" ht="17.25">
      <c r="A1234" s="11">
        <v>18456429</v>
      </c>
      <c r="B1234" s="4" t="s">
        <v>5582</v>
      </c>
      <c r="C1234" s="5" t="s">
        <v>2982</v>
      </c>
      <c r="D1234" s="5" t="s">
        <v>2983</v>
      </c>
      <c r="E1234" s="12"/>
      <c r="F1234" s="13">
        <f>""</f>
      </c>
      <c r="G1234" s="13">
        <f>""</f>
      </c>
      <c r="H1234" s="11">
        <v>0</v>
      </c>
      <c r="I1234" s="14">
        <v>3.78</v>
      </c>
      <c r="J1234" s="18"/>
      <c r="K1234" s="1"/>
      <c r="L1234" s="11">
        <v>15</v>
      </c>
      <c r="M1234" s="16"/>
      <c r="N1234" s="11">
        <v>1969</v>
      </c>
      <c r="O1234" s="15"/>
      <c r="P1234" s="8">
        <v>45126</v>
      </c>
      <c r="Q1234" s="8"/>
      <c r="R1234" s="8"/>
      <c r="S1234" s="8"/>
      <c r="T1234" s="8"/>
      <c r="U1234" s="8"/>
      <c r="V1234" s="8"/>
      <c r="W1234" s="8"/>
      <c r="X1234" s="8"/>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U1234" s="8"/>
      <c r="AV1234" s="8"/>
      <c r="AW1234" s="8"/>
      <c r="AX1234" s="4" t="s">
        <v>38</v>
      </c>
      <c r="AY1234" s="5" t="s">
        <v>5583</v>
      </c>
      <c r="AZ1234" s="5" t="s">
        <v>38</v>
      </c>
      <c r="BA1234" s="12"/>
      <c r="BB1234" s="12"/>
      <c r="BC1234" s="12"/>
      <c r="BD1234" s="11">
        <v>0</v>
      </c>
      <c r="BE1234" s="11">
        <v>0</v>
      </c>
    </row>
    <row x14ac:dyDescent="0.25" r="1235" customHeight="1" ht="17.25">
      <c r="A1235" s="11">
        <v>9859899</v>
      </c>
      <c r="B1235" s="4" t="s">
        <v>5584</v>
      </c>
      <c r="C1235" s="5" t="s">
        <v>5585</v>
      </c>
      <c r="D1235" s="5" t="s">
        <v>5586</v>
      </c>
      <c r="E1235" s="12"/>
      <c r="F1235" s="13">
        <f>"0199747490"</f>
      </c>
      <c r="G1235" s="13">
        <f>"9780199747498"</f>
      </c>
      <c r="H1235" s="11">
        <v>0</v>
      </c>
      <c r="I1235" s="14">
        <v>3.93</v>
      </c>
      <c r="J1235" s="7" t="s">
        <v>245</v>
      </c>
      <c r="K1235" s="5" t="s">
        <v>72</v>
      </c>
      <c r="L1235" s="11">
        <v>162</v>
      </c>
      <c r="M1235" s="11">
        <v>2011</v>
      </c>
      <c r="N1235" s="11">
        <v>2011</v>
      </c>
      <c r="O1235" s="15"/>
      <c r="P1235" s="8">
        <v>45126</v>
      </c>
      <c r="Q1235" s="8"/>
      <c r="R1235" s="8"/>
      <c r="S1235" s="8"/>
      <c r="T1235" s="8"/>
      <c r="U1235" s="8"/>
      <c r="V1235" s="8"/>
      <c r="W1235" s="8"/>
      <c r="X1235" s="8"/>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U1235" s="8"/>
      <c r="AV1235" s="8"/>
      <c r="AW1235" s="8"/>
      <c r="AX1235" s="4" t="s">
        <v>38</v>
      </c>
      <c r="AY1235" s="5" t="s">
        <v>5587</v>
      </c>
      <c r="AZ1235" s="5" t="s">
        <v>38</v>
      </c>
      <c r="BA1235" s="12"/>
      <c r="BB1235" s="12"/>
      <c r="BC1235" s="12"/>
      <c r="BD1235" s="11">
        <v>0</v>
      </c>
      <c r="BE1235" s="11">
        <v>0</v>
      </c>
    </row>
    <row x14ac:dyDescent="0.25" r="1236" customHeight="1" ht="17.25">
      <c r="A1236" s="11">
        <v>156180</v>
      </c>
      <c r="B1236" s="4" t="s">
        <v>5588</v>
      </c>
      <c r="C1236" s="5" t="s">
        <v>5279</v>
      </c>
      <c r="D1236" s="5" t="s">
        <v>5280</v>
      </c>
      <c r="E1236" s="12"/>
      <c r="F1236" s="13">
        <f>"0307262863"</f>
      </c>
      <c r="G1236" s="13">
        <f>"9780307262868"</f>
      </c>
      <c r="H1236" s="11">
        <v>0</v>
      </c>
      <c r="I1236" s="14">
        <v>4.14</v>
      </c>
      <c r="J1236" s="7" t="s">
        <v>665</v>
      </c>
      <c r="K1236" s="5" t="s">
        <v>72</v>
      </c>
      <c r="L1236" s="11">
        <v>432</v>
      </c>
      <c r="M1236" s="11">
        <v>2006</v>
      </c>
      <c r="N1236" s="11">
        <v>2006</v>
      </c>
      <c r="O1236" s="15"/>
      <c r="P1236" s="8">
        <v>45126</v>
      </c>
      <c r="Q1236" s="8"/>
      <c r="R1236" s="8"/>
      <c r="S1236" s="8"/>
      <c r="T1236" s="8"/>
      <c r="U1236" s="8"/>
      <c r="V1236" s="8"/>
      <c r="W1236" s="8"/>
      <c r="X1236" s="8"/>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U1236" s="8"/>
      <c r="AV1236" s="8"/>
      <c r="AW1236" s="8"/>
      <c r="AX1236" s="4" t="s">
        <v>38</v>
      </c>
      <c r="AY1236" s="5" t="s">
        <v>5589</v>
      </c>
      <c r="AZ1236" s="5" t="s">
        <v>38</v>
      </c>
      <c r="BA1236" s="12"/>
      <c r="BB1236" s="12"/>
      <c r="BC1236" s="12"/>
      <c r="BD1236" s="11">
        <v>0</v>
      </c>
      <c r="BE1236" s="11">
        <v>0</v>
      </c>
    </row>
    <row x14ac:dyDescent="0.25" r="1237" customHeight="1" ht="17.25">
      <c r="A1237" s="11">
        <v>247620</v>
      </c>
      <c r="B1237" s="4" t="s">
        <v>5590</v>
      </c>
      <c r="C1237" s="5" t="s">
        <v>5259</v>
      </c>
      <c r="D1237" s="5" t="s">
        <v>5260</v>
      </c>
      <c r="E1237" s="12"/>
      <c r="F1237" s="13">
        <f>"0805083383"</f>
      </c>
      <c r="G1237" s="13">
        <f>"9780805083385"</f>
      </c>
      <c r="H1237" s="11">
        <v>0</v>
      </c>
      <c r="I1237" s="14">
        <v>3.8</v>
      </c>
      <c r="J1237" s="7" t="s">
        <v>5591</v>
      </c>
      <c r="K1237" s="5" t="s">
        <v>60</v>
      </c>
      <c r="L1237" s="11">
        <v>170</v>
      </c>
      <c r="M1237" s="11">
        <v>2007</v>
      </c>
      <c r="N1237" s="11">
        <v>2006</v>
      </c>
      <c r="O1237" s="15"/>
      <c r="P1237" s="8">
        <v>45126</v>
      </c>
      <c r="Q1237" s="8"/>
      <c r="R1237" s="8"/>
      <c r="S1237" s="8"/>
      <c r="T1237" s="8"/>
      <c r="U1237" s="8"/>
      <c r="V1237" s="8"/>
      <c r="W1237" s="8"/>
      <c r="X1237" s="8"/>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U1237" s="8"/>
      <c r="AV1237" s="8"/>
      <c r="AW1237" s="8"/>
      <c r="AX1237" s="4" t="s">
        <v>38</v>
      </c>
      <c r="AY1237" s="5" t="s">
        <v>5592</v>
      </c>
      <c r="AZ1237" s="5" t="s">
        <v>38</v>
      </c>
      <c r="BA1237" s="12"/>
      <c r="BB1237" s="12"/>
      <c r="BC1237" s="12"/>
      <c r="BD1237" s="11">
        <v>0</v>
      </c>
      <c r="BE1237" s="11">
        <v>0</v>
      </c>
    </row>
    <row x14ac:dyDescent="0.25" r="1238" customHeight="1" ht="17.25">
      <c r="A1238" s="11">
        <v>16173838</v>
      </c>
      <c r="B1238" s="4" t="s">
        <v>5593</v>
      </c>
      <c r="C1238" s="5" t="s">
        <v>1285</v>
      </c>
      <c r="D1238" s="5" t="s">
        <v>1286</v>
      </c>
      <c r="E1238" s="5" t="s">
        <v>5594</v>
      </c>
      <c r="F1238" s="13">
        <f>"0811218759"</f>
      </c>
      <c r="G1238" s="13">
        <f>"9780811218757"</f>
      </c>
      <c r="H1238" s="11">
        <v>0</v>
      </c>
      <c r="I1238" s="14">
        <v>4.43</v>
      </c>
      <c r="J1238" s="7" t="s">
        <v>126</v>
      </c>
      <c r="K1238" s="5" t="s">
        <v>72</v>
      </c>
      <c r="L1238" s="11">
        <v>306</v>
      </c>
      <c r="M1238" s="11">
        <v>2013</v>
      </c>
      <c r="N1238" s="11">
        <v>2000</v>
      </c>
      <c r="O1238" s="15"/>
      <c r="P1238" s="8">
        <v>45126</v>
      </c>
      <c r="Q1238" s="8"/>
      <c r="R1238" s="8"/>
      <c r="S1238" s="8"/>
      <c r="T1238" s="8"/>
      <c r="U1238" s="8"/>
      <c r="V1238" s="8"/>
      <c r="W1238" s="8"/>
      <c r="X1238" s="8"/>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U1238" s="8"/>
      <c r="AV1238" s="8"/>
      <c r="AW1238" s="8"/>
      <c r="AX1238" s="4" t="s">
        <v>38</v>
      </c>
      <c r="AY1238" s="5" t="s">
        <v>5595</v>
      </c>
      <c r="AZ1238" s="5" t="s">
        <v>38</v>
      </c>
      <c r="BA1238" s="12"/>
      <c r="BB1238" s="12"/>
      <c r="BC1238" s="12"/>
      <c r="BD1238" s="11">
        <v>0</v>
      </c>
      <c r="BE1238" s="11">
        <v>0</v>
      </c>
    </row>
    <row x14ac:dyDescent="0.25" r="1239" customHeight="1" ht="17.25">
      <c r="A1239" s="11">
        <v>108635</v>
      </c>
      <c r="B1239" s="4" t="s">
        <v>5596</v>
      </c>
      <c r="C1239" s="5" t="s">
        <v>4184</v>
      </c>
      <c r="D1239" s="5" t="s">
        <v>4185</v>
      </c>
      <c r="E1239" s="12"/>
      <c r="F1239" s="13">
        <f>"0156028166"</f>
      </c>
      <c r="G1239" s="13">
        <f>"9780156028165"</f>
      </c>
      <c r="H1239" s="11">
        <v>0</v>
      </c>
      <c r="I1239" s="14">
        <v>4.3</v>
      </c>
      <c r="J1239" s="7" t="s">
        <v>4638</v>
      </c>
      <c r="K1239" s="5" t="s">
        <v>60</v>
      </c>
      <c r="L1239" s="11">
        <v>336</v>
      </c>
      <c r="M1239" s="11">
        <v>2003</v>
      </c>
      <c r="N1239" s="11">
        <v>1932</v>
      </c>
      <c r="O1239" s="15"/>
      <c r="P1239" s="8">
        <v>45126</v>
      </c>
      <c r="Q1239" s="8"/>
      <c r="R1239" s="8"/>
      <c r="S1239" s="8"/>
      <c r="T1239" s="8"/>
      <c r="U1239" s="8"/>
      <c r="V1239" s="8"/>
      <c r="W1239" s="8"/>
      <c r="X1239" s="8"/>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U1239" s="8"/>
      <c r="AV1239" s="8"/>
      <c r="AW1239" s="8"/>
      <c r="AX1239" s="4" t="s">
        <v>38</v>
      </c>
      <c r="AY1239" s="5" t="s">
        <v>5597</v>
      </c>
      <c r="AZ1239" s="5" t="s">
        <v>38</v>
      </c>
      <c r="BA1239" s="12"/>
      <c r="BB1239" s="12"/>
      <c r="BC1239" s="12"/>
      <c r="BD1239" s="11">
        <v>0</v>
      </c>
      <c r="BE1239" s="11">
        <v>0</v>
      </c>
    </row>
    <row x14ac:dyDescent="0.25" r="1240" customHeight="1" ht="17.25">
      <c r="A1240" s="11">
        <v>249186</v>
      </c>
      <c r="B1240" s="4" t="s">
        <v>5598</v>
      </c>
      <c r="C1240" s="5" t="s">
        <v>5599</v>
      </c>
      <c r="D1240" s="5" t="s">
        <v>5600</v>
      </c>
      <c r="E1240" s="5" t="s">
        <v>5601</v>
      </c>
      <c r="F1240" s="13">
        <f>"0062720732"</f>
      </c>
      <c r="G1240" s="13">
        <f>"9780062720733"</f>
      </c>
      <c r="H1240" s="11">
        <v>0</v>
      </c>
      <c r="I1240" s="14">
        <v>3.94</v>
      </c>
      <c r="J1240" s="7" t="s">
        <v>5602</v>
      </c>
      <c r="K1240" s="5" t="s">
        <v>60</v>
      </c>
      <c r="L1240" s="11">
        <v>378</v>
      </c>
      <c r="M1240" s="11">
        <v>1999</v>
      </c>
      <c r="N1240" s="11">
        <v>1960</v>
      </c>
      <c r="O1240" s="15"/>
      <c r="P1240" s="8">
        <v>45126</v>
      </c>
      <c r="Q1240" s="8"/>
      <c r="R1240" s="8"/>
      <c r="S1240" s="8"/>
      <c r="T1240" s="8"/>
      <c r="U1240" s="8"/>
      <c r="V1240" s="8"/>
      <c r="W1240" s="8"/>
      <c r="X1240" s="8"/>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U1240" s="8"/>
      <c r="AV1240" s="8"/>
      <c r="AW1240" s="8"/>
      <c r="AX1240" s="4" t="s">
        <v>38</v>
      </c>
      <c r="AY1240" s="5" t="s">
        <v>5603</v>
      </c>
      <c r="AZ1240" s="5" t="s">
        <v>38</v>
      </c>
      <c r="BA1240" s="12"/>
      <c r="BB1240" s="12"/>
      <c r="BC1240" s="12"/>
      <c r="BD1240" s="11">
        <v>0</v>
      </c>
      <c r="BE1240" s="11">
        <v>0</v>
      </c>
    </row>
    <row x14ac:dyDescent="0.25" r="1241" customHeight="1" ht="17.25">
      <c r="A1241" s="11">
        <v>791098</v>
      </c>
      <c r="B1241" s="4" t="s">
        <v>5604</v>
      </c>
      <c r="C1241" s="5" t="s">
        <v>5605</v>
      </c>
      <c r="D1241" s="5" t="s">
        <v>5606</v>
      </c>
      <c r="E1241" s="12"/>
      <c r="F1241" s="13">
        <f>"0805061762"</f>
      </c>
      <c r="G1241" s="13">
        <f>"9780805061765"</f>
      </c>
      <c r="H1241" s="11">
        <v>0</v>
      </c>
      <c r="I1241" s="14">
        <v>4.04</v>
      </c>
      <c r="J1241" s="7" t="s">
        <v>5607</v>
      </c>
      <c r="K1241" s="5" t="s">
        <v>60</v>
      </c>
      <c r="L1241" s="11">
        <v>638</v>
      </c>
      <c r="M1241" s="11">
        <v>1999</v>
      </c>
      <c r="N1241" s="11">
        <v>1995</v>
      </c>
      <c r="O1241" s="15"/>
      <c r="P1241" s="8">
        <v>45126</v>
      </c>
      <c r="Q1241" s="8"/>
      <c r="R1241" s="8"/>
      <c r="S1241" s="8"/>
      <c r="T1241" s="8"/>
      <c r="U1241" s="8"/>
      <c r="V1241" s="8"/>
      <c r="W1241" s="8"/>
      <c r="X1241" s="8"/>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U1241" s="8"/>
      <c r="AV1241" s="8"/>
      <c r="AW1241" s="8"/>
      <c r="AX1241" s="4" t="s">
        <v>38</v>
      </c>
      <c r="AY1241" s="5" t="s">
        <v>5608</v>
      </c>
      <c r="AZ1241" s="5" t="s">
        <v>38</v>
      </c>
      <c r="BA1241" s="12"/>
      <c r="BB1241" s="12"/>
      <c r="BC1241" s="12"/>
      <c r="BD1241" s="11">
        <v>0</v>
      </c>
      <c r="BE1241" s="11">
        <v>0</v>
      </c>
    </row>
    <row x14ac:dyDescent="0.25" r="1242" customHeight="1" ht="17.25">
      <c r="A1242" s="11">
        <v>379191</v>
      </c>
      <c r="B1242" s="4" t="s">
        <v>5609</v>
      </c>
      <c r="C1242" s="5" t="s">
        <v>5610</v>
      </c>
      <c r="D1242" s="5" t="s">
        <v>5611</v>
      </c>
      <c r="E1242" s="12"/>
      <c r="F1242" s="13">
        <f>"039331670X"</f>
      </c>
      <c r="G1242" s="13">
        <f>"9780393316704"</f>
      </c>
      <c r="H1242" s="11">
        <v>0</v>
      </c>
      <c r="I1242" s="14">
        <v>4.15</v>
      </c>
      <c r="J1242" s="7" t="s">
        <v>144</v>
      </c>
      <c r="K1242" s="5" t="s">
        <v>60</v>
      </c>
      <c r="L1242" s="11">
        <v>324</v>
      </c>
      <c r="M1242" s="11">
        <v>1997</v>
      </c>
      <c r="N1242" s="11">
        <v>-500</v>
      </c>
      <c r="O1242" s="15"/>
      <c r="P1242" s="8">
        <v>45126</v>
      </c>
      <c r="Q1242" s="8"/>
      <c r="R1242" s="8"/>
      <c r="S1242" s="8"/>
      <c r="T1242" s="8"/>
      <c r="U1242" s="8"/>
      <c r="V1242" s="8"/>
      <c r="W1242" s="8"/>
      <c r="X1242" s="8"/>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U1242" s="8"/>
      <c r="AV1242" s="8"/>
      <c r="AW1242" s="8"/>
      <c r="AX1242" s="4" t="s">
        <v>38</v>
      </c>
      <c r="AY1242" s="5" t="s">
        <v>5612</v>
      </c>
      <c r="AZ1242" s="5" t="s">
        <v>38</v>
      </c>
      <c r="BA1242" s="12"/>
      <c r="BB1242" s="12"/>
      <c r="BC1242" s="12"/>
      <c r="BD1242" s="11">
        <v>0</v>
      </c>
      <c r="BE1242" s="11">
        <v>0</v>
      </c>
    </row>
    <row x14ac:dyDescent="0.25" r="1243" customHeight="1" ht="17.25">
      <c r="A1243" s="11">
        <v>398086</v>
      </c>
      <c r="B1243" s="4" t="s">
        <v>5613</v>
      </c>
      <c r="C1243" s="5" t="s">
        <v>5610</v>
      </c>
      <c r="D1243" s="5" t="s">
        <v>5611</v>
      </c>
      <c r="E1243" s="5" t="s">
        <v>5614</v>
      </c>
      <c r="F1243" s="13">
        <f>"0674875311"</f>
      </c>
      <c r="G1243" s="13">
        <f>"9780674875319"</f>
      </c>
      <c r="H1243" s="11">
        <v>0</v>
      </c>
      <c r="I1243" s="14">
        <v>3.87</v>
      </c>
      <c r="J1243" s="7" t="s">
        <v>905</v>
      </c>
      <c r="K1243" s="5" t="s">
        <v>60</v>
      </c>
      <c r="L1243" s="11">
        <v>696</v>
      </c>
      <c r="M1243" s="11">
        <v>1990</v>
      </c>
      <c r="N1243" s="11">
        <v>1987</v>
      </c>
      <c r="O1243" s="15"/>
      <c r="P1243" s="8">
        <v>45126</v>
      </c>
      <c r="Q1243" s="8"/>
      <c r="R1243" s="8"/>
      <c r="S1243" s="8"/>
      <c r="T1243" s="8"/>
      <c r="U1243" s="8"/>
      <c r="V1243" s="8"/>
      <c r="W1243" s="8"/>
      <c r="X1243" s="8"/>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U1243" s="8"/>
      <c r="AV1243" s="8"/>
      <c r="AW1243" s="8"/>
      <c r="AX1243" s="4" t="s">
        <v>38</v>
      </c>
      <c r="AY1243" s="5" t="s">
        <v>5615</v>
      </c>
      <c r="AZ1243" s="5" t="s">
        <v>38</v>
      </c>
      <c r="BA1243" s="12"/>
      <c r="BB1243" s="12"/>
      <c r="BC1243" s="12"/>
      <c r="BD1243" s="11">
        <v>0</v>
      </c>
      <c r="BE1243" s="11">
        <v>0</v>
      </c>
    </row>
    <row x14ac:dyDescent="0.25" r="1244" customHeight="1" ht="17.25">
      <c r="A1244" s="11">
        <v>36521344</v>
      </c>
      <c r="B1244" s="4" t="s">
        <v>5616</v>
      </c>
      <c r="C1244" s="5" t="s">
        <v>1304</v>
      </c>
      <c r="D1244" s="5" t="s">
        <v>1305</v>
      </c>
      <c r="E1244" s="12"/>
      <c r="F1244" s="13">
        <f>"1910702390"</f>
      </c>
      <c r="G1244" s="13">
        <f>"9781910702390"</f>
      </c>
      <c r="H1244" s="11">
        <v>0</v>
      </c>
      <c r="I1244" s="14">
        <v>3.7</v>
      </c>
      <c r="J1244" s="7" t="s">
        <v>1306</v>
      </c>
      <c r="K1244" s="5" t="s">
        <v>72</v>
      </c>
      <c r="L1244" s="11">
        <v>224</v>
      </c>
      <c r="M1244" s="11">
        <v>2018</v>
      </c>
      <c r="N1244" s="16"/>
      <c r="O1244" s="15"/>
      <c r="P1244" s="8">
        <v>45124</v>
      </c>
      <c r="Q1244" s="8"/>
      <c r="R1244" s="8"/>
      <c r="S1244" s="8"/>
      <c r="T1244" s="8"/>
      <c r="U1244" s="8"/>
      <c r="V1244" s="8"/>
      <c r="W1244" s="8"/>
      <c r="X1244" s="8"/>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U1244" s="8"/>
      <c r="AV1244" s="8"/>
      <c r="AW1244" s="8"/>
      <c r="AX1244" s="4" t="s">
        <v>38</v>
      </c>
      <c r="AY1244" s="5" t="s">
        <v>5617</v>
      </c>
      <c r="AZ1244" s="5" t="s">
        <v>38</v>
      </c>
      <c r="BA1244" s="12"/>
      <c r="BB1244" s="12"/>
      <c r="BC1244" s="12"/>
      <c r="BD1244" s="11">
        <v>0</v>
      </c>
      <c r="BE1244" s="11">
        <v>0</v>
      </c>
    </row>
    <row x14ac:dyDescent="0.25" r="1245" customHeight="1" ht="17.25">
      <c r="A1245" s="11">
        <v>1360562</v>
      </c>
      <c r="B1245" s="4" t="s">
        <v>5618</v>
      </c>
      <c r="C1245" s="5" t="s">
        <v>1366</v>
      </c>
      <c r="D1245" s="5" t="s">
        <v>1367</v>
      </c>
      <c r="E1245" s="12"/>
      <c r="F1245" s="13">
        <f>"9042918438"</f>
      </c>
      <c r="G1245" s="13">
        <f>"9789042918436"</f>
      </c>
      <c r="H1245" s="11">
        <v>0</v>
      </c>
      <c r="I1245" s="14">
        <v>3.8</v>
      </c>
      <c r="J1245" s="7" t="s">
        <v>5619</v>
      </c>
      <c r="K1245" s="5" t="s">
        <v>60</v>
      </c>
      <c r="L1245" s="11">
        <v>268</v>
      </c>
      <c r="M1245" s="11">
        <v>2007</v>
      </c>
      <c r="N1245" s="11">
        <v>2007</v>
      </c>
      <c r="O1245" s="15"/>
      <c r="P1245" s="8">
        <v>45124</v>
      </c>
      <c r="Q1245" s="8"/>
      <c r="R1245" s="8"/>
      <c r="S1245" s="8"/>
      <c r="T1245" s="8"/>
      <c r="U1245" s="8"/>
      <c r="V1245" s="8"/>
      <c r="W1245" s="8"/>
      <c r="X1245" s="8"/>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U1245" s="8"/>
      <c r="AV1245" s="8"/>
      <c r="AW1245" s="8"/>
      <c r="AX1245" s="4" t="s">
        <v>38</v>
      </c>
      <c r="AY1245" s="5" t="s">
        <v>5620</v>
      </c>
      <c r="AZ1245" s="5" t="s">
        <v>38</v>
      </c>
      <c r="BA1245" s="12"/>
      <c r="BB1245" s="12"/>
      <c r="BC1245" s="12"/>
      <c r="BD1245" s="11">
        <v>0</v>
      </c>
      <c r="BE1245" s="11">
        <v>0</v>
      </c>
    </row>
    <row x14ac:dyDescent="0.25" r="1246" customHeight="1" ht="17.25">
      <c r="A1246" s="11">
        <v>28820</v>
      </c>
      <c r="B1246" s="4" t="s">
        <v>5621</v>
      </c>
      <c r="C1246" s="5" t="s">
        <v>5622</v>
      </c>
      <c r="D1246" s="5" t="s">
        <v>5623</v>
      </c>
      <c r="E1246" s="12"/>
      <c r="F1246" s="13">
        <f>"1402199031"</f>
      </c>
      <c r="G1246" s="13">
        <f>"9781402199035"</f>
      </c>
      <c r="H1246" s="11">
        <v>0</v>
      </c>
      <c r="I1246" s="11">
        <v>4</v>
      </c>
      <c r="J1246" s="7" t="s">
        <v>5624</v>
      </c>
      <c r="K1246" s="5" t="s">
        <v>60</v>
      </c>
      <c r="L1246" s="11">
        <v>519</v>
      </c>
      <c r="M1246" s="11">
        <v>2000</v>
      </c>
      <c r="N1246" s="11">
        <v>1902</v>
      </c>
      <c r="O1246" s="15"/>
      <c r="P1246" s="8">
        <v>45123</v>
      </c>
      <c r="Q1246" s="8"/>
      <c r="R1246" s="8"/>
      <c r="S1246" s="8"/>
      <c r="T1246" s="8"/>
      <c r="U1246" s="8"/>
      <c r="V1246" s="8"/>
      <c r="W1246" s="8"/>
      <c r="X1246" s="8"/>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U1246" s="8"/>
      <c r="AV1246" s="8"/>
      <c r="AW1246" s="8"/>
      <c r="AX1246" s="4" t="s">
        <v>38</v>
      </c>
      <c r="AY1246" s="5" t="s">
        <v>5625</v>
      </c>
      <c r="AZ1246" s="5" t="s">
        <v>38</v>
      </c>
      <c r="BA1246" s="12"/>
      <c r="BB1246" s="12"/>
      <c r="BC1246" s="12"/>
      <c r="BD1246" s="11">
        <v>0</v>
      </c>
      <c r="BE1246" s="11">
        <v>0</v>
      </c>
    </row>
    <row x14ac:dyDescent="0.25" r="1247" customHeight="1" ht="17.25">
      <c r="A1247" s="11">
        <v>331089</v>
      </c>
      <c r="B1247" s="4" t="s">
        <v>5626</v>
      </c>
      <c r="C1247" s="5" t="s">
        <v>502</v>
      </c>
      <c r="D1247" s="5" t="s">
        <v>503</v>
      </c>
      <c r="E1247" s="5" t="s">
        <v>5627</v>
      </c>
      <c r="F1247" s="13">
        <f>"0140447709"</f>
      </c>
      <c r="G1247" s="13">
        <f>"9780140447705"</f>
      </c>
      <c r="H1247" s="11">
        <v>0</v>
      </c>
      <c r="I1247" s="14">
        <v>4.03</v>
      </c>
      <c r="J1247" s="7" t="s">
        <v>491</v>
      </c>
      <c r="K1247" s="5" t="s">
        <v>60</v>
      </c>
      <c r="L1247" s="11">
        <v>243</v>
      </c>
      <c r="M1247" s="11">
        <v>2005</v>
      </c>
      <c r="N1247" s="11">
        <v>1240</v>
      </c>
      <c r="O1247" s="15"/>
      <c r="P1247" s="8">
        <v>45123</v>
      </c>
      <c r="Q1247" s="8"/>
      <c r="R1247" s="8"/>
      <c r="S1247" s="8"/>
      <c r="T1247" s="8"/>
      <c r="U1247" s="8"/>
      <c r="V1247" s="8"/>
      <c r="W1247" s="8"/>
      <c r="X1247" s="8"/>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U1247" s="8"/>
      <c r="AV1247" s="8"/>
      <c r="AW1247" s="8"/>
      <c r="AX1247" s="4" t="s">
        <v>38</v>
      </c>
      <c r="AY1247" s="5" t="s">
        <v>5628</v>
      </c>
      <c r="AZ1247" s="5" t="s">
        <v>38</v>
      </c>
      <c r="BA1247" s="12"/>
      <c r="BB1247" s="12"/>
      <c r="BC1247" s="12"/>
      <c r="BD1247" s="11">
        <v>0</v>
      </c>
      <c r="BE1247" s="11">
        <v>0</v>
      </c>
    </row>
    <row x14ac:dyDescent="0.25" r="1248" customHeight="1" ht="17.25">
      <c r="A1248" s="11">
        <v>790550</v>
      </c>
      <c r="B1248" s="4" t="s">
        <v>5629</v>
      </c>
      <c r="C1248" s="5" t="s">
        <v>502</v>
      </c>
      <c r="D1248" s="5" t="s">
        <v>503</v>
      </c>
      <c r="E1248" s="5" t="s">
        <v>5630</v>
      </c>
      <c r="F1248" s="13">
        <f>"048621866X"</f>
      </c>
      <c r="G1248" s="13">
        <f>"9780486218663"</f>
      </c>
      <c r="H1248" s="11">
        <v>0</v>
      </c>
      <c r="I1248" s="14">
        <v>3.9</v>
      </c>
      <c r="J1248" s="7" t="s">
        <v>3711</v>
      </c>
      <c r="K1248" s="5" t="s">
        <v>60</v>
      </c>
      <c r="L1248" s="11">
        <v>377</v>
      </c>
      <c r="M1248" s="11">
        <v>1967</v>
      </c>
      <c r="N1248" s="11">
        <v>-1550</v>
      </c>
      <c r="O1248" s="15"/>
      <c r="P1248" s="8">
        <v>45123</v>
      </c>
      <c r="Q1248" s="8"/>
      <c r="R1248" s="8"/>
      <c r="S1248" s="8"/>
      <c r="T1248" s="8"/>
      <c r="U1248" s="8"/>
      <c r="V1248" s="8"/>
      <c r="W1248" s="8"/>
      <c r="X1248" s="8"/>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U1248" s="8"/>
      <c r="AV1248" s="8"/>
      <c r="AW1248" s="8"/>
      <c r="AX1248" s="4" t="s">
        <v>38</v>
      </c>
      <c r="AY1248" s="5" t="s">
        <v>5631</v>
      </c>
      <c r="AZ1248" s="5" t="s">
        <v>38</v>
      </c>
      <c r="BA1248" s="12"/>
      <c r="BB1248" s="12"/>
      <c r="BC1248" s="12"/>
      <c r="BD1248" s="11">
        <v>0</v>
      </c>
      <c r="BE1248" s="11">
        <v>0</v>
      </c>
    </row>
    <row x14ac:dyDescent="0.25" r="1249" customHeight="1" ht="17.25">
      <c r="A1249" s="11">
        <v>25993142</v>
      </c>
      <c r="B1249" s="4" t="s">
        <v>5632</v>
      </c>
      <c r="C1249" s="5" t="s">
        <v>5633</v>
      </c>
      <c r="D1249" s="5" t="s">
        <v>5634</v>
      </c>
      <c r="E1249" s="12"/>
      <c r="F1249" s="13">
        <f>""</f>
      </c>
      <c r="G1249" s="13">
        <f>""</f>
      </c>
      <c r="H1249" s="11">
        <v>0</v>
      </c>
      <c r="I1249" s="11">
        <v>5</v>
      </c>
      <c r="J1249" s="7" t="s">
        <v>5635</v>
      </c>
      <c r="K1249" s="5" t="s">
        <v>72</v>
      </c>
      <c r="L1249" s="11">
        <v>460</v>
      </c>
      <c r="M1249" s="11">
        <v>1930</v>
      </c>
      <c r="N1249" s="11">
        <v>1930</v>
      </c>
      <c r="O1249" s="15"/>
      <c r="P1249" s="8">
        <v>45123</v>
      </c>
      <c r="Q1249" s="8"/>
      <c r="R1249" s="8"/>
      <c r="S1249" s="8"/>
      <c r="T1249" s="8"/>
      <c r="U1249" s="8"/>
      <c r="V1249" s="8"/>
      <c r="W1249" s="8"/>
      <c r="X1249" s="8"/>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U1249" s="8"/>
      <c r="AV1249" s="8"/>
      <c r="AW1249" s="8"/>
      <c r="AX1249" s="4" t="s">
        <v>38</v>
      </c>
      <c r="AY1249" s="5" t="s">
        <v>5636</v>
      </c>
      <c r="AZ1249" s="5" t="s">
        <v>38</v>
      </c>
      <c r="BA1249" s="12"/>
      <c r="BB1249" s="12"/>
      <c r="BC1249" s="12"/>
      <c r="BD1249" s="11">
        <v>0</v>
      </c>
      <c r="BE1249" s="11">
        <v>0</v>
      </c>
    </row>
    <row x14ac:dyDescent="0.25" r="1250" customHeight="1" ht="17.25">
      <c r="A1250" s="11">
        <v>8189959</v>
      </c>
      <c r="B1250" s="4" t="s">
        <v>5637</v>
      </c>
      <c r="C1250" s="5" t="s">
        <v>5638</v>
      </c>
      <c r="D1250" s="5" t="s">
        <v>5639</v>
      </c>
      <c r="E1250" s="5" t="s">
        <v>5640</v>
      </c>
      <c r="F1250" s="13">
        <f>"0199732108"</f>
      </c>
      <c r="G1250" s="13">
        <f>"9780199732104"</f>
      </c>
      <c r="H1250" s="11">
        <v>0</v>
      </c>
      <c r="I1250" s="14">
        <v>4.28</v>
      </c>
      <c r="J1250" s="7" t="s">
        <v>1215</v>
      </c>
      <c r="K1250" s="5" t="s">
        <v>72</v>
      </c>
      <c r="L1250" s="11">
        <v>611</v>
      </c>
      <c r="M1250" s="11">
        <v>2011</v>
      </c>
      <c r="N1250" s="11">
        <v>2011</v>
      </c>
      <c r="O1250" s="15"/>
      <c r="P1250" s="8">
        <v>45123</v>
      </c>
      <c r="Q1250" s="8"/>
      <c r="R1250" s="8"/>
      <c r="S1250" s="8"/>
      <c r="T1250" s="8"/>
      <c r="U1250" s="8"/>
      <c r="V1250" s="8"/>
      <c r="W1250" s="8"/>
      <c r="X1250" s="8"/>
      <c r="Y1250" s="8"/>
      <c r="Z1250" s="8"/>
      <c r="AA1250" s="8"/>
      <c r="AB1250" s="8"/>
      <c r="AC1250" s="8"/>
      <c r="AD1250" s="8"/>
      <c r="AE1250" s="8"/>
      <c r="AF1250" s="8"/>
      <c r="AG1250" s="8"/>
      <c r="AH1250" s="8"/>
      <c r="AI1250" s="8"/>
      <c r="AJ1250" s="8"/>
      <c r="AK1250" s="8"/>
      <c r="AL1250" s="8"/>
      <c r="AM1250" s="8"/>
      <c r="AN1250" s="8"/>
      <c r="AO1250" s="8"/>
      <c r="AP1250" s="8"/>
      <c r="AQ1250" s="8"/>
      <c r="AR1250" s="8"/>
      <c r="AS1250" s="8"/>
      <c r="AT1250" s="8"/>
      <c r="AU1250" s="8"/>
      <c r="AV1250" s="8"/>
      <c r="AW1250" s="8"/>
      <c r="AX1250" s="4" t="s">
        <v>38</v>
      </c>
      <c r="AY1250" s="5" t="s">
        <v>5641</v>
      </c>
      <c r="AZ1250" s="5" t="s">
        <v>38</v>
      </c>
      <c r="BA1250" s="12"/>
      <c r="BB1250" s="12"/>
      <c r="BC1250" s="12"/>
      <c r="BD1250" s="11">
        <v>0</v>
      </c>
      <c r="BE1250" s="11">
        <v>0</v>
      </c>
    </row>
    <row x14ac:dyDescent="0.25" r="1251" customHeight="1" ht="17.25">
      <c r="A1251" s="11">
        <v>29845449</v>
      </c>
      <c r="B1251" s="4" t="s">
        <v>5642</v>
      </c>
      <c r="C1251" s="5" t="s">
        <v>5643</v>
      </c>
      <c r="D1251" s="5" t="s">
        <v>5644</v>
      </c>
      <c r="E1251" s="12"/>
      <c r="F1251" s="13">
        <f>"1910924385"</f>
      </c>
      <c r="G1251" s="13">
        <f>"9781910924389"</f>
      </c>
      <c r="H1251" s="11">
        <v>0</v>
      </c>
      <c r="I1251" s="14">
        <v>4.03</v>
      </c>
      <c r="J1251" s="7" t="s">
        <v>5645</v>
      </c>
      <c r="K1251" s="5" t="s">
        <v>60</v>
      </c>
      <c r="L1251" s="11">
        <v>134</v>
      </c>
      <c r="M1251" s="11">
        <v>2017</v>
      </c>
      <c r="N1251" s="11">
        <v>2016</v>
      </c>
      <c r="O1251" s="15"/>
      <c r="P1251" s="8">
        <v>45123</v>
      </c>
      <c r="Q1251" s="8"/>
      <c r="R1251" s="8"/>
      <c r="S1251" s="8"/>
      <c r="T1251" s="8"/>
      <c r="U1251" s="8"/>
      <c r="V1251" s="8"/>
      <c r="W1251" s="8"/>
      <c r="X1251" s="8"/>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U1251" s="8"/>
      <c r="AV1251" s="8"/>
      <c r="AW1251" s="8"/>
      <c r="AX1251" s="4" t="s">
        <v>38</v>
      </c>
      <c r="AY1251" s="5" t="s">
        <v>5646</v>
      </c>
      <c r="AZ1251" s="5" t="s">
        <v>38</v>
      </c>
      <c r="BA1251" s="12"/>
      <c r="BB1251" s="12"/>
      <c r="BC1251" s="12"/>
      <c r="BD1251" s="11">
        <v>0</v>
      </c>
      <c r="BE1251" s="11">
        <v>0</v>
      </c>
    </row>
    <row x14ac:dyDescent="0.25" r="1252" customHeight="1" ht="17.25">
      <c r="A1252" s="11">
        <v>11107324</v>
      </c>
      <c r="B1252" s="4" t="s">
        <v>5647</v>
      </c>
      <c r="C1252" s="5" t="s">
        <v>2377</v>
      </c>
      <c r="D1252" s="5" t="s">
        <v>2378</v>
      </c>
      <c r="E1252" s="12"/>
      <c r="F1252" s="13">
        <f>"0393072150"</f>
      </c>
      <c r="G1252" s="13">
        <f>"9780393072150"</f>
      </c>
      <c r="H1252" s="11">
        <v>0</v>
      </c>
      <c r="I1252" s="14">
        <v>4.24</v>
      </c>
      <c r="J1252" s="7" t="s">
        <v>144</v>
      </c>
      <c r="K1252" s="5" t="s">
        <v>72</v>
      </c>
      <c r="L1252" s="11">
        <v>304</v>
      </c>
      <c r="M1252" s="11">
        <v>2011</v>
      </c>
      <c r="N1252" s="11">
        <v>2011</v>
      </c>
      <c r="O1252" s="15"/>
      <c r="P1252" s="8">
        <v>45123</v>
      </c>
      <c r="Q1252" s="8"/>
      <c r="R1252" s="8"/>
      <c r="S1252" s="8"/>
      <c r="T1252" s="8"/>
      <c r="U1252" s="8"/>
      <c r="V1252" s="8"/>
      <c r="W1252" s="8"/>
      <c r="X1252" s="8"/>
      <c r="Y1252" s="8"/>
      <c r="Z1252" s="8"/>
      <c r="AA1252" s="8"/>
      <c r="AB1252" s="8"/>
      <c r="AC1252" s="8"/>
      <c r="AD1252" s="8"/>
      <c r="AE1252" s="8"/>
      <c r="AF1252" s="8"/>
      <c r="AG1252" s="8"/>
      <c r="AH1252" s="8"/>
      <c r="AI1252" s="8"/>
      <c r="AJ1252" s="8"/>
      <c r="AK1252" s="8"/>
      <c r="AL1252" s="8"/>
      <c r="AM1252" s="8"/>
      <c r="AN1252" s="8"/>
      <c r="AO1252" s="8"/>
      <c r="AP1252" s="8"/>
      <c r="AQ1252" s="8"/>
      <c r="AR1252" s="8"/>
      <c r="AS1252" s="8"/>
      <c r="AT1252" s="8"/>
      <c r="AU1252" s="8"/>
      <c r="AV1252" s="8"/>
      <c r="AW1252" s="8"/>
      <c r="AX1252" s="4" t="s">
        <v>38</v>
      </c>
      <c r="AY1252" s="5" t="s">
        <v>5648</v>
      </c>
      <c r="AZ1252" s="5" t="s">
        <v>38</v>
      </c>
      <c r="BA1252" s="12"/>
      <c r="BB1252" s="12"/>
      <c r="BC1252" s="12"/>
      <c r="BD1252" s="11">
        <v>0</v>
      </c>
      <c r="BE1252" s="11">
        <v>0</v>
      </c>
    </row>
    <row x14ac:dyDescent="0.25" r="1253" customHeight="1" ht="17.25">
      <c r="A1253" s="11">
        <v>16073298</v>
      </c>
      <c r="B1253" s="4" t="s">
        <v>5649</v>
      </c>
      <c r="C1253" s="5" t="s">
        <v>4496</v>
      </c>
      <c r="D1253" s="5" t="s">
        <v>4497</v>
      </c>
      <c r="E1253" s="12"/>
      <c r="F1253" s="13">
        <f>"0300190964"</f>
      </c>
      <c r="G1253" s="13">
        <f>"9780300190960"</f>
      </c>
      <c r="H1253" s="11">
        <v>0</v>
      </c>
      <c r="I1253" s="14">
        <v>3.68</v>
      </c>
      <c r="J1253" s="7" t="s">
        <v>576</v>
      </c>
      <c r="K1253" s="5" t="s">
        <v>72</v>
      </c>
      <c r="L1253" s="11">
        <v>232</v>
      </c>
      <c r="M1253" s="11">
        <v>2013</v>
      </c>
      <c r="N1253" s="11">
        <v>2013</v>
      </c>
      <c r="O1253" s="15"/>
      <c r="P1253" s="8">
        <v>45123</v>
      </c>
      <c r="Q1253" s="8"/>
      <c r="R1253" s="8"/>
      <c r="S1253" s="8"/>
      <c r="T1253" s="8"/>
      <c r="U1253" s="8"/>
      <c r="V1253" s="8"/>
      <c r="W1253" s="8"/>
      <c r="X1253" s="8"/>
      <c r="Y1253" s="8"/>
      <c r="Z1253" s="8"/>
      <c r="AA1253" s="8"/>
      <c r="AB1253" s="8"/>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4" t="s">
        <v>38</v>
      </c>
      <c r="AY1253" s="5" t="s">
        <v>5650</v>
      </c>
      <c r="AZ1253" s="5" t="s">
        <v>38</v>
      </c>
      <c r="BA1253" s="12"/>
      <c r="BB1253" s="12"/>
      <c r="BC1253" s="12"/>
      <c r="BD1253" s="11">
        <v>0</v>
      </c>
      <c r="BE1253" s="11">
        <v>0</v>
      </c>
    </row>
    <row x14ac:dyDescent="0.25" r="1254" customHeight="1" ht="17.25">
      <c r="A1254" s="11">
        <v>25489625</v>
      </c>
      <c r="B1254" s="4" t="s">
        <v>5651</v>
      </c>
      <c r="C1254" s="5" t="s">
        <v>5652</v>
      </c>
      <c r="D1254" s="5" t="s">
        <v>5653</v>
      </c>
      <c r="E1254" s="12"/>
      <c r="F1254" s="13">
        <f>""</f>
      </c>
      <c r="G1254" s="13">
        <f>""</f>
      </c>
      <c r="H1254" s="11">
        <v>0</v>
      </c>
      <c r="I1254" s="14">
        <v>4.4</v>
      </c>
      <c r="J1254" s="7" t="s">
        <v>5654</v>
      </c>
      <c r="K1254" s="5" t="s">
        <v>72</v>
      </c>
      <c r="L1254" s="11">
        <v>152</v>
      </c>
      <c r="M1254" s="11">
        <v>2015</v>
      </c>
      <c r="N1254" s="11">
        <v>2015</v>
      </c>
      <c r="O1254" s="15"/>
      <c r="P1254" s="8">
        <v>45123</v>
      </c>
      <c r="Q1254" s="8"/>
      <c r="R1254" s="8"/>
      <c r="S1254" s="8"/>
      <c r="T1254" s="8"/>
      <c r="U1254" s="8"/>
      <c r="V1254" s="8"/>
      <c r="W1254" s="8"/>
      <c r="X1254" s="8"/>
      <c r="Y1254" s="8"/>
      <c r="Z1254" s="8"/>
      <c r="AA1254" s="8"/>
      <c r="AB1254" s="8"/>
      <c r="AC1254" s="8"/>
      <c r="AD1254" s="8"/>
      <c r="AE1254" s="8"/>
      <c r="AF1254" s="8"/>
      <c r="AG1254" s="8"/>
      <c r="AH1254" s="8"/>
      <c r="AI1254" s="8"/>
      <c r="AJ1254" s="8"/>
      <c r="AK1254" s="8"/>
      <c r="AL1254" s="8"/>
      <c r="AM1254" s="8"/>
      <c r="AN1254" s="8"/>
      <c r="AO1254" s="8"/>
      <c r="AP1254" s="8"/>
      <c r="AQ1254" s="8"/>
      <c r="AR1254" s="8"/>
      <c r="AS1254" s="8"/>
      <c r="AT1254" s="8"/>
      <c r="AU1254" s="8"/>
      <c r="AV1254" s="8"/>
      <c r="AW1254" s="8"/>
      <c r="AX1254" s="4" t="s">
        <v>38</v>
      </c>
      <c r="AY1254" s="5" t="s">
        <v>5655</v>
      </c>
      <c r="AZ1254" s="5" t="s">
        <v>38</v>
      </c>
      <c r="BA1254" s="12"/>
      <c r="BB1254" s="12"/>
      <c r="BC1254" s="12"/>
      <c r="BD1254" s="11">
        <v>0</v>
      </c>
      <c r="BE1254" s="11">
        <v>0</v>
      </c>
    </row>
    <row x14ac:dyDescent="0.25" r="1255" customHeight="1" ht="17.25">
      <c r="A1255" s="11">
        <v>79678</v>
      </c>
      <c r="B1255" s="4" t="s">
        <v>5656</v>
      </c>
      <c r="C1255" s="5" t="s">
        <v>5657</v>
      </c>
      <c r="D1255" s="5" t="s">
        <v>5658</v>
      </c>
      <c r="E1255" s="12"/>
      <c r="F1255" s="13">
        <f>"0679745408"</f>
      </c>
      <c r="G1255" s="13">
        <f>"9780679745402"</f>
      </c>
      <c r="H1255" s="11">
        <v>0</v>
      </c>
      <c r="I1255" s="14">
        <v>3.93</v>
      </c>
      <c r="J1255" s="7" t="s">
        <v>114</v>
      </c>
      <c r="K1255" s="5" t="s">
        <v>60</v>
      </c>
      <c r="L1255" s="11">
        <v>222</v>
      </c>
      <c r="M1255" s="11">
        <v>1993</v>
      </c>
      <c r="N1255" s="11">
        <v>1992</v>
      </c>
      <c r="O1255" s="15"/>
      <c r="P1255" s="8">
        <v>45123</v>
      </c>
      <c r="Q1255" s="8"/>
      <c r="R1255" s="8"/>
      <c r="S1255" s="8"/>
      <c r="T1255" s="8"/>
      <c r="U1255" s="8"/>
      <c r="V1255" s="8"/>
      <c r="W1255" s="8"/>
      <c r="X1255" s="8"/>
      <c r="Y1255" s="8"/>
      <c r="Z1255" s="8"/>
      <c r="AA1255" s="8"/>
      <c r="AB1255" s="8"/>
      <c r="AC1255" s="8"/>
      <c r="AD1255" s="8"/>
      <c r="AE1255" s="8"/>
      <c r="AF1255" s="8"/>
      <c r="AG1255" s="8"/>
      <c r="AH1255" s="8"/>
      <c r="AI1255" s="8"/>
      <c r="AJ1255" s="8"/>
      <c r="AK1255" s="8"/>
      <c r="AL1255" s="8"/>
      <c r="AM1255" s="8"/>
      <c r="AN1255" s="8"/>
      <c r="AO1255" s="8"/>
      <c r="AP1255" s="8"/>
      <c r="AQ1255" s="8"/>
      <c r="AR1255" s="8"/>
      <c r="AS1255" s="8"/>
      <c r="AT1255" s="8"/>
      <c r="AU1255" s="8"/>
      <c r="AV1255" s="8"/>
      <c r="AW1255" s="8"/>
      <c r="AX1255" s="4" t="s">
        <v>38</v>
      </c>
      <c r="AY1255" s="5" t="s">
        <v>5659</v>
      </c>
      <c r="AZ1255" s="5" t="s">
        <v>38</v>
      </c>
      <c r="BA1255" s="12"/>
      <c r="BB1255" s="12"/>
      <c r="BC1255" s="12"/>
      <c r="BD1255" s="11">
        <v>0</v>
      </c>
      <c r="BE1255" s="11">
        <v>0</v>
      </c>
    </row>
    <row x14ac:dyDescent="0.25" r="1256" customHeight="1" ht="17.25">
      <c r="A1256" s="11">
        <v>867197</v>
      </c>
      <c r="B1256" s="4" t="s">
        <v>5660</v>
      </c>
      <c r="C1256" s="5" t="s">
        <v>5661</v>
      </c>
      <c r="D1256" s="5" t="s">
        <v>5662</v>
      </c>
      <c r="E1256" s="5" t="s">
        <v>5663</v>
      </c>
      <c r="F1256" s="13">
        <f>"0877288755"</f>
      </c>
      <c r="G1256" s="13">
        <f>"9780877288756"</f>
      </c>
      <c r="H1256" s="11">
        <v>0</v>
      </c>
      <c r="I1256" s="14">
        <v>4.15</v>
      </c>
      <c r="J1256" s="7" t="s">
        <v>5059</v>
      </c>
      <c r="K1256" s="5" t="s">
        <v>60</v>
      </c>
      <c r="L1256" s="11">
        <v>304</v>
      </c>
      <c r="M1256" s="11">
        <v>1996</v>
      </c>
      <c r="N1256" s="11">
        <v>1996</v>
      </c>
      <c r="O1256" s="15"/>
      <c r="P1256" s="8">
        <v>45123</v>
      </c>
      <c r="Q1256" s="8"/>
      <c r="R1256" s="8"/>
      <c r="S1256" s="8"/>
      <c r="T1256" s="8"/>
      <c r="U1256" s="8"/>
      <c r="V1256" s="8"/>
      <c r="W1256" s="8"/>
      <c r="X1256" s="8"/>
      <c r="Y1256" s="8"/>
      <c r="Z1256" s="8"/>
      <c r="AA1256" s="8"/>
      <c r="AB1256" s="8"/>
      <c r="AC1256" s="8"/>
      <c r="AD1256" s="8"/>
      <c r="AE1256" s="8"/>
      <c r="AF1256" s="8"/>
      <c r="AG1256" s="8"/>
      <c r="AH1256" s="8"/>
      <c r="AI1256" s="8"/>
      <c r="AJ1256" s="8"/>
      <c r="AK1256" s="8"/>
      <c r="AL1256" s="8"/>
      <c r="AM1256" s="8"/>
      <c r="AN1256" s="8"/>
      <c r="AO1256" s="8"/>
      <c r="AP1256" s="8"/>
      <c r="AQ1256" s="8"/>
      <c r="AR1256" s="8"/>
      <c r="AS1256" s="8"/>
      <c r="AT1256" s="8"/>
      <c r="AU1256" s="8"/>
      <c r="AV1256" s="8"/>
      <c r="AW1256" s="8"/>
      <c r="AX1256" s="4" t="s">
        <v>38</v>
      </c>
      <c r="AY1256" s="5" t="s">
        <v>5664</v>
      </c>
      <c r="AZ1256" s="5" t="s">
        <v>38</v>
      </c>
      <c r="BA1256" s="12"/>
      <c r="BB1256" s="12"/>
      <c r="BC1256" s="12"/>
      <c r="BD1256" s="11">
        <v>0</v>
      </c>
      <c r="BE1256" s="11">
        <v>0</v>
      </c>
    </row>
    <row x14ac:dyDescent="0.25" r="1257" customHeight="1" ht="17.25">
      <c r="A1257" s="11">
        <v>867202</v>
      </c>
      <c r="B1257" s="4" t="s">
        <v>5665</v>
      </c>
      <c r="C1257" s="5" t="s">
        <v>5661</v>
      </c>
      <c r="D1257" s="5" t="s">
        <v>5662</v>
      </c>
      <c r="E1257" s="12"/>
      <c r="F1257" s="13">
        <f>"0880795115"</f>
      </c>
      <c r="G1257" s="13">
        <f>"9780880795111"</f>
      </c>
      <c r="H1257" s="11">
        <v>0</v>
      </c>
      <c r="I1257" s="14">
        <v>3.93</v>
      </c>
      <c r="J1257" s="7" t="s">
        <v>5666</v>
      </c>
      <c r="K1257" s="5" t="s">
        <v>60</v>
      </c>
      <c r="L1257" s="11">
        <v>184</v>
      </c>
      <c r="M1257" s="11">
        <v>2003</v>
      </c>
      <c r="N1257" s="11">
        <v>1986</v>
      </c>
      <c r="O1257" s="15"/>
      <c r="P1257" s="8">
        <v>45123</v>
      </c>
      <c r="Q1257" s="8"/>
      <c r="R1257" s="8"/>
      <c r="S1257" s="8"/>
      <c r="T1257" s="8"/>
      <c r="U1257" s="8"/>
      <c r="V1257" s="8"/>
      <c r="W1257" s="8"/>
      <c r="X1257" s="8"/>
      <c r="Y1257" s="8"/>
      <c r="Z1257" s="8"/>
      <c r="AA1257" s="8"/>
      <c r="AB1257" s="8"/>
      <c r="AC1257" s="8"/>
      <c r="AD1257" s="8"/>
      <c r="AE1257" s="8"/>
      <c r="AF1257" s="8"/>
      <c r="AG1257" s="8"/>
      <c r="AH1257" s="8"/>
      <c r="AI1257" s="8"/>
      <c r="AJ1257" s="8"/>
      <c r="AK1257" s="8"/>
      <c r="AL1257" s="8"/>
      <c r="AM1257" s="8"/>
      <c r="AN1257" s="8"/>
      <c r="AO1257" s="8"/>
      <c r="AP1257" s="8"/>
      <c r="AQ1257" s="8"/>
      <c r="AR1257" s="8"/>
      <c r="AS1257" s="8"/>
      <c r="AT1257" s="8"/>
      <c r="AU1257" s="8"/>
      <c r="AV1257" s="8"/>
      <c r="AW1257" s="8"/>
      <c r="AX1257" s="4" t="s">
        <v>38</v>
      </c>
      <c r="AY1257" s="5" t="s">
        <v>5667</v>
      </c>
      <c r="AZ1257" s="5" t="s">
        <v>38</v>
      </c>
      <c r="BA1257" s="12"/>
      <c r="BB1257" s="12"/>
      <c r="BC1257" s="12"/>
      <c r="BD1257" s="11">
        <v>0</v>
      </c>
      <c r="BE1257" s="11">
        <v>0</v>
      </c>
    </row>
    <row x14ac:dyDescent="0.25" r="1258" customHeight="1" ht="17.25">
      <c r="A1258" s="11">
        <v>156196</v>
      </c>
      <c r="B1258" s="4" t="s">
        <v>5668</v>
      </c>
      <c r="C1258" s="5" t="s">
        <v>64</v>
      </c>
      <c r="D1258" s="5" t="s">
        <v>65</v>
      </c>
      <c r="E1258" s="12"/>
      <c r="F1258" s="13">
        <f>"0802135404"</f>
      </c>
      <c r="G1258" s="13">
        <f>"9780802135407"</f>
      </c>
      <c r="H1258" s="11">
        <v>0</v>
      </c>
      <c r="I1258" s="14">
        <v>3.65</v>
      </c>
      <c r="J1258" s="7" t="s">
        <v>66</v>
      </c>
      <c r="K1258" s="5" t="s">
        <v>60</v>
      </c>
      <c r="L1258" s="11">
        <v>102</v>
      </c>
      <c r="M1258" s="11">
        <v>1997</v>
      </c>
      <c r="N1258" s="11">
        <v>1981</v>
      </c>
      <c r="O1258" s="15"/>
      <c r="P1258" s="8">
        <v>45123</v>
      </c>
      <c r="Q1258" s="8"/>
      <c r="R1258" s="8"/>
      <c r="S1258" s="8"/>
      <c r="T1258" s="8"/>
      <c r="U1258" s="8"/>
      <c r="V1258" s="8"/>
      <c r="W1258" s="8"/>
      <c r="X1258" s="8"/>
      <c r="Y1258" s="8"/>
      <c r="Z1258" s="8"/>
      <c r="AA1258" s="8"/>
      <c r="AB1258" s="8"/>
      <c r="AC1258" s="8"/>
      <c r="AD1258" s="8"/>
      <c r="AE1258" s="8"/>
      <c r="AF1258" s="8"/>
      <c r="AG1258" s="8"/>
      <c r="AH1258" s="8"/>
      <c r="AI1258" s="8"/>
      <c r="AJ1258" s="8"/>
      <c r="AK1258" s="8"/>
      <c r="AL1258" s="8"/>
      <c r="AM1258" s="8"/>
      <c r="AN1258" s="8"/>
      <c r="AO1258" s="8"/>
      <c r="AP1258" s="8"/>
      <c r="AQ1258" s="8"/>
      <c r="AR1258" s="8"/>
      <c r="AS1258" s="8"/>
      <c r="AT1258" s="8"/>
      <c r="AU1258" s="8"/>
      <c r="AV1258" s="8"/>
      <c r="AW1258" s="8"/>
      <c r="AX1258" s="4" t="s">
        <v>38</v>
      </c>
      <c r="AY1258" s="5" t="s">
        <v>5669</v>
      </c>
      <c r="AZ1258" s="5" t="s">
        <v>38</v>
      </c>
      <c r="BA1258" s="12"/>
      <c r="BB1258" s="12"/>
      <c r="BC1258" s="12"/>
      <c r="BD1258" s="11">
        <v>0</v>
      </c>
      <c r="BE1258" s="11">
        <v>0</v>
      </c>
    </row>
    <row x14ac:dyDescent="0.25" r="1259" customHeight="1" ht="17.25">
      <c r="A1259" s="11">
        <v>534595</v>
      </c>
      <c r="B1259" s="4" t="s">
        <v>5670</v>
      </c>
      <c r="C1259" s="5" t="s">
        <v>5671</v>
      </c>
      <c r="D1259" s="5" t="s">
        <v>5672</v>
      </c>
      <c r="E1259" s="5" t="s">
        <v>1612</v>
      </c>
      <c r="F1259" s="13">
        <f>"1931520054"</f>
      </c>
      <c r="G1259" s="13">
        <f>"9781931520058"</f>
      </c>
      <c r="H1259" s="11">
        <v>0</v>
      </c>
      <c r="I1259" s="14">
        <v>3.93</v>
      </c>
      <c r="J1259" s="7" t="s">
        <v>5673</v>
      </c>
      <c r="K1259" s="5" t="s">
        <v>60</v>
      </c>
      <c r="L1259" s="11">
        <v>246</v>
      </c>
      <c r="M1259" s="11">
        <v>2003</v>
      </c>
      <c r="N1259" s="11">
        <v>1983</v>
      </c>
      <c r="O1259" s="15"/>
      <c r="P1259" s="8">
        <v>45123</v>
      </c>
      <c r="Q1259" s="8"/>
      <c r="R1259" s="8"/>
      <c r="S1259" s="8"/>
      <c r="T1259" s="8"/>
      <c r="U1259" s="8"/>
      <c r="V1259" s="8"/>
      <c r="W1259" s="8"/>
      <c r="X1259" s="8"/>
      <c r="Y1259" s="8"/>
      <c r="Z1259" s="8"/>
      <c r="AA1259" s="8"/>
      <c r="AB1259" s="8"/>
      <c r="AC1259" s="8"/>
      <c r="AD1259" s="8"/>
      <c r="AE1259" s="8"/>
      <c r="AF1259" s="8"/>
      <c r="AG1259" s="8"/>
      <c r="AH1259" s="8"/>
      <c r="AI1259" s="8"/>
      <c r="AJ1259" s="8"/>
      <c r="AK1259" s="8"/>
      <c r="AL1259" s="8"/>
      <c r="AM1259" s="8"/>
      <c r="AN1259" s="8"/>
      <c r="AO1259" s="8"/>
      <c r="AP1259" s="8"/>
      <c r="AQ1259" s="8"/>
      <c r="AR1259" s="8"/>
      <c r="AS1259" s="8"/>
      <c r="AT1259" s="8"/>
      <c r="AU1259" s="8"/>
      <c r="AV1259" s="8"/>
      <c r="AW1259" s="8"/>
      <c r="AX1259" s="4" t="s">
        <v>38</v>
      </c>
      <c r="AY1259" s="5" t="s">
        <v>5674</v>
      </c>
      <c r="AZ1259" s="5" t="s">
        <v>38</v>
      </c>
      <c r="BA1259" s="12"/>
      <c r="BB1259" s="12"/>
      <c r="BC1259" s="12"/>
      <c r="BD1259" s="11">
        <v>0</v>
      </c>
      <c r="BE1259" s="11">
        <v>0</v>
      </c>
    </row>
    <row x14ac:dyDescent="0.25" r="1260" customHeight="1" ht="17.25">
      <c r="A1260" s="11">
        <v>1036471</v>
      </c>
      <c r="B1260" s="4" t="s">
        <v>5675</v>
      </c>
      <c r="C1260" s="5" t="s">
        <v>5676</v>
      </c>
      <c r="D1260" s="5" t="s">
        <v>5677</v>
      </c>
      <c r="E1260" s="12"/>
      <c r="F1260" s="13">
        <f>"1894031911"</f>
      </c>
      <c r="G1260" s="13">
        <f>"9781894031912"</f>
      </c>
      <c r="H1260" s="11">
        <v>0</v>
      </c>
      <c r="I1260" s="14">
        <v>3.92</v>
      </c>
      <c r="J1260" s="7" t="s">
        <v>5678</v>
      </c>
      <c r="K1260" s="5" t="s">
        <v>60</v>
      </c>
      <c r="L1260" s="11">
        <v>236</v>
      </c>
      <c r="M1260" s="11">
        <v>2004</v>
      </c>
      <c r="N1260" s="11">
        <v>2004</v>
      </c>
      <c r="O1260" s="15"/>
      <c r="P1260" s="8">
        <v>45123</v>
      </c>
      <c r="Q1260" s="8"/>
      <c r="R1260" s="8"/>
      <c r="S1260" s="8"/>
      <c r="T1260" s="8"/>
      <c r="U1260" s="8"/>
      <c r="V1260" s="8"/>
      <c r="W1260" s="8"/>
      <c r="X1260" s="8"/>
      <c r="Y1260" s="8"/>
      <c r="Z1260" s="8"/>
      <c r="AA1260" s="8"/>
      <c r="AB1260" s="8"/>
      <c r="AC1260" s="8"/>
      <c r="AD1260" s="8"/>
      <c r="AE1260" s="8"/>
      <c r="AF1260" s="8"/>
      <c r="AG1260" s="8"/>
      <c r="AH1260" s="8"/>
      <c r="AI1260" s="8"/>
      <c r="AJ1260" s="8"/>
      <c r="AK1260" s="8"/>
      <c r="AL1260" s="8"/>
      <c r="AM1260" s="8"/>
      <c r="AN1260" s="8"/>
      <c r="AO1260" s="8"/>
      <c r="AP1260" s="8"/>
      <c r="AQ1260" s="8"/>
      <c r="AR1260" s="8"/>
      <c r="AS1260" s="8"/>
      <c r="AT1260" s="8"/>
      <c r="AU1260" s="8"/>
      <c r="AV1260" s="8"/>
      <c r="AW1260" s="8"/>
      <c r="AX1260" s="4" t="s">
        <v>38</v>
      </c>
      <c r="AY1260" s="5" t="s">
        <v>5679</v>
      </c>
      <c r="AZ1260" s="5" t="s">
        <v>38</v>
      </c>
      <c r="BA1260" s="12"/>
      <c r="BB1260" s="12"/>
      <c r="BC1260" s="12"/>
      <c r="BD1260" s="11">
        <v>1</v>
      </c>
      <c r="BE1260" s="11">
        <v>0</v>
      </c>
    </row>
    <row x14ac:dyDescent="0.25" r="1261" customHeight="1" ht="17.25">
      <c r="A1261" s="11">
        <v>6339024</v>
      </c>
      <c r="B1261" s="4" t="s">
        <v>5680</v>
      </c>
      <c r="C1261" s="5" t="s">
        <v>5681</v>
      </c>
      <c r="D1261" s="5" t="s">
        <v>5682</v>
      </c>
      <c r="E1261" s="12"/>
      <c r="F1261" s="13">
        <f>""</f>
      </c>
      <c r="G1261" s="13">
        <f>""</f>
      </c>
      <c r="H1261" s="11">
        <v>0</v>
      </c>
      <c r="I1261" s="14">
        <v>4.09</v>
      </c>
      <c r="J1261" s="7" t="s">
        <v>2796</v>
      </c>
      <c r="K1261" s="5" t="s">
        <v>72</v>
      </c>
      <c r="L1261" s="11">
        <v>149</v>
      </c>
      <c r="M1261" s="11">
        <v>1984</v>
      </c>
      <c r="N1261" s="11">
        <v>1984</v>
      </c>
      <c r="O1261" s="15"/>
      <c r="P1261" s="8">
        <v>45123</v>
      </c>
      <c r="Q1261" s="8"/>
      <c r="R1261" s="8"/>
      <c r="S1261" s="8"/>
      <c r="T1261" s="8"/>
      <c r="U1261" s="8"/>
      <c r="V1261" s="8"/>
      <c r="W1261" s="8"/>
      <c r="X1261" s="8"/>
      <c r="Y1261" s="8"/>
      <c r="Z1261" s="8"/>
      <c r="AA1261" s="8"/>
      <c r="AB1261" s="8"/>
      <c r="AC1261" s="8"/>
      <c r="AD1261" s="8"/>
      <c r="AE1261" s="8"/>
      <c r="AF1261" s="8"/>
      <c r="AG1261" s="8"/>
      <c r="AH1261" s="8"/>
      <c r="AI1261" s="8"/>
      <c r="AJ1261" s="8"/>
      <c r="AK1261" s="8"/>
      <c r="AL1261" s="8"/>
      <c r="AM1261" s="8"/>
      <c r="AN1261" s="8"/>
      <c r="AO1261" s="8"/>
      <c r="AP1261" s="8"/>
      <c r="AQ1261" s="8"/>
      <c r="AR1261" s="8"/>
      <c r="AS1261" s="8"/>
      <c r="AT1261" s="8"/>
      <c r="AU1261" s="8"/>
      <c r="AV1261" s="8"/>
      <c r="AW1261" s="8"/>
      <c r="AX1261" s="4" t="s">
        <v>38</v>
      </c>
      <c r="AY1261" s="5" t="s">
        <v>5683</v>
      </c>
      <c r="AZ1261" s="5" t="s">
        <v>38</v>
      </c>
      <c r="BA1261" s="12"/>
      <c r="BB1261" s="12"/>
      <c r="BC1261" s="12"/>
      <c r="BD1261" s="11">
        <v>0</v>
      </c>
      <c r="BE1261" s="11">
        <v>0</v>
      </c>
    </row>
    <row x14ac:dyDescent="0.25" r="1262" customHeight="1" ht="17.25">
      <c r="A1262" s="11">
        <v>321566</v>
      </c>
      <c r="B1262" s="4" t="s">
        <v>5684</v>
      </c>
      <c r="C1262" s="5" t="s">
        <v>5685</v>
      </c>
      <c r="D1262" s="5" t="s">
        <v>5686</v>
      </c>
      <c r="E1262" s="5" t="s">
        <v>5687</v>
      </c>
      <c r="F1262" s="13">
        <f>"0679724613"</f>
      </c>
      <c r="G1262" s="13">
        <f>"9780679724612"</f>
      </c>
      <c r="H1262" s="11">
        <v>0</v>
      </c>
      <c r="I1262" s="14">
        <v>4.17</v>
      </c>
      <c r="J1262" s="7" t="s">
        <v>114</v>
      </c>
      <c r="K1262" s="5" t="s">
        <v>60</v>
      </c>
      <c r="L1262" s="11">
        <v>338</v>
      </c>
      <c r="M1262" s="11">
        <v>1989</v>
      </c>
      <c r="N1262" s="11">
        <v>1983</v>
      </c>
      <c r="O1262" s="15"/>
      <c r="P1262" s="8">
        <v>45123</v>
      </c>
      <c r="Q1262" s="8"/>
      <c r="R1262" s="8"/>
      <c r="S1262" s="8"/>
      <c r="T1262" s="8"/>
      <c r="U1262" s="8"/>
      <c r="V1262" s="8"/>
      <c r="W1262" s="8"/>
      <c r="X1262" s="8"/>
      <c r="Y1262" s="8"/>
      <c r="Z1262" s="8"/>
      <c r="AA1262" s="8"/>
      <c r="AB1262" s="8"/>
      <c r="AC1262" s="8"/>
      <c r="AD1262" s="8"/>
      <c r="AE1262" s="8"/>
      <c r="AF1262" s="8"/>
      <c r="AG1262" s="8"/>
      <c r="AH1262" s="8"/>
      <c r="AI1262" s="8"/>
      <c r="AJ1262" s="8"/>
      <c r="AK1262" s="8"/>
      <c r="AL1262" s="8"/>
      <c r="AM1262" s="8"/>
      <c r="AN1262" s="8"/>
      <c r="AO1262" s="8"/>
      <c r="AP1262" s="8"/>
      <c r="AQ1262" s="8"/>
      <c r="AR1262" s="8"/>
      <c r="AS1262" s="8"/>
      <c r="AT1262" s="8"/>
      <c r="AU1262" s="8"/>
      <c r="AV1262" s="8"/>
      <c r="AW1262" s="8"/>
      <c r="AX1262" s="4" t="s">
        <v>38</v>
      </c>
      <c r="AY1262" s="5" t="s">
        <v>5688</v>
      </c>
      <c r="AZ1262" s="5" t="s">
        <v>38</v>
      </c>
      <c r="BA1262" s="12"/>
      <c r="BB1262" s="12"/>
      <c r="BC1262" s="12"/>
      <c r="BD1262" s="11">
        <v>0</v>
      </c>
      <c r="BE1262" s="11">
        <v>0</v>
      </c>
    </row>
    <row x14ac:dyDescent="0.25" r="1263" customHeight="1" ht="17.25">
      <c r="A1263" s="11">
        <v>223314</v>
      </c>
      <c r="B1263" s="4" t="s">
        <v>5689</v>
      </c>
      <c r="C1263" s="5" t="s">
        <v>5685</v>
      </c>
      <c r="D1263" s="5" t="s">
        <v>5686</v>
      </c>
      <c r="E1263" s="5" t="s">
        <v>5687</v>
      </c>
      <c r="F1263" s="13">
        <f>"0802313302"</f>
      </c>
      <c r="G1263" s="13">
        <f>"9780802313300"</f>
      </c>
      <c r="H1263" s="11">
        <v>0</v>
      </c>
      <c r="I1263" s="14">
        <v>3.95</v>
      </c>
      <c r="J1263" s="7" t="s">
        <v>5690</v>
      </c>
      <c r="K1263" s="5" t="s">
        <v>60</v>
      </c>
      <c r="L1263" s="11">
        <v>192</v>
      </c>
      <c r="M1263" s="11">
        <v>1999</v>
      </c>
      <c r="N1263" s="11">
        <v>1994</v>
      </c>
      <c r="O1263" s="15"/>
      <c r="P1263" s="8">
        <v>45122</v>
      </c>
      <c r="Q1263" s="8"/>
      <c r="R1263" s="8"/>
      <c r="S1263" s="8"/>
      <c r="T1263" s="8"/>
      <c r="U1263" s="8"/>
      <c r="V1263" s="8"/>
      <c r="W1263" s="8"/>
      <c r="X1263" s="8"/>
      <c r="Y1263" s="8"/>
      <c r="Z1263" s="8"/>
      <c r="AA1263" s="8"/>
      <c r="AB1263" s="8"/>
      <c r="AC1263" s="8"/>
      <c r="AD1263" s="8"/>
      <c r="AE1263" s="8"/>
      <c r="AF1263" s="8"/>
      <c r="AG1263" s="8"/>
      <c r="AH1263" s="8"/>
      <c r="AI1263" s="8"/>
      <c r="AJ1263" s="8"/>
      <c r="AK1263" s="8"/>
      <c r="AL1263" s="8"/>
      <c r="AM1263" s="8"/>
      <c r="AN1263" s="8"/>
      <c r="AO1263" s="8"/>
      <c r="AP1263" s="8"/>
      <c r="AQ1263" s="8"/>
      <c r="AR1263" s="8"/>
      <c r="AS1263" s="8"/>
      <c r="AT1263" s="8"/>
      <c r="AU1263" s="8"/>
      <c r="AV1263" s="8"/>
      <c r="AW1263" s="8"/>
      <c r="AX1263" s="4" t="s">
        <v>38</v>
      </c>
      <c r="AY1263" s="5" t="s">
        <v>5691</v>
      </c>
      <c r="AZ1263" s="5" t="s">
        <v>38</v>
      </c>
      <c r="BA1263" s="12"/>
      <c r="BB1263" s="12"/>
      <c r="BC1263" s="12"/>
      <c r="BD1263" s="11">
        <v>0</v>
      </c>
      <c r="BE1263" s="11">
        <v>0</v>
      </c>
    </row>
    <row x14ac:dyDescent="0.25" r="1264" customHeight="1" ht="17.25">
      <c r="A1264" s="11">
        <v>18897702</v>
      </c>
      <c r="B1264" s="4" t="s">
        <v>5692</v>
      </c>
      <c r="C1264" s="5" t="s">
        <v>5693</v>
      </c>
      <c r="D1264" s="5" t="s">
        <v>5694</v>
      </c>
      <c r="E1264" s="12"/>
      <c r="F1264" s="13">
        <f>""</f>
      </c>
      <c r="G1264" s="13">
        <f>"9781630033088"</f>
      </c>
      <c r="H1264" s="11">
        <v>0</v>
      </c>
      <c r="I1264" s="14">
        <v>4.22</v>
      </c>
      <c r="J1264" s="7" t="s">
        <v>5695</v>
      </c>
      <c r="K1264" s="5" t="s">
        <v>90</v>
      </c>
      <c r="L1264" s="11">
        <v>332</v>
      </c>
      <c r="M1264" s="11">
        <v>2013</v>
      </c>
      <c r="N1264" s="11">
        <v>2013</v>
      </c>
      <c r="O1264" s="15"/>
      <c r="P1264" s="8">
        <v>45122</v>
      </c>
      <c r="Q1264" s="8"/>
      <c r="R1264" s="8"/>
      <c r="S1264" s="8"/>
      <c r="T1264" s="8"/>
      <c r="U1264" s="8"/>
      <c r="V1264" s="8"/>
      <c r="W1264" s="8"/>
      <c r="X1264" s="8"/>
      <c r="Y1264" s="8"/>
      <c r="Z1264" s="8"/>
      <c r="AA1264" s="8"/>
      <c r="AB1264" s="8"/>
      <c r="AC1264" s="8"/>
      <c r="AD1264" s="8"/>
      <c r="AE1264" s="8"/>
      <c r="AF1264" s="8"/>
      <c r="AG1264" s="8"/>
      <c r="AH1264" s="8"/>
      <c r="AI1264" s="8"/>
      <c r="AJ1264" s="8"/>
      <c r="AK1264" s="8"/>
      <c r="AL1264" s="8"/>
      <c r="AM1264" s="8"/>
      <c r="AN1264" s="8"/>
      <c r="AO1264" s="8"/>
      <c r="AP1264" s="8"/>
      <c r="AQ1264" s="8"/>
      <c r="AR1264" s="8"/>
      <c r="AS1264" s="8"/>
      <c r="AT1264" s="8"/>
      <c r="AU1264" s="8"/>
      <c r="AV1264" s="8"/>
      <c r="AW1264" s="8"/>
      <c r="AX1264" s="4" t="s">
        <v>38</v>
      </c>
      <c r="AY1264" s="5" t="s">
        <v>5696</v>
      </c>
      <c r="AZ1264" s="5" t="s">
        <v>38</v>
      </c>
      <c r="BA1264" s="12"/>
      <c r="BB1264" s="12"/>
      <c r="BC1264" s="12"/>
      <c r="BD1264" s="11">
        <v>0</v>
      </c>
      <c r="BE1264" s="11">
        <v>0</v>
      </c>
    </row>
    <row x14ac:dyDescent="0.25" r="1265" customHeight="1" ht="17.25">
      <c r="A1265" s="11">
        <v>502872</v>
      </c>
      <c r="B1265" s="4" t="s">
        <v>5697</v>
      </c>
      <c r="C1265" s="5" t="s">
        <v>5698</v>
      </c>
      <c r="D1265" s="5" t="s">
        <v>5699</v>
      </c>
      <c r="E1265" s="12"/>
      <c r="F1265" s="13">
        <f>"0896597970"</f>
      </c>
      <c r="G1265" s="13">
        <f>"9780896597976"</f>
      </c>
      <c r="H1265" s="11">
        <v>0</v>
      </c>
      <c r="I1265" s="14">
        <v>4.12</v>
      </c>
      <c r="J1265" s="7" t="s">
        <v>5700</v>
      </c>
      <c r="K1265" s="5" t="s">
        <v>72</v>
      </c>
      <c r="L1265" s="11">
        <v>286</v>
      </c>
      <c r="M1265" s="11">
        <v>1988</v>
      </c>
      <c r="N1265" s="11">
        <v>1988</v>
      </c>
      <c r="O1265" s="15"/>
      <c r="P1265" s="8">
        <v>45122</v>
      </c>
      <c r="Q1265" s="8"/>
      <c r="R1265" s="8"/>
      <c r="S1265" s="8"/>
      <c r="T1265" s="8"/>
      <c r="U1265" s="8"/>
      <c r="V1265" s="8"/>
      <c r="W1265" s="8"/>
      <c r="X1265" s="8"/>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4" t="s">
        <v>1049</v>
      </c>
      <c r="AY1265" s="5" t="s">
        <v>5701</v>
      </c>
      <c r="AZ1265" s="5" t="s">
        <v>38</v>
      </c>
      <c r="BA1265" s="12"/>
      <c r="BB1265" s="12"/>
      <c r="BC1265" s="12"/>
      <c r="BD1265" s="11">
        <v>0</v>
      </c>
      <c r="BE1265" s="11">
        <v>0</v>
      </c>
    </row>
    <row x14ac:dyDescent="0.25" r="1266" customHeight="1" ht="17.25">
      <c r="A1266" s="11">
        <v>108314</v>
      </c>
      <c r="B1266" s="4" t="s">
        <v>5702</v>
      </c>
      <c r="C1266" s="5" t="s">
        <v>5703</v>
      </c>
      <c r="D1266" s="5" t="s">
        <v>5704</v>
      </c>
      <c r="E1266" s="5" t="s">
        <v>5705</v>
      </c>
      <c r="F1266" s="13">
        <f>"0914918109"</f>
      </c>
      <c r="G1266" s="13">
        <f>"9780914918103"</f>
      </c>
      <c r="H1266" s="11">
        <v>0</v>
      </c>
      <c r="I1266" s="14">
        <v>4.25</v>
      </c>
      <c r="J1266" s="7" t="s">
        <v>5706</v>
      </c>
      <c r="K1266" s="5" t="s">
        <v>60</v>
      </c>
      <c r="L1266" s="11">
        <v>266</v>
      </c>
      <c r="M1266" s="11">
        <v>1979</v>
      </c>
      <c r="N1266" s="11">
        <v>1979</v>
      </c>
      <c r="O1266" s="15"/>
      <c r="P1266" s="8">
        <v>45122</v>
      </c>
      <c r="Q1266" s="8"/>
      <c r="R1266" s="8"/>
      <c r="S1266" s="8"/>
      <c r="T1266" s="8"/>
      <c r="U1266" s="8"/>
      <c r="V1266" s="8"/>
      <c r="W1266" s="8"/>
      <c r="X1266" s="8"/>
      <c r="Y1266" s="8"/>
      <c r="Z1266" s="8"/>
      <c r="AA1266" s="8"/>
      <c r="AB1266" s="8"/>
      <c r="AC1266" s="8"/>
      <c r="AD1266" s="8"/>
      <c r="AE1266" s="8"/>
      <c r="AF1266" s="8"/>
      <c r="AG1266" s="8"/>
      <c r="AH1266" s="8"/>
      <c r="AI1266" s="8"/>
      <c r="AJ1266" s="8"/>
      <c r="AK1266" s="8"/>
      <c r="AL1266" s="8"/>
      <c r="AM1266" s="8"/>
      <c r="AN1266" s="8"/>
      <c r="AO1266" s="8"/>
      <c r="AP1266" s="8"/>
      <c r="AQ1266" s="8"/>
      <c r="AR1266" s="8"/>
      <c r="AS1266" s="8"/>
      <c r="AT1266" s="8"/>
      <c r="AU1266" s="8"/>
      <c r="AV1266" s="8"/>
      <c r="AW1266" s="8"/>
      <c r="AX1266" s="4" t="s">
        <v>38</v>
      </c>
      <c r="AY1266" s="5" t="s">
        <v>5707</v>
      </c>
      <c r="AZ1266" s="5" t="s">
        <v>38</v>
      </c>
      <c r="BA1266" s="12"/>
      <c r="BB1266" s="12"/>
      <c r="BC1266" s="12"/>
      <c r="BD1266" s="11">
        <v>0</v>
      </c>
      <c r="BE1266" s="11">
        <v>0</v>
      </c>
    </row>
    <row x14ac:dyDescent="0.25" r="1267" customHeight="1" ht="17.25">
      <c r="A1267" s="11">
        <v>50695596</v>
      </c>
      <c r="B1267" s="4" t="s">
        <v>5708</v>
      </c>
      <c r="C1267" s="5" t="s">
        <v>5502</v>
      </c>
      <c r="D1267" s="5" t="s">
        <v>5709</v>
      </c>
      <c r="E1267" s="12"/>
      <c r="F1267" s="13">
        <f>"0738765376"</f>
      </c>
      <c r="G1267" s="13">
        <f>"9780738765372"</f>
      </c>
      <c r="H1267" s="11">
        <v>0</v>
      </c>
      <c r="I1267" s="14">
        <v>3.83</v>
      </c>
      <c r="J1267" s="7" t="s">
        <v>646</v>
      </c>
      <c r="K1267" s="5" t="s">
        <v>60</v>
      </c>
      <c r="L1267" s="11">
        <v>430</v>
      </c>
      <c r="M1267" s="11">
        <v>2020</v>
      </c>
      <c r="N1267" s="16"/>
      <c r="O1267" s="15"/>
      <c r="P1267" s="8">
        <v>45122</v>
      </c>
      <c r="Q1267" s="8"/>
      <c r="R1267" s="8"/>
      <c r="S1267" s="8"/>
      <c r="T1267" s="8"/>
      <c r="U1267" s="8"/>
      <c r="V1267" s="8"/>
      <c r="W1267" s="8"/>
      <c r="X1267" s="8"/>
      <c r="Y1267" s="8"/>
      <c r="Z1267" s="8"/>
      <c r="AA1267" s="8"/>
      <c r="AB1267" s="8"/>
      <c r="AC1267" s="8"/>
      <c r="AD1267" s="8"/>
      <c r="AE1267" s="8"/>
      <c r="AF1267" s="8"/>
      <c r="AG1267" s="8"/>
      <c r="AH1267" s="8"/>
      <c r="AI1267" s="8"/>
      <c r="AJ1267" s="8"/>
      <c r="AK1267" s="8"/>
      <c r="AL1267" s="8"/>
      <c r="AM1267" s="8"/>
      <c r="AN1267" s="8"/>
      <c r="AO1267" s="8"/>
      <c r="AP1267" s="8"/>
      <c r="AQ1267" s="8"/>
      <c r="AR1267" s="8"/>
      <c r="AS1267" s="8"/>
      <c r="AT1267" s="8"/>
      <c r="AU1267" s="8"/>
      <c r="AV1267" s="8"/>
      <c r="AW1267" s="8"/>
      <c r="AX1267" s="4" t="s">
        <v>38</v>
      </c>
      <c r="AY1267" s="5" t="s">
        <v>5710</v>
      </c>
      <c r="AZ1267" s="5" t="s">
        <v>38</v>
      </c>
      <c r="BA1267" s="12"/>
      <c r="BB1267" s="12"/>
      <c r="BC1267" s="12"/>
      <c r="BD1267" s="11">
        <v>0</v>
      </c>
      <c r="BE1267" s="11">
        <v>0</v>
      </c>
    </row>
    <row x14ac:dyDescent="0.25" r="1268" customHeight="1" ht="17.25">
      <c r="A1268" s="11">
        <v>50998242</v>
      </c>
      <c r="B1268" s="4" t="s">
        <v>5711</v>
      </c>
      <c r="C1268" s="5" t="s">
        <v>5712</v>
      </c>
      <c r="D1268" s="5" t="s">
        <v>5713</v>
      </c>
      <c r="E1268" s="12"/>
      <c r="F1268" s="13">
        <f>"0711251711"</f>
      </c>
      <c r="G1268" s="13">
        <f>"9780711251717"</f>
      </c>
      <c r="H1268" s="11">
        <v>0</v>
      </c>
      <c r="I1268" s="14">
        <v>4.11</v>
      </c>
      <c r="J1268" s="7" t="s">
        <v>5714</v>
      </c>
      <c r="K1268" s="5" t="s">
        <v>72</v>
      </c>
      <c r="L1268" s="11">
        <v>224</v>
      </c>
      <c r="M1268" s="11">
        <v>2021</v>
      </c>
      <c r="N1268" s="16"/>
      <c r="O1268" s="15"/>
      <c r="P1268" s="8">
        <v>45122</v>
      </c>
      <c r="Q1268" s="8"/>
      <c r="R1268" s="8"/>
      <c r="S1268" s="8"/>
      <c r="T1268" s="8"/>
      <c r="U1268" s="8"/>
      <c r="V1268" s="8"/>
      <c r="W1268" s="8"/>
      <c r="X1268" s="8"/>
      <c r="Y1268" s="8"/>
      <c r="Z1268" s="8"/>
      <c r="AA1268" s="8"/>
      <c r="AB1268" s="8"/>
      <c r="AC1268" s="8"/>
      <c r="AD1268" s="8"/>
      <c r="AE1268" s="8"/>
      <c r="AF1268" s="8"/>
      <c r="AG1268" s="8"/>
      <c r="AH1268" s="8"/>
      <c r="AI1268" s="8"/>
      <c r="AJ1268" s="8"/>
      <c r="AK1268" s="8"/>
      <c r="AL1268" s="8"/>
      <c r="AM1268" s="8"/>
      <c r="AN1268" s="8"/>
      <c r="AO1268" s="8"/>
      <c r="AP1268" s="8"/>
      <c r="AQ1268" s="8"/>
      <c r="AR1268" s="8"/>
      <c r="AS1268" s="8"/>
      <c r="AT1268" s="8"/>
      <c r="AU1268" s="8"/>
      <c r="AV1268" s="8"/>
      <c r="AW1268" s="8"/>
      <c r="AX1268" s="4" t="s">
        <v>38</v>
      </c>
      <c r="AY1268" s="5" t="s">
        <v>5715</v>
      </c>
      <c r="AZ1268" s="5" t="s">
        <v>38</v>
      </c>
      <c r="BA1268" s="12"/>
      <c r="BB1268" s="12"/>
      <c r="BC1268" s="12"/>
      <c r="BD1268" s="11">
        <v>0</v>
      </c>
      <c r="BE1268" s="11">
        <v>0</v>
      </c>
    </row>
    <row x14ac:dyDescent="0.25" r="1269" customHeight="1" ht="17.25">
      <c r="A1269" s="11">
        <v>56969547</v>
      </c>
      <c r="B1269" s="4" t="s">
        <v>5716</v>
      </c>
      <c r="C1269" s="5" t="s">
        <v>5717</v>
      </c>
      <c r="D1269" s="5" t="s">
        <v>5718</v>
      </c>
      <c r="E1269" s="12"/>
      <c r="F1269" s="13">
        <f>"1419756370"</f>
      </c>
      <c r="G1269" s="13">
        <f>"9781419756375"</f>
      </c>
      <c r="H1269" s="11">
        <v>0</v>
      </c>
      <c r="I1269" s="14">
        <v>4.32</v>
      </c>
      <c r="J1269" s="7" t="s">
        <v>5719</v>
      </c>
      <c r="K1269" s="5" t="s">
        <v>72</v>
      </c>
      <c r="L1269" s="11">
        <v>400</v>
      </c>
      <c r="M1269" s="11">
        <v>2021</v>
      </c>
      <c r="N1269" s="11">
        <v>2021</v>
      </c>
      <c r="O1269" s="15"/>
      <c r="P1269" s="8">
        <v>45122</v>
      </c>
      <c r="Q1269" s="8"/>
      <c r="R1269" s="8"/>
      <c r="S1269" s="8"/>
      <c r="T1269" s="8"/>
      <c r="U1269" s="8"/>
      <c r="V1269" s="8"/>
      <c r="W1269" s="8"/>
      <c r="X1269" s="8"/>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4" t="s">
        <v>38</v>
      </c>
      <c r="AY1269" s="5" t="s">
        <v>5720</v>
      </c>
      <c r="AZ1269" s="5" t="s">
        <v>38</v>
      </c>
      <c r="BA1269" s="12"/>
      <c r="BB1269" s="12"/>
      <c r="BC1269" s="12"/>
      <c r="BD1269" s="11">
        <v>0</v>
      </c>
      <c r="BE1269" s="11">
        <v>0</v>
      </c>
    </row>
    <row x14ac:dyDescent="0.25" r="1270" customHeight="1" ht="17.25">
      <c r="A1270" s="11">
        <v>30355210</v>
      </c>
      <c r="B1270" s="4" t="s">
        <v>5721</v>
      </c>
      <c r="C1270" s="5" t="s">
        <v>5722</v>
      </c>
      <c r="D1270" s="5" t="s">
        <v>5723</v>
      </c>
      <c r="E1270" s="5" t="s">
        <v>5724</v>
      </c>
      <c r="F1270" s="13">
        <f>"1907222448"</f>
      </c>
      <c r="G1270" s="13">
        <f>"9781907222443"</f>
      </c>
      <c r="H1270" s="11">
        <v>0</v>
      </c>
      <c r="I1270" s="14">
        <v>4.73</v>
      </c>
      <c r="J1270" s="7" t="s">
        <v>5725</v>
      </c>
      <c r="K1270" s="5" t="s">
        <v>72</v>
      </c>
      <c r="L1270" s="11">
        <v>336</v>
      </c>
      <c r="M1270" s="11">
        <v>2016</v>
      </c>
      <c r="N1270" s="16"/>
      <c r="O1270" s="15"/>
      <c r="P1270" s="8">
        <v>45122</v>
      </c>
      <c r="Q1270" s="8"/>
      <c r="R1270" s="8"/>
      <c r="S1270" s="8"/>
      <c r="T1270" s="8"/>
      <c r="U1270" s="8"/>
      <c r="V1270" s="8"/>
      <c r="W1270" s="8"/>
      <c r="X1270" s="8"/>
      <c r="Y1270" s="8"/>
      <c r="Z1270" s="8"/>
      <c r="AA1270" s="8"/>
      <c r="AB1270" s="8"/>
      <c r="AC1270" s="8"/>
      <c r="AD1270" s="8"/>
      <c r="AE1270" s="8"/>
      <c r="AF1270" s="8"/>
      <c r="AG1270" s="8"/>
      <c r="AH1270" s="8"/>
      <c r="AI1270" s="8"/>
      <c r="AJ1270" s="8"/>
      <c r="AK1270" s="8"/>
      <c r="AL1270" s="8"/>
      <c r="AM1270" s="8"/>
      <c r="AN1270" s="8"/>
      <c r="AO1270" s="8"/>
      <c r="AP1270" s="8"/>
      <c r="AQ1270" s="8"/>
      <c r="AR1270" s="8"/>
      <c r="AS1270" s="8"/>
      <c r="AT1270" s="8"/>
      <c r="AU1270" s="8"/>
      <c r="AV1270" s="8"/>
      <c r="AW1270" s="8"/>
      <c r="AX1270" s="4" t="s">
        <v>38</v>
      </c>
      <c r="AY1270" s="5" t="s">
        <v>5726</v>
      </c>
      <c r="AZ1270" s="5" t="s">
        <v>38</v>
      </c>
      <c r="BA1270" s="12"/>
      <c r="BB1270" s="12"/>
      <c r="BC1270" s="12"/>
      <c r="BD1270" s="11">
        <v>0</v>
      </c>
      <c r="BE1270" s="11">
        <v>0</v>
      </c>
    </row>
    <row x14ac:dyDescent="0.25" r="1271" customHeight="1" ht="17.25">
      <c r="A1271" s="11">
        <v>2828231</v>
      </c>
      <c r="B1271" s="4" t="s">
        <v>5727</v>
      </c>
      <c r="C1271" s="5" t="s">
        <v>5728</v>
      </c>
      <c r="D1271" s="5" t="s">
        <v>5729</v>
      </c>
      <c r="E1271" s="12"/>
      <c r="F1271" s="13">
        <f>"1597312118"</f>
      </c>
      <c r="G1271" s="13">
        <f>"9781597312110"</f>
      </c>
      <c r="H1271" s="11">
        <v>0</v>
      </c>
      <c r="I1271" s="14">
        <v>4.17</v>
      </c>
      <c r="J1271" s="7" t="s">
        <v>5730</v>
      </c>
      <c r="K1271" s="5" t="s">
        <v>60</v>
      </c>
      <c r="L1271" s="11">
        <v>492</v>
      </c>
      <c r="M1271" s="11">
        <v>2007</v>
      </c>
      <c r="N1271" s="11">
        <v>2004</v>
      </c>
      <c r="O1271" s="15"/>
      <c r="P1271" s="8">
        <v>45122</v>
      </c>
      <c r="Q1271" s="8"/>
      <c r="R1271" s="8"/>
      <c r="S1271" s="8"/>
      <c r="T1271" s="8"/>
      <c r="U1271" s="8"/>
      <c r="V1271" s="8"/>
      <c r="W1271" s="8"/>
      <c r="X1271" s="8"/>
      <c r="Y1271" s="8"/>
      <c r="Z1271" s="8"/>
      <c r="AA1271" s="8"/>
      <c r="AB1271" s="8"/>
      <c r="AC1271" s="8"/>
      <c r="AD1271" s="8"/>
      <c r="AE1271" s="8"/>
      <c r="AF1271" s="8"/>
      <c r="AG1271" s="8"/>
      <c r="AH1271" s="8"/>
      <c r="AI1271" s="8"/>
      <c r="AJ1271" s="8"/>
      <c r="AK1271" s="8"/>
      <c r="AL1271" s="8"/>
      <c r="AM1271" s="8"/>
      <c r="AN1271" s="8"/>
      <c r="AO1271" s="8"/>
      <c r="AP1271" s="8"/>
      <c r="AQ1271" s="8"/>
      <c r="AR1271" s="8"/>
      <c r="AS1271" s="8"/>
      <c r="AT1271" s="8"/>
      <c r="AU1271" s="8"/>
      <c r="AV1271" s="8"/>
      <c r="AW1271" s="8"/>
      <c r="AX1271" s="4" t="s">
        <v>38</v>
      </c>
      <c r="AY1271" s="5" t="s">
        <v>5731</v>
      </c>
      <c r="AZ1271" s="5" t="s">
        <v>38</v>
      </c>
      <c r="BA1271" s="12"/>
      <c r="BB1271" s="12"/>
      <c r="BC1271" s="12"/>
      <c r="BD1271" s="11">
        <v>0</v>
      </c>
      <c r="BE1271" s="11">
        <v>0</v>
      </c>
    </row>
    <row x14ac:dyDescent="0.25" r="1272" customHeight="1" ht="17.25">
      <c r="A1272" s="11">
        <v>1898426</v>
      </c>
      <c r="B1272" s="4" t="s">
        <v>5732</v>
      </c>
      <c r="C1272" s="5" t="s">
        <v>5733</v>
      </c>
      <c r="D1272" s="5" t="s">
        <v>5734</v>
      </c>
      <c r="E1272" s="12"/>
      <c r="F1272" s="13">
        <f>"0877288216"</f>
      </c>
      <c r="G1272" s="13">
        <f>"9780877288213"</f>
      </c>
      <c r="H1272" s="11">
        <v>0</v>
      </c>
      <c r="I1272" s="14">
        <v>3.92</v>
      </c>
      <c r="J1272" s="7" t="s">
        <v>5059</v>
      </c>
      <c r="K1272" s="5" t="s">
        <v>60</v>
      </c>
      <c r="L1272" s="11">
        <v>320</v>
      </c>
      <c r="M1272" s="11">
        <v>1995</v>
      </c>
      <c r="N1272" s="11">
        <v>1995</v>
      </c>
      <c r="O1272" s="15"/>
      <c r="P1272" s="8">
        <v>45122</v>
      </c>
      <c r="Q1272" s="8"/>
      <c r="R1272" s="8"/>
      <c r="S1272" s="8"/>
      <c r="T1272" s="8"/>
      <c r="U1272" s="8"/>
      <c r="V1272" s="8"/>
      <c r="W1272" s="8"/>
      <c r="X1272" s="8"/>
      <c r="Y1272" s="8"/>
      <c r="Z1272" s="8"/>
      <c r="AA1272" s="8"/>
      <c r="AB1272" s="8"/>
      <c r="AC1272" s="8"/>
      <c r="AD1272" s="8"/>
      <c r="AE1272" s="8"/>
      <c r="AF1272" s="8"/>
      <c r="AG1272" s="8"/>
      <c r="AH1272" s="8"/>
      <c r="AI1272" s="8"/>
      <c r="AJ1272" s="8"/>
      <c r="AK1272" s="8"/>
      <c r="AL1272" s="8"/>
      <c r="AM1272" s="8"/>
      <c r="AN1272" s="8"/>
      <c r="AO1272" s="8"/>
      <c r="AP1272" s="8"/>
      <c r="AQ1272" s="8"/>
      <c r="AR1272" s="8"/>
      <c r="AS1272" s="8"/>
      <c r="AT1272" s="8"/>
      <c r="AU1272" s="8"/>
      <c r="AV1272" s="8"/>
      <c r="AW1272" s="8"/>
      <c r="AX1272" s="4" t="s">
        <v>2566</v>
      </c>
      <c r="AY1272" s="5" t="s">
        <v>5735</v>
      </c>
      <c r="AZ1272" s="5" t="s">
        <v>38</v>
      </c>
      <c r="BA1272" s="12"/>
      <c r="BB1272" s="12"/>
      <c r="BC1272" s="12"/>
      <c r="BD1272" s="11">
        <v>0</v>
      </c>
      <c r="BE1272" s="11">
        <v>0</v>
      </c>
    </row>
    <row x14ac:dyDescent="0.25" r="1273" customHeight="1" ht="17.25">
      <c r="A1273" s="11">
        <v>877488</v>
      </c>
      <c r="B1273" s="4" t="s">
        <v>5736</v>
      </c>
      <c r="C1273" s="5" t="s">
        <v>5737</v>
      </c>
      <c r="D1273" s="5" t="s">
        <v>5738</v>
      </c>
      <c r="E1273" s="12"/>
      <c r="F1273" s="13">
        <f>"0312291280"</f>
      </c>
      <c r="G1273" s="13">
        <f>"9780312291280"</f>
      </c>
      <c r="H1273" s="11">
        <v>0</v>
      </c>
      <c r="I1273" s="11">
        <v>4</v>
      </c>
      <c r="J1273" s="7" t="s">
        <v>2166</v>
      </c>
      <c r="K1273" s="5" t="s">
        <v>60</v>
      </c>
      <c r="L1273" s="11">
        <v>544</v>
      </c>
      <c r="M1273" s="11">
        <v>2003</v>
      </c>
      <c r="N1273" s="11">
        <v>2003</v>
      </c>
      <c r="O1273" s="15"/>
      <c r="P1273" s="8">
        <v>45122</v>
      </c>
      <c r="Q1273" s="8"/>
      <c r="R1273" s="8"/>
      <c r="S1273" s="8"/>
      <c r="T1273" s="8"/>
      <c r="U1273" s="8"/>
      <c r="V1273" s="8"/>
      <c r="W1273" s="8"/>
      <c r="X1273" s="8"/>
      <c r="Y1273" s="8"/>
      <c r="Z1273" s="8"/>
      <c r="AA1273" s="8"/>
      <c r="AB1273" s="8"/>
      <c r="AC1273" s="8"/>
      <c r="AD1273" s="8"/>
      <c r="AE1273" s="8"/>
      <c r="AF1273" s="8"/>
      <c r="AG1273" s="8"/>
      <c r="AH1273" s="8"/>
      <c r="AI1273" s="8"/>
      <c r="AJ1273" s="8"/>
      <c r="AK1273" s="8"/>
      <c r="AL1273" s="8"/>
      <c r="AM1273" s="8"/>
      <c r="AN1273" s="8"/>
      <c r="AO1273" s="8"/>
      <c r="AP1273" s="8"/>
      <c r="AQ1273" s="8"/>
      <c r="AR1273" s="8"/>
      <c r="AS1273" s="8"/>
      <c r="AT1273" s="8"/>
      <c r="AU1273" s="8"/>
      <c r="AV1273" s="8"/>
      <c r="AW1273" s="8"/>
      <c r="AX1273" s="4" t="s">
        <v>2566</v>
      </c>
      <c r="AY1273" s="5" t="s">
        <v>5739</v>
      </c>
      <c r="AZ1273" s="5" t="s">
        <v>38</v>
      </c>
      <c r="BA1273" s="12"/>
      <c r="BB1273" s="12"/>
      <c r="BC1273" s="12"/>
      <c r="BD1273" s="11">
        <v>0</v>
      </c>
      <c r="BE1273" s="11">
        <v>0</v>
      </c>
    </row>
    <row x14ac:dyDescent="0.25" r="1274" customHeight="1" ht="17.25">
      <c r="A1274" s="11">
        <v>58958015</v>
      </c>
      <c r="B1274" s="4" t="s">
        <v>5740</v>
      </c>
      <c r="C1274" s="5" t="s">
        <v>5741</v>
      </c>
      <c r="D1274" s="5" t="s">
        <v>5742</v>
      </c>
      <c r="E1274" s="12"/>
      <c r="F1274" s="13">
        <f>"1578637708"</f>
      </c>
      <c r="G1274" s="13">
        <f>"9781578637706"</f>
      </c>
      <c r="H1274" s="11">
        <v>0</v>
      </c>
      <c r="I1274" s="14">
        <v>4.41</v>
      </c>
      <c r="J1274" s="7" t="s">
        <v>5059</v>
      </c>
      <c r="K1274" s="5" t="s">
        <v>60</v>
      </c>
      <c r="L1274" s="11">
        <v>288</v>
      </c>
      <c r="M1274" s="11">
        <v>2023</v>
      </c>
      <c r="N1274" s="16"/>
      <c r="O1274" s="15"/>
      <c r="P1274" s="8">
        <v>45122</v>
      </c>
      <c r="Q1274" s="8"/>
      <c r="R1274" s="8"/>
      <c r="S1274" s="8"/>
      <c r="T1274" s="8"/>
      <c r="U1274" s="8"/>
      <c r="V1274" s="8"/>
      <c r="W1274" s="8"/>
      <c r="X1274" s="8"/>
      <c r="Y1274" s="8"/>
      <c r="Z1274" s="8"/>
      <c r="AA1274" s="8"/>
      <c r="AB1274" s="8"/>
      <c r="AC1274" s="8"/>
      <c r="AD1274" s="8"/>
      <c r="AE1274" s="8"/>
      <c r="AF1274" s="8"/>
      <c r="AG1274" s="8"/>
      <c r="AH1274" s="8"/>
      <c r="AI1274" s="8"/>
      <c r="AJ1274" s="8"/>
      <c r="AK1274" s="8"/>
      <c r="AL1274" s="8"/>
      <c r="AM1274" s="8"/>
      <c r="AN1274" s="8"/>
      <c r="AO1274" s="8"/>
      <c r="AP1274" s="8"/>
      <c r="AQ1274" s="8"/>
      <c r="AR1274" s="8"/>
      <c r="AS1274" s="8"/>
      <c r="AT1274" s="8"/>
      <c r="AU1274" s="8"/>
      <c r="AV1274" s="8"/>
      <c r="AW1274" s="8"/>
      <c r="AX1274" s="4" t="s">
        <v>38</v>
      </c>
      <c r="AY1274" s="5" t="s">
        <v>5743</v>
      </c>
      <c r="AZ1274" s="5" t="s">
        <v>38</v>
      </c>
      <c r="BA1274" s="12"/>
      <c r="BB1274" s="12"/>
      <c r="BC1274" s="12"/>
      <c r="BD1274" s="11">
        <v>0</v>
      </c>
      <c r="BE1274" s="11">
        <v>0</v>
      </c>
    </row>
    <row x14ac:dyDescent="0.25" r="1275" customHeight="1" ht="17.25">
      <c r="A1275" s="11">
        <v>484644</v>
      </c>
      <c r="B1275" s="4" t="s">
        <v>5744</v>
      </c>
      <c r="C1275" s="5" t="s">
        <v>5745</v>
      </c>
      <c r="D1275" s="5" t="s">
        <v>5746</v>
      </c>
      <c r="E1275" s="12"/>
      <c r="F1275" s="13">
        <f>"0971559112"</f>
      </c>
      <c r="G1275" s="13">
        <f>"9780971559110"</f>
      </c>
      <c r="H1275" s="11">
        <v>0</v>
      </c>
      <c r="I1275" s="14">
        <v>3.54</v>
      </c>
      <c r="J1275" s="7" t="s">
        <v>5747</v>
      </c>
      <c r="K1275" s="5" t="s">
        <v>60</v>
      </c>
      <c r="L1275" s="11">
        <v>280</v>
      </c>
      <c r="M1275" s="11">
        <v>2001</v>
      </c>
      <c r="N1275" s="11">
        <v>2001</v>
      </c>
      <c r="O1275" s="15"/>
      <c r="P1275" s="8">
        <v>45122</v>
      </c>
      <c r="Q1275" s="8"/>
      <c r="R1275" s="8"/>
      <c r="S1275" s="8"/>
      <c r="T1275" s="8"/>
      <c r="U1275" s="8"/>
      <c r="V1275" s="8"/>
      <c r="W1275" s="8"/>
      <c r="X1275" s="8"/>
      <c r="Y1275" s="8"/>
      <c r="Z1275" s="8"/>
      <c r="AA1275" s="8"/>
      <c r="AB1275" s="8"/>
      <c r="AC1275" s="8"/>
      <c r="AD1275" s="8"/>
      <c r="AE1275" s="8"/>
      <c r="AF1275" s="8"/>
      <c r="AG1275" s="8"/>
      <c r="AH1275" s="8"/>
      <c r="AI1275" s="8"/>
      <c r="AJ1275" s="8"/>
      <c r="AK1275" s="8"/>
      <c r="AL1275" s="8"/>
      <c r="AM1275" s="8"/>
      <c r="AN1275" s="8"/>
      <c r="AO1275" s="8"/>
      <c r="AP1275" s="8"/>
      <c r="AQ1275" s="8"/>
      <c r="AR1275" s="8"/>
      <c r="AS1275" s="8"/>
      <c r="AT1275" s="8"/>
      <c r="AU1275" s="8"/>
      <c r="AV1275" s="8"/>
      <c r="AW1275" s="8"/>
      <c r="AX1275" s="4" t="s">
        <v>38</v>
      </c>
      <c r="AY1275" s="5" t="s">
        <v>5748</v>
      </c>
      <c r="AZ1275" s="5" t="s">
        <v>38</v>
      </c>
      <c r="BA1275" s="12"/>
      <c r="BB1275" s="12"/>
      <c r="BC1275" s="12"/>
      <c r="BD1275" s="11">
        <v>0</v>
      </c>
      <c r="BE1275" s="11">
        <v>0</v>
      </c>
    </row>
    <row x14ac:dyDescent="0.25" r="1276" customHeight="1" ht="17.25">
      <c r="A1276" s="11">
        <v>59779</v>
      </c>
      <c r="B1276" s="4" t="s">
        <v>5749</v>
      </c>
      <c r="C1276" s="5" t="s">
        <v>5750</v>
      </c>
      <c r="D1276" s="5" t="s">
        <v>5751</v>
      </c>
      <c r="E1276" s="12"/>
      <c r="F1276" s="13">
        <f>""</f>
      </c>
      <c r="G1276" s="13">
        <f>""</f>
      </c>
      <c r="H1276" s="11">
        <v>0</v>
      </c>
      <c r="I1276" s="14">
        <v>3.47</v>
      </c>
      <c r="J1276" s="7" t="s">
        <v>2160</v>
      </c>
      <c r="K1276" s="5" t="s">
        <v>60</v>
      </c>
      <c r="L1276" s="11">
        <v>144</v>
      </c>
      <c r="M1276" s="11">
        <v>1997</v>
      </c>
      <c r="N1276" s="11">
        <v>1973</v>
      </c>
      <c r="O1276" s="15"/>
      <c r="P1276" s="8">
        <v>45122</v>
      </c>
      <c r="Q1276" s="8"/>
      <c r="R1276" s="8"/>
      <c r="S1276" s="8"/>
      <c r="T1276" s="8"/>
      <c r="U1276" s="8"/>
      <c r="V1276" s="8"/>
      <c r="W1276" s="8"/>
      <c r="X1276" s="8"/>
      <c r="Y1276" s="8"/>
      <c r="Z1276" s="8"/>
      <c r="AA1276" s="8"/>
      <c r="AB1276" s="8"/>
      <c r="AC1276" s="8"/>
      <c r="AD1276" s="8"/>
      <c r="AE1276" s="8"/>
      <c r="AF1276" s="8"/>
      <c r="AG1276" s="8"/>
      <c r="AH1276" s="8"/>
      <c r="AI1276" s="8"/>
      <c r="AJ1276" s="8"/>
      <c r="AK1276" s="8"/>
      <c r="AL1276" s="8"/>
      <c r="AM1276" s="8"/>
      <c r="AN1276" s="8"/>
      <c r="AO1276" s="8"/>
      <c r="AP1276" s="8"/>
      <c r="AQ1276" s="8"/>
      <c r="AR1276" s="8"/>
      <c r="AS1276" s="8"/>
      <c r="AT1276" s="8"/>
      <c r="AU1276" s="8"/>
      <c r="AV1276" s="8"/>
      <c r="AW1276" s="8"/>
      <c r="AX1276" s="4" t="s">
        <v>38</v>
      </c>
      <c r="AY1276" s="5" t="s">
        <v>5752</v>
      </c>
      <c r="AZ1276" s="5" t="s">
        <v>38</v>
      </c>
      <c r="BA1276" s="12"/>
      <c r="BB1276" s="12"/>
      <c r="BC1276" s="12"/>
      <c r="BD1276" s="11">
        <v>0</v>
      </c>
      <c r="BE1276" s="11">
        <v>0</v>
      </c>
    </row>
    <row x14ac:dyDescent="0.25" r="1277" customHeight="1" ht="17.25">
      <c r="A1277" s="11">
        <v>530908</v>
      </c>
      <c r="B1277" s="4" t="s">
        <v>5753</v>
      </c>
      <c r="C1277" s="5" t="s">
        <v>5754</v>
      </c>
      <c r="D1277" s="5" t="s">
        <v>5755</v>
      </c>
      <c r="E1277" s="5" t="s">
        <v>5756</v>
      </c>
      <c r="F1277" s="13">
        <f>"0486232913"</f>
      </c>
      <c r="G1277" s="13">
        <f>"9780486232911"</f>
      </c>
      <c r="H1277" s="11">
        <v>0</v>
      </c>
      <c r="I1277" s="14">
        <v>3.62</v>
      </c>
      <c r="J1277" s="7" t="s">
        <v>571</v>
      </c>
      <c r="K1277" s="5" t="s">
        <v>60</v>
      </c>
      <c r="L1277" s="11">
        <v>63</v>
      </c>
      <c r="M1277" s="11">
        <v>1976</v>
      </c>
      <c r="N1277" s="11">
        <v>1912</v>
      </c>
      <c r="O1277" s="15"/>
      <c r="P1277" s="8">
        <v>45122</v>
      </c>
      <c r="Q1277" s="8"/>
      <c r="R1277" s="8"/>
      <c r="S1277" s="8"/>
      <c r="T1277" s="8"/>
      <c r="U1277" s="8"/>
      <c r="V1277" s="8"/>
      <c r="W1277" s="8"/>
      <c r="X1277" s="8"/>
      <c r="Y1277" s="8"/>
      <c r="Z1277" s="8"/>
      <c r="AA1277" s="8"/>
      <c r="AB1277" s="8"/>
      <c r="AC1277" s="8"/>
      <c r="AD1277" s="8"/>
      <c r="AE1277" s="8"/>
      <c r="AF1277" s="8"/>
      <c r="AG1277" s="8"/>
      <c r="AH1277" s="8"/>
      <c r="AI1277" s="8"/>
      <c r="AJ1277" s="8"/>
      <c r="AK1277" s="8"/>
      <c r="AL1277" s="8"/>
      <c r="AM1277" s="8"/>
      <c r="AN1277" s="8"/>
      <c r="AO1277" s="8"/>
      <c r="AP1277" s="8"/>
      <c r="AQ1277" s="8"/>
      <c r="AR1277" s="8"/>
      <c r="AS1277" s="8"/>
      <c r="AT1277" s="8"/>
      <c r="AU1277" s="8"/>
      <c r="AV1277" s="8"/>
      <c r="AW1277" s="8"/>
      <c r="AX1277" s="4" t="s">
        <v>38</v>
      </c>
      <c r="AY1277" s="5" t="s">
        <v>5757</v>
      </c>
      <c r="AZ1277" s="5" t="s">
        <v>38</v>
      </c>
      <c r="BA1277" s="12"/>
      <c r="BB1277" s="12"/>
      <c r="BC1277" s="12"/>
      <c r="BD1277" s="11">
        <v>0</v>
      </c>
      <c r="BE1277" s="11">
        <v>0</v>
      </c>
    </row>
    <row x14ac:dyDescent="0.25" r="1278" customHeight="1" ht="17.25">
      <c r="A1278" s="11">
        <v>242532</v>
      </c>
      <c r="B1278" s="4" t="s">
        <v>5758</v>
      </c>
      <c r="C1278" s="5" t="s">
        <v>5661</v>
      </c>
      <c r="D1278" s="5" t="s">
        <v>5662</v>
      </c>
      <c r="E1278" s="5" t="s">
        <v>5759</v>
      </c>
      <c r="F1278" s="13">
        <f>"1578631173"</f>
      </c>
      <c r="G1278" s="13">
        <f>"9781578631179"</f>
      </c>
      <c r="H1278" s="11">
        <v>0</v>
      </c>
      <c r="I1278" s="14">
        <v>4.34</v>
      </c>
      <c r="J1278" s="7" t="s">
        <v>5059</v>
      </c>
      <c r="K1278" s="5" t="s">
        <v>60</v>
      </c>
      <c r="L1278" s="11">
        <v>236</v>
      </c>
      <c r="M1278" s="11">
        <v>2000</v>
      </c>
      <c r="N1278" s="11">
        <v>1997</v>
      </c>
      <c r="O1278" s="15"/>
      <c r="P1278" s="8">
        <v>45122</v>
      </c>
      <c r="Q1278" s="8"/>
      <c r="R1278" s="8"/>
      <c r="S1278" s="8"/>
      <c r="T1278" s="8"/>
      <c r="U1278" s="8"/>
      <c r="V1278" s="8"/>
      <c r="W1278" s="8"/>
      <c r="X1278" s="8"/>
      <c r="Y1278" s="8"/>
      <c r="Z1278" s="8"/>
      <c r="AA1278" s="8"/>
      <c r="AB1278" s="8"/>
      <c r="AC1278" s="8"/>
      <c r="AD1278" s="8"/>
      <c r="AE1278" s="8"/>
      <c r="AF1278" s="8"/>
      <c r="AG1278" s="8"/>
      <c r="AH1278" s="8"/>
      <c r="AI1278" s="8"/>
      <c r="AJ1278" s="8"/>
      <c r="AK1278" s="8"/>
      <c r="AL1278" s="8"/>
      <c r="AM1278" s="8"/>
      <c r="AN1278" s="8"/>
      <c r="AO1278" s="8"/>
      <c r="AP1278" s="8"/>
      <c r="AQ1278" s="8"/>
      <c r="AR1278" s="8"/>
      <c r="AS1278" s="8"/>
      <c r="AT1278" s="8"/>
      <c r="AU1278" s="8"/>
      <c r="AV1278" s="8"/>
      <c r="AW1278" s="8"/>
      <c r="AX1278" s="4" t="s">
        <v>38</v>
      </c>
      <c r="AY1278" s="5" t="s">
        <v>5760</v>
      </c>
      <c r="AZ1278" s="5" t="s">
        <v>38</v>
      </c>
      <c r="BA1278" s="12"/>
      <c r="BB1278" s="12"/>
      <c r="BC1278" s="12"/>
      <c r="BD1278" s="11">
        <v>0</v>
      </c>
      <c r="BE1278" s="11">
        <v>0</v>
      </c>
    </row>
    <row x14ac:dyDescent="0.25" r="1279" customHeight="1" ht="17.25">
      <c r="A1279" s="11">
        <v>27395552</v>
      </c>
      <c r="B1279" s="4" t="s">
        <v>5761</v>
      </c>
      <c r="C1279" s="5" t="s">
        <v>5762</v>
      </c>
      <c r="D1279" s="5" t="s">
        <v>5763</v>
      </c>
      <c r="E1279" s="12"/>
      <c r="F1279" s="13">
        <f>""</f>
      </c>
      <c r="G1279" s="13">
        <f>""</f>
      </c>
      <c r="H1279" s="11">
        <v>0</v>
      </c>
      <c r="I1279" s="11">
        <v>3</v>
      </c>
      <c r="J1279" s="18"/>
      <c r="K1279" s="1"/>
      <c r="L1279" s="11">
        <v>59</v>
      </c>
      <c r="M1279" s="11">
        <v>1979</v>
      </c>
      <c r="N1279" s="16"/>
      <c r="O1279" s="15"/>
      <c r="P1279" s="8">
        <v>45122</v>
      </c>
      <c r="Q1279" s="8"/>
      <c r="R1279" s="8"/>
      <c r="S1279" s="8"/>
      <c r="T1279" s="8"/>
      <c r="U1279" s="8"/>
      <c r="V1279" s="8"/>
      <c r="W1279" s="8"/>
      <c r="X1279" s="8"/>
      <c r="Y1279" s="8"/>
      <c r="Z1279" s="8"/>
      <c r="AA1279" s="8"/>
      <c r="AB1279" s="8"/>
      <c r="AC1279" s="8"/>
      <c r="AD1279" s="8"/>
      <c r="AE1279" s="8"/>
      <c r="AF1279" s="8"/>
      <c r="AG1279" s="8"/>
      <c r="AH1279" s="8"/>
      <c r="AI1279" s="8"/>
      <c r="AJ1279" s="8"/>
      <c r="AK1279" s="8"/>
      <c r="AL1279" s="8"/>
      <c r="AM1279" s="8"/>
      <c r="AN1279" s="8"/>
      <c r="AO1279" s="8"/>
      <c r="AP1279" s="8"/>
      <c r="AQ1279" s="8"/>
      <c r="AR1279" s="8"/>
      <c r="AS1279" s="8"/>
      <c r="AT1279" s="8"/>
      <c r="AU1279" s="8"/>
      <c r="AV1279" s="8"/>
      <c r="AW1279" s="8"/>
      <c r="AX1279" s="4" t="s">
        <v>38</v>
      </c>
      <c r="AY1279" s="5" t="s">
        <v>5764</v>
      </c>
      <c r="AZ1279" s="5" t="s">
        <v>38</v>
      </c>
      <c r="BA1279" s="12"/>
      <c r="BB1279" s="12"/>
      <c r="BC1279" s="12"/>
      <c r="BD1279" s="11">
        <v>0</v>
      </c>
      <c r="BE1279" s="11">
        <v>0</v>
      </c>
    </row>
    <row x14ac:dyDescent="0.25" r="1280" customHeight="1" ht="17.25">
      <c r="A1280" s="11">
        <v>7170627</v>
      </c>
      <c r="B1280" s="4" t="s">
        <v>5765</v>
      </c>
      <c r="C1280" s="5" t="s">
        <v>5766</v>
      </c>
      <c r="D1280" s="5" t="s">
        <v>5767</v>
      </c>
      <c r="E1280" s="12"/>
      <c r="F1280" s="13">
        <f>""</f>
      </c>
      <c r="G1280" s="13">
        <f>""</f>
      </c>
      <c r="H1280" s="11">
        <v>0</v>
      </c>
      <c r="I1280" s="14">
        <v>4.33</v>
      </c>
      <c r="J1280" s="7" t="s">
        <v>132</v>
      </c>
      <c r="K1280" s="5" t="s">
        <v>72</v>
      </c>
      <c r="L1280" s="11">
        <v>571</v>
      </c>
      <c r="M1280" s="11">
        <v>2010</v>
      </c>
      <c r="N1280" s="11">
        <v>2010</v>
      </c>
      <c r="O1280" s="15"/>
      <c r="P1280" s="8">
        <v>43589</v>
      </c>
      <c r="Q1280" s="8"/>
      <c r="R1280" s="8"/>
      <c r="S1280" s="8"/>
      <c r="T1280" s="8"/>
      <c r="U1280" s="8"/>
      <c r="V1280" s="8"/>
      <c r="W1280" s="8"/>
      <c r="X1280" s="8"/>
      <c r="Y1280" s="8"/>
      <c r="Z1280" s="8"/>
      <c r="AA1280" s="8"/>
      <c r="AB1280" s="8"/>
      <c r="AC1280" s="8"/>
      <c r="AD1280" s="8"/>
      <c r="AE1280" s="8"/>
      <c r="AF1280" s="8"/>
      <c r="AG1280" s="8"/>
      <c r="AH1280" s="8"/>
      <c r="AI1280" s="8"/>
      <c r="AJ1280" s="8"/>
      <c r="AK1280" s="8"/>
      <c r="AL1280" s="8"/>
      <c r="AM1280" s="8"/>
      <c r="AN1280" s="8"/>
      <c r="AO1280" s="8"/>
      <c r="AP1280" s="8"/>
      <c r="AQ1280" s="8"/>
      <c r="AR1280" s="8"/>
      <c r="AS1280" s="8"/>
      <c r="AT1280" s="8"/>
      <c r="AU1280" s="8"/>
      <c r="AV1280" s="8"/>
      <c r="AW1280" s="8"/>
      <c r="AX1280" s="4" t="s">
        <v>38</v>
      </c>
      <c r="AY1280" s="5" t="s">
        <v>5768</v>
      </c>
      <c r="AZ1280" s="5" t="s">
        <v>38</v>
      </c>
      <c r="BA1280" s="12"/>
      <c r="BB1280" s="12"/>
      <c r="BC1280" s="12"/>
      <c r="BD1280" s="11">
        <v>0</v>
      </c>
      <c r="BE1280" s="11">
        <v>0</v>
      </c>
    </row>
    <row x14ac:dyDescent="0.25" r="1281" customHeight="1" ht="17.25">
      <c r="A1281" s="11">
        <v>26212752</v>
      </c>
      <c r="B1281" s="4" t="s">
        <v>5769</v>
      </c>
      <c r="C1281" s="5" t="s">
        <v>5437</v>
      </c>
      <c r="D1281" s="5" t="s">
        <v>5438</v>
      </c>
      <c r="E1281" s="5" t="s">
        <v>5770</v>
      </c>
      <c r="F1281" s="13">
        <f>""</f>
      </c>
      <c r="G1281" s="13">
        <f>""</f>
      </c>
      <c r="H1281" s="11">
        <v>0</v>
      </c>
      <c r="I1281" s="14">
        <v>3.96</v>
      </c>
      <c r="J1281" s="7" t="s">
        <v>5440</v>
      </c>
      <c r="K1281" s="5" t="s">
        <v>90</v>
      </c>
      <c r="L1281" s="11">
        <v>304</v>
      </c>
      <c r="M1281" s="11">
        <v>2014</v>
      </c>
      <c r="N1281" s="11">
        <v>2001</v>
      </c>
      <c r="O1281" s="15"/>
      <c r="P1281" s="8">
        <v>43976</v>
      </c>
      <c r="Q1281" s="8"/>
      <c r="R1281" s="8"/>
      <c r="S1281" s="8"/>
      <c r="T1281" s="8"/>
      <c r="U1281" s="8"/>
      <c r="V1281" s="8"/>
      <c r="W1281" s="8"/>
      <c r="X1281" s="8"/>
      <c r="Y1281" s="8"/>
      <c r="Z1281" s="8"/>
      <c r="AA1281" s="8"/>
      <c r="AB1281" s="8"/>
      <c r="AC1281" s="8"/>
      <c r="AD1281" s="8"/>
      <c r="AE1281" s="8"/>
      <c r="AF1281" s="8"/>
      <c r="AG1281" s="8"/>
      <c r="AH1281" s="8"/>
      <c r="AI1281" s="8"/>
      <c r="AJ1281" s="8"/>
      <c r="AK1281" s="8"/>
      <c r="AL1281" s="8"/>
      <c r="AM1281" s="8"/>
      <c r="AN1281" s="8"/>
      <c r="AO1281" s="8"/>
      <c r="AP1281" s="8"/>
      <c r="AQ1281" s="8"/>
      <c r="AR1281" s="8"/>
      <c r="AS1281" s="8"/>
      <c r="AT1281" s="8"/>
      <c r="AU1281" s="8"/>
      <c r="AV1281" s="8"/>
      <c r="AW1281" s="8"/>
      <c r="AX1281" s="4" t="s">
        <v>38</v>
      </c>
      <c r="AY1281" s="5" t="s">
        <v>5771</v>
      </c>
      <c r="AZ1281" s="5" t="s">
        <v>38</v>
      </c>
      <c r="BA1281" s="12"/>
      <c r="BB1281" s="12"/>
      <c r="BC1281" s="12"/>
      <c r="BD1281" s="11">
        <v>0</v>
      </c>
      <c r="BE1281" s="11">
        <v>0</v>
      </c>
    </row>
    <row x14ac:dyDescent="0.25" r="1282" customHeight="1" ht="17.25">
      <c r="A1282" s="11">
        <v>58046912</v>
      </c>
      <c r="B1282" s="4" t="s">
        <v>5772</v>
      </c>
      <c r="C1282" s="5" t="s">
        <v>5773</v>
      </c>
      <c r="D1282" s="5" t="s">
        <v>5774</v>
      </c>
      <c r="E1282" s="12"/>
      <c r="F1282" s="13">
        <f>""</f>
      </c>
      <c r="G1282" s="13">
        <f>""</f>
      </c>
      <c r="H1282" s="11">
        <v>0</v>
      </c>
      <c r="I1282" s="14">
        <v>4.25</v>
      </c>
      <c r="J1282" s="17" t="s">
        <v>5775</v>
      </c>
      <c r="K1282" s="5" t="s">
        <v>60</v>
      </c>
      <c r="L1282" s="11">
        <v>360</v>
      </c>
      <c r="M1282" s="11">
        <v>2021</v>
      </c>
      <c r="N1282" s="11">
        <v>1949</v>
      </c>
      <c r="O1282" s="15"/>
      <c r="P1282" s="8">
        <v>44790</v>
      </c>
      <c r="Q1282" s="8"/>
      <c r="R1282" s="8"/>
      <c r="S1282" s="8"/>
      <c r="T1282" s="8"/>
      <c r="U1282" s="8"/>
      <c r="V1282" s="8"/>
      <c r="W1282" s="8"/>
      <c r="X1282" s="8"/>
      <c r="Y1282" s="8"/>
      <c r="Z1282" s="8"/>
      <c r="AA1282" s="8"/>
      <c r="AB1282" s="8"/>
      <c r="AC1282" s="8"/>
      <c r="AD1282" s="8"/>
      <c r="AE1282" s="8"/>
      <c r="AF1282" s="8"/>
      <c r="AG1282" s="8"/>
      <c r="AH1282" s="8"/>
      <c r="AI1282" s="8"/>
      <c r="AJ1282" s="8"/>
      <c r="AK1282" s="8"/>
      <c r="AL1282" s="8"/>
      <c r="AM1282" s="8"/>
      <c r="AN1282" s="8"/>
      <c r="AO1282" s="8"/>
      <c r="AP1282" s="8"/>
      <c r="AQ1282" s="8"/>
      <c r="AR1282" s="8"/>
      <c r="AS1282" s="8"/>
      <c r="AT1282" s="8"/>
      <c r="AU1282" s="8"/>
      <c r="AV1282" s="8"/>
      <c r="AW1282" s="8"/>
      <c r="AX1282" s="4" t="s">
        <v>38</v>
      </c>
      <c r="AY1282" s="5" t="s">
        <v>5776</v>
      </c>
      <c r="AZ1282" s="5" t="s">
        <v>38</v>
      </c>
      <c r="BA1282" s="12"/>
      <c r="BB1282" s="12"/>
      <c r="BC1282" s="12"/>
      <c r="BD1282" s="11">
        <v>0</v>
      </c>
      <c r="BE1282" s="11">
        <v>0</v>
      </c>
    </row>
    <row x14ac:dyDescent="0.25" r="1283" customHeight="1" ht="17.25">
      <c r="A1283" s="11">
        <v>55501553</v>
      </c>
      <c r="B1283" s="4" t="s">
        <v>5777</v>
      </c>
      <c r="C1283" s="5" t="s">
        <v>698</v>
      </c>
      <c r="D1283" s="5" t="s">
        <v>699</v>
      </c>
      <c r="E1283" s="5" t="s">
        <v>5778</v>
      </c>
      <c r="F1283" s="13">
        <f>""</f>
      </c>
      <c r="G1283" s="13">
        <f>""</f>
      </c>
      <c r="H1283" s="11">
        <v>0</v>
      </c>
      <c r="I1283" s="14">
        <v>4.29</v>
      </c>
      <c r="J1283" s="7" t="s">
        <v>5779</v>
      </c>
      <c r="K1283" s="1"/>
      <c r="L1283" s="11">
        <v>120</v>
      </c>
      <c r="M1283" s="11">
        <v>2020</v>
      </c>
      <c r="N1283" s="16"/>
      <c r="O1283" s="15"/>
      <c r="P1283" s="8">
        <v>45059</v>
      </c>
      <c r="Q1283" s="8"/>
      <c r="R1283" s="8"/>
      <c r="S1283" s="8"/>
      <c r="T1283" s="8"/>
      <c r="U1283" s="8"/>
      <c r="V1283" s="8"/>
      <c r="W1283" s="8"/>
      <c r="X1283" s="8"/>
      <c r="Y1283" s="8"/>
      <c r="Z1283" s="8"/>
      <c r="AA1283" s="8"/>
      <c r="AB1283" s="8"/>
      <c r="AC1283" s="8"/>
      <c r="AD1283" s="8"/>
      <c r="AE1283" s="8"/>
      <c r="AF1283" s="8"/>
      <c r="AG1283" s="8"/>
      <c r="AH1283" s="8"/>
      <c r="AI1283" s="8"/>
      <c r="AJ1283" s="8"/>
      <c r="AK1283" s="8"/>
      <c r="AL1283" s="8"/>
      <c r="AM1283" s="8"/>
      <c r="AN1283" s="8"/>
      <c r="AO1283" s="8"/>
      <c r="AP1283" s="8"/>
      <c r="AQ1283" s="8"/>
      <c r="AR1283" s="8"/>
      <c r="AS1283" s="8"/>
      <c r="AT1283" s="8"/>
      <c r="AU1283" s="8"/>
      <c r="AV1283" s="8"/>
      <c r="AW1283" s="8"/>
      <c r="AX1283" s="4" t="s">
        <v>38</v>
      </c>
      <c r="AY1283" s="5" t="s">
        <v>5780</v>
      </c>
      <c r="AZ1283" s="5" t="s">
        <v>38</v>
      </c>
      <c r="BA1283" s="12"/>
      <c r="BB1283" s="12"/>
      <c r="BC1283" s="12"/>
      <c r="BD1283" s="11">
        <v>0</v>
      </c>
      <c r="BE1283" s="11">
        <v>0</v>
      </c>
    </row>
    <row x14ac:dyDescent="0.25" r="1284" customHeight="1" ht="17.25">
      <c r="A1284" s="11">
        <v>54304105</v>
      </c>
      <c r="B1284" s="4" t="s">
        <v>5781</v>
      </c>
      <c r="C1284" s="5" t="s">
        <v>5782</v>
      </c>
      <c r="D1284" s="5" t="s">
        <v>5783</v>
      </c>
      <c r="E1284" s="12"/>
      <c r="F1284" s="13">
        <f>"1982142499"</f>
      </c>
      <c r="G1284" s="13">
        <f>"9781982142490"</f>
      </c>
      <c r="H1284" s="11">
        <v>0</v>
      </c>
      <c r="I1284" s="14">
        <v>3.58</v>
      </c>
      <c r="J1284" s="7" t="s">
        <v>132</v>
      </c>
      <c r="K1284" s="5" t="s">
        <v>72</v>
      </c>
      <c r="L1284" s="11">
        <v>304</v>
      </c>
      <c r="M1284" s="11">
        <v>2021</v>
      </c>
      <c r="N1284" s="11">
        <v>2021</v>
      </c>
      <c r="O1284" s="15"/>
      <c r="P1284" s="8">
        <v>44216</v>
      </c>
      <c r="Q1284" s="8"/>
      <c r="R1284" s="8"/>
      <c r="S1284" s="8"/>
      <c r="T1284" s="8"/>
      <c r="U1284" s="8"/>
      <c r="V1284" s="8"/>
      <c r="W1284" s="8"/>
      <c r="X1284" s="8"/>
      <c r="Y1284" s="8"/>
      <c r="Z1284" s="8"/>
      <c r="AA1284" s="8"/>
      <c r="AB1284" s="8"/>
      <c r="AC1284" s="8"/>
      <c r="AD1284" s="8"/>
      <c r="AE1284" s="8"/>
      <c r="AF1284" s="8"/>
      <c r="AG1284" s="8"/>
      <c r="AH1284" s="8"/>
      <c r="AI1284" s="8"/>
      <c r="AJ1284" s="8"/>
      <c r="AK1284" s="8"/>
      <c r="AL1284" s="8"/>
      <c r="AM1284" s="8"/>
      <c r="AN1284" s="8"/>
      <c r="AO1284" s="8"/>
      <c r="AP1284" s="8"/>
      <c r="AQ1284" s="8"/>
      <c r="AR1284" s="8"/>
      <c r="AS1284" s="8"/>
      <c r="AT1284" s="8"/>
      <c r="AU1284" s="8"/>
      <c r="AV1284" s="8"/>
      <c r="AW1284" s="8"/>
      <c r="AX1284" s="4" t="s">
        <v>38</v>
      </c>
      <c r="AY1284" s="5" t="s">
        <v>5784</v>
      </c>
      <c r="AZ1284" s="5" t="s">
        <v>38</v>
      </c>
      <c r="BA1284" s="12"/>
      <c r="BB1284" s="12"/>
      <c r="BC1284" s="12"/>
      <c r="BD1284" s="11">
        <v>0</v>
      </c>
      <c r="BE1284" s="11">
        <v>0</v>
      </c>
    </row>
    <row x14ac:dyDescent="0.25" r="1285" customHeight="1" ht="17.25">
      <c r="A1285" s="11">
        <v>50416289</v>
      </c>
      <c r="B1285" s="4" t="s">
        <v>5785</v>
      </c>
      <c r="C1285" s="5" t="s">
        <v>5437</v>
      </c>
      <c r="D1285" s="5" t="s">
        <v>5438</v>
      </c>
      <c r="E1285" s="5" t="s">
        <v>5786</v>
      </c>
      <c r="F1285" s="13">
        <f>"841799680X"</f>
      </c>
      <c r="G1285" s="13">
        <f>"9788417996802"</f>
      </c>
      <c r="H1285" s="11">
        <v>0</v>
      </c>
      <c r="I1285" s="14">
        <v>4.2</v>
      </c>
      <c r="J1285" s="7" t="s">
        <v>5440</v>
      </c>
      <c r="K1285" s="5" t="s">
        <v>90</v>
      </c>
      <c r="L1285" s="11">
        <v>351</v>
      </c>
      <c r="M1285" s="11">
        <v>2020</v>
      </c>
      <c r="N1285" s="16"/>
      <c r="O1285" s="15"/>
      <c r="P1285" s="8">
        <v>43976</v>
      </c>
      <c r="Q1285" s="8"/>
      <c r="R1285" s="8"/>
      <c r="S1285" s="8"/>
      <c r="T1285" s="8"/>
      <c r="U1285" s="8"/>
      <c r="V1285" s="8"/>
      <c r="W1285" s="8"/>
      <c r="X1285" s="8"/>
      <c r="Y1285" s="8"/>
      <c r="Z1285" s="8"/>
      <c r="AA1285" s="8"/>
      <c r="AB1285" s="8"/>
      <c r="AC1285" s="8"/>
      <c r="AD1285" s="8"/>
      <c r="AE1285" s="8"/>
      <c r="AF1285" s="8"/>
      <c r="AG1285" s="8"/>
      <c r="AH1285" s="8"/>
      <c r="AI1285" s="8"/>
      <c r="AJ1285" s="8"/>
      <c r="AK1285" s="8"/>
      <c r="AL1285" s="8"/>
      <c r="AM1285" s="8"/>
      <c r="AN1285" s="8"/>
      <c r="AO1285" s="8"/>
      <c r="AP1285" s="8"/>
      <c r="AQ1285" s="8"/>
      <c r="AR1285" s="8"/>
      <c r="AS1285" s="8"/>
      <c r="AT1285" s="8"/>
      <c r="AU1285" s="8"/>
      <c r="AV1285" s="8"/>
      <c r="AW1285" s="8"/>
      <c r="AX1285" s="4" t="s">
        <v>38</v>
      </c>
      <c r="AY1285" s="5" t="s">
        <v>5787</v>
      </c>
      <c r="AZ1285" s="5" t="s">
        <v>38</v>
      </c>
      <c r="BA1285" s="12"/>
      <c r="BB1285" s="12"/>
      <c r="BC1285" s="12"/>
      <c r="BD1285" s="11">
        <v>0</v>
      </c>
      <c r="BE1285" s="11">
        <v>0</v>
      </c>
    </row>
    <row x14ac:dyDescent="0.25" r="1286" customHeight="1" ht="17.25">
      <c r="A1286" s="11">
        <v>101145323</v>
      </c>
      <c r="B1286" s="4" t="s">
        <v>5788</v>
      </c>
      <c r="C1286" s="5" t="s">
        <v>3293</v>
      </c>
      <c r="D1286" s="5" t="s">
        <v>3294</v>
      </c>
      <c r="E1286" s="12"/>
      <c r="F1286" s="13">
        <f>"166801999X"</f>
      </c>
      <c r="G1286" s="13">
        <f>"9781668019993"</f>
      </c>
      <c r="H1286" s="11">
        <v>0</v>
      </c>
      <c r="I1286" s="14">
        <v>4.35</v>
      </c>
      <c r="J1286" s="7" t="s">
        <v>132</v>
      </c>
      <c r="K1286" s="5" t="s">
        <v>60</v>
      </c>
      <c r="L1286" s="11">
        <v>112</v>
      </c>
      <c r="M1286" s="11">
        <v>2023</v>
      </c>
      <c r="N1286" s="11">
        <v>2023</v>
      </c>
      <c r="O1286" s="15"/>
      <c r="P1286" s="8">
        <v>45066</v>
      </c>
      <c r="Q1286" s="8"/>
      <c r="R1286" s="8"/>
      <c r="S1286" s="8"/>
      <c r="T1286" s="8"/>
      <c r="U1286" s="8"/>
      <c r="V1286" s="8"/>
      <c r="W1286" s="8"/>
      <c r="X1286" s="8"/>
      <c r="Y1286" s="8"/>
      <c r="Z1286" s="8"/>
      <c r="AA1286" s="8"/>
      <c r="AB1286" s="8"/>
      <c r="AC1286" s="8"/>
      <c r="AD1286" s="8"/>
      <c r="AE1286" s="8"/>
      <c r="AF1286" s="8"/>
      <c r="AG1286" s="8"/>
      <c r="AH1286" s="8"/>
      <c r="AI1286" s="8"/>
      <c r="AJ1286" s="8"/>
      <c r="AK1286" s="8"/>
      <c r="AL1286" s="8"/>
      <c r="AM1286" s="8"/>
      <c r="AN1286" s="8"/>
      <c r="AO1286" s="8"/>
      <c r="AP1286" s="8"/>
      <c r="AQ1286" s="8"/>
      <c r="AR1286" s="8"/>
      <c r="AS1286" s="8"/>
      <c r="AT1286" s="8"/>
      <c r="AU1286" s="8"/>
      <c r="AV1286" s="8"/>
      <c r="AW1286" s="8"/>
      <c r="AX1286" s="4" t="s">
        <v>38</v>
      </c>
      <c r="AY1286" s="5" t="s">
        <v>5789</v>
      </c>
      <c r="AZ1286" s="5" t="s">
        <v>38</v>
      </c>
      <c r="BA1286" s="12"/>
      <c r="BB1286" s="12"/>
      <c r="BC1286" s="12"/>
      <c r="BD1286" s="11">
        <v>0</v>
      </c>
      <c r="BE1286" s="11">
        <v>0</v>
      </c>
    </row>
    <row x14ac:dyDescent="0.25" r="1287" customHeight="1" ht="17.25">
      <c r="A1287" s="11">
        <v>52262566</v>
      </c>
      <c r="B1287" s="4" t="s">
        <v>5790</v>
      </c>
      <c r="C1287" s="5" t="s">
        <v>5791</v>
      </c>
      <c r="D1287" s="5" t="s">
        <v>5792</v>
      </c>
      <c r="E1287" s="5" t="s">
        <v>5793</v>
      </c>
      <c r="F1287" s="13">
        <f>"8417860207"</f>
      </c>
      <c r="G1287" s="13">
        <f>"9788417860202"</f>
      </c>
      <c r="H1287" s="11">
        <v>0</v>
      </c>
      <c r="I1287" s="14">
        <v>3.74</v>
      </c>
      <c r="J1287" s="7" t="s">
        <v>5440</v>
      </c>
      <c r="K1287" s="5" t="s">
        <v>60</v>
      </c>
      <c r="L1287" s="11">
        <v>172</v>
      </c>
      <c r="M1287" s="11">
        <v>2019</v>
      </c>
      <c r="N1287" s="11">
        <v>2016</v>
      </c>
      <c r="O1287" s="15"/>
      <c r="P1287" s="8">
        <v>43976</v>
      </c>
      <c r="Q1287" s="8"/>
      <c r="R1287" s="8"/>
      <c r="S1287" s="8"/>
      <c r="T1287" s="8"/>
      <c r="U1287" s="8"/>
      <c r="V1287" s="8"/>
      <c r="W1287" s="8"/>
      <c r="X1287" s="8"/>
      <c r="Y1287" s="8"/>
      <c r="Z1287" s="8"/>
      <c r="AA1287" s="8"/>
      <c r="AB1287" s="8"/>
      <c r="AC1287" s="8"/>
      <c r="AD1287" s="8"/>
      <c r="AE1287" s="8"/>
      <c r="AF1287" s="8"/>
      <c r="AG1287" s="8"/>
      <c r="AH1287" s="8"/>
      <c r="AI1287" s="8"/>
      <c r="AJ1287" s="8"/>
      <c r="AK1287" s="8"/>
      <c r="AL1287" s="8"/>
      <c r="AM1287" s="8"/>
      <c r="AN1287" s="8"/>
      <c r="AO1287" s="8"/>
      <c r="AP1287" s="8"/>
      <c r="AQ1287" s="8"/>
      <c r="AR1287" s="8"/>
      <c r="AS1287" s="8"/>
      <c r="AT1287" s="8"/>
      <c r="AU1287" s="8"/>
      <c r="AV1287" s="8"/>
      <c r="AW1287" s="8"/>
      <c r="AX1287" s="4" t="s">
        <v>38</v>
      </c>
      <c r="AY1287" s="5" t="s">
        <v>5794</v>
      </c>
      <c r="AZ1287" s="5" t="s">
        <v>38</v>
      </c>
      <c r="BA1287" s="12"/>
      <c r="BB1287" s="12"/>
      <c r="BC1287" s="12"/>
      <c r="BD1287" s="11">
        <v>0</v>
      </c>
      <c r="BE1287" s="11">
        <v>0</v>
      </c>
    </row>
    <row x14ac:dyDescent="0.25" r="1288" customHeight="1" ht="17.25">
      <c r="A1288" s="11">
        <v>50130964</v>
      </c>
      <c r="B1288" s="4" t="s">
        <v>5795</v>
      </c>
      <c r="C1288" s="5" t="s">
        <v>5796</v>
      </c>
      <c r="D1288" s="5" t="s">
        <v>5797</v>
      </c>
      <c r="E1288" s="5" t="s">
        <v>5798</v>
      </c>
      <c r="F1288" s="13">
        <f>"0300167490"</f>
      </c>
      <c r="G1288" s="13">
        <f>"9780300167498"</f>
      </c>
      <c r="H1288" s="11">
        <v>0</v>
      </c>
      <c r="I1288" s="14">
        <v>3.82</v>
      </c>
      <c r="J1288" s="7" t="s">
        <v>576</v>
      </c>
      <c r="K1288" s="5" t="s">
        <v>72</v>
      </c>
      <c r="L1288" s="11">
        <v>304</v>
      </c>
      <c r="M1288" s="11">
        <v>2020</v>
      </c>
      <c r="N1288" s="11">
        <v>2008</v>
      </c>
      <c r="O1288" s="15"/>
      <c r="P1288" s="9">
        <v>44484</v>
      </c>
      <c r="Q1288" s="9"/>
      <c r="R1288" s="9"/>
      <c r="S1288" s="9"/>
      <c r="T1288" s="9"/>
      <c r="U1288" s="9"/>
      <c r="V1288" s="9"/>
      <c r="W1288" s="9"/>
      <c r="X1288" s="9"/>
      <c r="Y1288" s="9"/>
      <c r="Z1288" s="9"/>
      <c r="AA1288" s="9"/>
      <c r="AB1288" s="9"/>
      <c r="AC1288" s="9"/>
      <c r="AD1288" s="9"/>
      <c r="AE1288" s="9"/>
      <c r="AF1288" s="9"/>
      <c r="AG1288" s="9"/>
      <c r="AH1288" s="9"/>
      <c r="AI1288" s="9"/>
      <c r="AJ1288" s="9"/>
      <c r="AK1288" s="9"/>
      <c r="AL1288" s="9"/>
      <c r="AM1288" s="9"/>
      <c r="AN1288" s="9"/>
      <c r="AO1288" s="9"/>
      <c r="AP1288" s="9"/>
      <c r="AQ1288" s="9"/>
      <c r="AR1288" s="9"/>
      <c r="AS1288" s="9"/>
      <c r="AT1288" s="9"/>
      <c r="AU1288" s="9"/>
      <c r="AV1288" s="9"/>
      <c r="AW1288" s="9"/>
      <c r="AX1288" s="4" t="s">
        <v>38</v>
      </c>
      <c r="AY1288" s="5" t="s">
        <v>5799</v>
      </c>
      <c r="AZ1288" s="5" t="s">
        <v>38</v>
      </c>
      <c r="BA1288" s="12"/>
      <c r="BB1288" s="12"/>
      <c r="BC1288" s="12"/>
      <c r="BD1288" s="11">
        <v>0</v>
      </c>
      <c r="BE1288" s="11">
        <v>0</v>
      </c>
    </row>
    <row x14ac:dyDescent="0.25" r="1289" customHeight="1" ht="17.25">
      <c r="A1289" s="11">
        <v>50981824</v>
      </c>
      <c r="B1289" s="4" t="s">
        <v>5800</v>
      </c>
      <c r="C1289" s="5" t="s">
        <v>5801</v>
      </c>
      <c r="D1289" s="5" t="s">
        <v>5802</v>
      </c>
      <c r="E1289" s="5" t="s">
        <v>5803</v>
      </c>
      <c r="F1289" s="13">
        <f>"3836579871"</f>
      </c>
      <c r="G1289" s="13">
        <f>"9783836579872"</f>
      </c>
      <c r="H1289" s="11">
        <v>0</v>
      </c>
      <c r="I1289" s="14">
        <v>4.54</v>
      </c>
      <c r="J1289" s="7" t="s">
        <v>5804</v>
      </c>
      <c r="K1289" s="5" t="s">
        <v>72</v>
      </c>
      <c r="L1289" s="11">
        <v>519</v>
      </c>
      <c r="M1289" s="11">
        <v>2020</v>
      </c>
      <c r="N1289" s="16"/>
      <c r="O1289" s="15"/>
      <c r="P1289" s="8">
        <v>45059</v>
      </c>
      <c r="Q1289" s="8"/>
      <c r="R1289" s="8"/>
      <c r="S1289" s="8"/>
      <c r="T1289" s="8"/>
      <c r="U1289" s="8"/>
      <c r="V1289" s="8"/>
      <c r="W1289" s="8"/>
      <c r="X1289" s="8"/>
      <c r="Y1289" s="8"/>
      <c r="Z1289" s="8"/>
      <c r="AA1289" s="8"/>
      <c r="AB1289" s="8"/>
      <c r="AC1289" s="8"/>
      <c r="AD1289" s="8"/>
      <c r="AE1289" s="8"/>
      <c r="AF1289" s="8"/>
      <c r="AG1289" s="8"/>
      <c r="AH1289" s="8"/>
      <c r="AI1289" s="8"/>
      <c r="AJ1289" s="8"/>
      <c r="AK1289" s="8"/>
      <c r="AL1289" s="8"/>
      <c r="AM1289" s="8"/>
      <c r="AN1289" s="8"/>
      <c r="AO1289" s="8"/>
      <c r="AP1289" s="8"/>
      <c r="AQ1289" s="8"/>
      <c r="AR1289" s="8"/>
      <c r="AS1289" s="8"/>
      <c r="AT1289" s="8"/>
      <c r="AU1289" s="8"/>
      <c r="AV1289" s="8"/>
      <c r="AW1289" s="8"/>
      <c r="AX1289" s="4" t="s">
        <v>38</v>
      </c>
      <c r="AY1289" s="5" t="s">
        <v>5805</v>
      </c>
      <c r="AZ1289" s="5" t="s">
        <v>38</v>
      </c>
      <c r="BA1289" s="12"/>
      <c r="BB1289" s="12"/>
      <c r="BC1289" s="12"/>
      <c r="BD1289" s="11">
        <v>0</v>
      </c>
      <c r="BE1289" s="11">
        <v>0</v>
      </c>
    </row>
    <row x14ac:dyDescent="0.25" r="1290" customHeight="1" ht="17.25">
      <c r="A1290" s="11">
        <v>48767793</v>
      </c>
      <c r="B1290" s="4" t="s">
        <v>5806</v>
      </c>
      <c r="C1290" s="5" t="s">
        <v>5807</v>
      </c>
      <c r="D1290" s="5" t="s">
        <v>5808</v>
      </c>
      <c r="E1290" s="12"/>
      <c r="F1290" s="13">
        <f>"088079416X"</f>
      </c>
      <c r="G1290" s="13">
        <f>"9780880794169"</f>
      </c>
      <c r="H1290" s="11">
        <v>0</v>
      </c>
      <c r="I1290" s="14">
        <v>4.15</v>
      </c>
      <c r="J1290" s="7" t="s">
        <v>5809</v>
      </c>
      <c r="K1290" s="5" t="s">
        <v>5810</v>
      </c>
      <c r="L1290" s="11">
        <v>340</v>
      </c>
      <c r="M1290" s="11">
        <v>2002</v>
      </c>
      <c r="N1290" s="16"/>
      <c r="O1290" s="15"/>
      <c r="P1290" s="8">
        <v>44814</v>
      </c>
      <c r="Q1290" s="8"/>
      <c r="R1290" s="8"/>
      <c r="S1290" s="8"/>
      <c r="T1290" s="8"/>
      <c r="U1290" s="8"/>
      <c r="V1290" s="8"/>
      <c r="W1290" s="8"/>
      <c r="X1290" s="8"/>
      <c r="Y1290" s="8"/>
      <c r="Z1290" s="8"/>
      <c r="AA1290" s="8"/>
      <c r="AB1290" s="8"/>
      <c r="AC1290" s="8"/>
      <c r="AD1290" s="8"/>
      <c r="AE1290" s="8"/>
      <c r="AF1290" s="8"/>
      <c r="AG1290" s="8"/>
      <c r="AH1290" s="8"/>
      <c r="AI1290" s="8"/>
      <c r="AJ1290" s="8"/>
      <c r="AK1290" s="8"/>
      <c r="AL1290" s="8"/>
      <c r="AM1290" s="8"/>
      <c r="AN1290" s="8"/>
      <c r="AO1290" s="8"/>
      <c r="AP1290" s="8"/>
      <c r="AQ1290" s="8"/>
      <c r="AR1290" s="8"/>
      <c r="AS1290" s="8"/>
      <c r="AT1290" s="8"/>
      <c r="AU1290" s="8"/>
      <c r="AV1290" s="8"/>
      <c r="AW1290" s="8"/>
      <c r="AX1290" s="4" t="s">
        <v>38</v>
      </c>
      <c r="AY1290" s="5" t="s">
        <v>5811</v>
      </c>
      <c r="AZ1290" s="5" t="s">
        <v>38</v>
      </c>
      <c r="BA1290" s="12"/>
      <c r="BB1290" s="12"/>
      <c r="BC1290" s="12"/>
      <c r="BD1290" s="11">
        <v>0</v>
      </c>
      <c r="BE1290" s="11">
        <v>0</v>
      </c>
    </row>
    <row x14ac:dyDescent="0.25" r="1291" customHeight="1" ht="17.25">
      <c r="A1291" s="11">
        <v>51320404</v>
      </c>
      <c r="B1291" s="4" t="s">
        <v>5812</v>
      </c>
      <c r="C1291" s="5" t="s">
        <v>2820</v>
      </c>
      <c r="D1291" s="5" t="s">
        <v>2821</v>
      </c>
      <c r="E1291" s="5" t="s">
        <v>5813</v>
      </c>
      <c r="F1291" s="13">
        <f>"8417996958"</f>
      </c>
      <c r="G1291" s="13">
        <f>"9788417996956"</f>
      </c>
      <c r="H1291" s="11">
        <v>0</v>
      </c>
      <c r="I1291" s="14">
        <v>4.25</v>
      </c>
      <c r="J1291" s="7" t="s">
        <v>5440</v>
      </c>
      <c r="K1291" s="5" t="s">
        <v>60</v>
      </c>
      <c r="L1291" s="11">
        <v>392</v>
      </c>
      <c r="M1291" s="11">
        <v>2020</v>
      </c>
      <c r="N1291" s="11">
        <v>2009</v>
      </c>
      <c r="O1291" s="15"/>
      <c r="P1291" s="8">
        <v>43976</v>
      </c>
      <c r="Q1291" s="8"/>
      <c r="R1291" s="8"/>
      <c r="S1291" s="8"/>
      <c r="T1291" s="8"/>
      <c r="U1291" s="8"/>
      <c r="V1291" s="8"/>
      <c r="W1291" s="8"/>
      <c r="X1291" s="8"/>
      <c r="Y1291" s="8"/>
      <c r="Z1291" s="8"/>
      <c r="AA1291" s="8"/>
      <c r="AB1291" s="8"/>
      <c r="AC1291" s="8"/>
      <c r="AD1291" s="8"/>
      <c r="AE1291" s="8"/>
      <c r="AF1291" s="8"/>
      <c r="AG1291" s="8"/>
      <c r="AH1291" s="8"/>
      <c r="AI1291" s="8"/>
      <c r="AJ1291" s="8"/>
      <c r="AK1291" s="8"/>
      <c r="AL1291" s="8"/>
      <c r="AM1291" s="8"/>
      <c r="AN1291" s="8"/>
      <c r="AO1291" s="8"/>
      <c r="AP1291" s="8"/>
      <c r="AQ1291" s="8"/>
      <c r="AR1291" s="8"/>
      <c r="AS1291" s="8"/>
      <c r="AT1291" s="8"/>
      <c r="AU1291" s="8"/>
      <c r="AV1291" s="8"/>
      <c r="AW1291" s="8"/>
      <c r="AX1291" s="4" t="s">
        <v>38</v>
      </c>
      <c r="AY1291" s="5" t="s">
        <v>5814</v>
      </c>
      <c r="AZ1291" s="5" t="s">
        <v>38</v>
      </c>
      <c r="BA1291" s="12"/>
      <c r="BB1291" s="12"/>
      <c r="BC1291" s="12"/>
      <c r="BD1291" s="11">
        <v>0</v>
      </c>
      <c r="BE1291" s="11">
        <v>0</v>
      </c>
    </row>
    <row x14ac:dyDescent="0.25" r="1292" customHeight="1" ht="17.25">
      <c r="A1292" s="11">
        <v>41805298</v>
      </c>
      <c r="B1292" s="4" t="s">
        <v>5815</v>
      </c>
      <c r="C1292" s="5" t="s">
        <v>5816</v>
      </c>
      <c r="D1292" s="5" t="s">
        <v>5817</v>
      </c>
      <c r="E1292" s="5" t="s">
        <v>5818</v>
      </c>
      <c r="F1292" s="13">
        <f>"1578636485"</f>
      </c>
      <c r="G1292" s="13">
        <f>"9781578636488"</f>
      </c>
      <c r="H1292" s="11">
        <v>0</v>
      </c>
      <c r="I1292" s="14">
        <v>4.13</v>
      </c>
      <c r="J1292" s="7" t="s">
        <v>5059</v>
      </c>
      <c r="K1292" s="5" t="s">
        <v>60</v>
      </c>
      <c r="L1292" s="11">
        <v>224</v>
      </c>
      <c r="M1292" s="11">
        <v>2019</v>
      </c>
      <c r="N1292" s="11">
        <v>2019</v>
      </c>
      <c r="O1292" s="15"/>
      <c r="P1292" s="8">
        <v>44790</v>
      </c>
      <c r="Q1292" s="8"/>
      <c r="R1292" s="8"/>
      <c r="S1292" s="8"/>
      <c r="T1292" s="8"/>
      <c r="U1292" s="8"/>
      <c r="V1292" s="8"/>
      <c r="W1292" s="8"/>
      <c r="X1292" s="8"/>
      <c r="Y1292" s="8"/>
      <c r="Z1292" s="8"/>
      <c r="AA1292" s="8"/>
      <c r="AB1292" s="8"/>
      <c r="AC1292" s="8"/>
      <c r="AD1292" s="8"/>
      <c r="AE1292" s="8"/>
      <c r="AF1292" s="8"/>
      <c r="AG1292" s="8"/>
      <c r="AH1292" s="8"/>
      <c r="AI1292" s="8"/>
      <c r="AJ1292" s="8"/>
      <c r="AK1292" s="8"/>
      <c r="AL1292" s="8"/>
      <c r="AM1292" s="8"/>
      <c r="AN1292" s="8"/>
      <c r="AO1292" s="8"/>
      <c r="AP1292" s="8"/>
      <c r="AQ1292" s="8"/>
      <c r="AR1292" s="8"/>
      <c r="AS1292" s="8"/>
      <c r="AT1292" s="8"/>
      <c r="AU1292" s="8"/>
      <c r="AV1292" s="8"/>
      <c r="AW1292" s="8"/>
      <c r="AX1292" s="4" t="s">
        <v>38</v>
      </c>
      <c r="AY1292" s="5" t="s">
        <v>5819</v>
      </c>
      <c r="AZ1292" s="5" t="s">
        <v>38</v>
      </c>
      <c r="BA1292" s="12"/>
      <c r="BB1292" s="12"/>
      <c r="BC1292" s="12"/>
      <c r="BD1292" s="11">
        <v>0</v>
      </c>
      <c r="BE1292" s="11">
        <v>0</v>
      </c>
    </row>
    <row x14ac:dyDescent="0.25" r="1293" customHeight="1" ht="17.25">
      <c r="A1293" s="11">
        <v>41758416</v>
      </c>
      <c r="B1293" s="4" t="s">
        <v>5820</v>
      </c>
      <c r="C1293" s="5" t="s">
        <v>5741</v>
      </c>
      <c r="D1293" s="5" t="s">
        <v>5742</v>
      </c>
      <c r="E1293" s="12"/>
      <c r="F1293" s="13">
        <f>"1578636655"</f>
      </c>
      <c r="G1293" s="13">
        <f>"9781578636655"</f>
      </c>
      <c r="H1293" s="11">
        <v>0</v>
      </c>
      <c r="I1293" s="14">
        <v>4.32</v>
      </c>
      <c r="J1293" s="7" t="s">
        <v>5059</v>
      </c>
      <c r="K1293" s="5" t="s">
        <v>60</v>
      </c>
      <c r="L1293" s="11">
        <v>354</v>
      </c>
      <c r="M1293" s="11">
        <v>2019</v>
      </c>
      <c r="N1293" s="11">
        <v>1980</v>
      </c>
      <c r="O1293" s="15"/>
      <c r="P1293" s="8">
        <v>44254</v>
      </c>
      <c r="Q1293" s="8"/>
      <c r="R1293" s="8"/>
      <c r="S1293" s="8"/>
      <c r="T1293" s="8"/>
      <c r="U1293" s="8"/>
      <c r="V1293" s="8"/>
      <c r="W1293" s="8"/>
      <c r="X1293" s="8"/>
      <c r="Y1293" s="8"/>
      <c r="Z1293" s="8"/>
      <c r="AA1293" s="8"/>
      <c r="AB1293" s="8"/>
      <c r="AC1293" s="8"/>
      <c r="AD1293" s="8"/>
      <c r="AE1293" s="8"/>
      <c r="AF1293" s="8"/>
      <c r="AG1293" s="8"/>
      <c r="AH1293" s="8"/>
      <c r="AI1293" s="8"/>
      <c r="AJ1293" s="8"/>
      <c r="AK1293" s="8"/>
      <c r="AL1293" s="8"/>
      <c r="AM1293" s="8"/>
      <c r="AN1293" s="8"/>
      <c r="AO1293" s="8"/>
      <c r="AP1293" s="8"/>
      <c r="AQ1293" s="8"/>
      <c r="AR1293" s="8"/>
      <c r="AS1293" s="8"/>
      <c r="AT1293" s="8"/>
      <c r="AU1293" s="8"/>
      <c r="AV1293" s="8"/>
      <c r="AW1293" s="8"/>
      <c r="AX1293" s="4" t="s">
        <v>38</v>
      </c>
      <c r="AY1293" s="5" t="s">
        <v>5821</v>
      </c>
      <c r="AZ1293" s="5" t="s">
        <v>38</v>
      </c>
      <c r="BA1293" s="12"/>
      <c r="BB1293" s="12"/>
      <c r="BC1293" s="12"/>
      <c r="BD1293" s="11">
        <v>0</v>
      </c>
      <c r="BE1293" s="11">
        <v>0</v>
      </c>
    </row>
    <row x14ac:dyDescent="0.25" r="1294" customHeight="1" ht="17.25">
      <c r="A1294" s="11">
        <v>32946574</v>
      </c>
      <c r="B1294" s="4" t="s">
        <v>5822</v>
      </c>
      <c r="C1294" s="5" t="s">
        <v>5823</v>
      </c>
      <c r="D1294" s="5" t="s">
        <v>5824</v>
      </c>
      <c r="E1294" s="12"/>
      <c r="F1294" s="13">
        <f>"0091210119"</f>
      </c>
      <c r="G1294" s="13">
        <f>"9780091210113"</f>
      </c>
      <c r="H1294" s="11">
        <v>0</v>
      </c>
      <c r="I1294" s="14">
        <v>2.67</v>
      </c>
      <c r="J1294" s="7" t="s">
        <v>5825</v>
      </c>
      <c r="K1294" s="5" t="s">
        <v>60</v>
      </c>
      <c r="L1294" s="11">
        <v>254</v>
      </c>
      <c r="M1294" s="11">
        <v>1975</v>
      </c>
      <c r="N1294" s="11">
        <v>1975</v>
      </c>
      <c r="O1294" s="15"/>
      <c r="P1294" s="9">
        <v>44908</v>
      </c>
      <c r="Q1294" s="9"/>
      <c r="R1294" s="9"/>
      <c r="S1294" s="9"/>
      <c r="T1294" s="9"/>
      <c r="U1294" s="9"/>
      <c r="V1294" s="9"/>
      <c r="W1294" s="9"/>
      <c r="X1294" s="9"/>
      <c r="Y1294" s="9"/>
      <c r="Z1294" s="9"/>
      <c r="AA1294" s="9"/>
      <c r="AB1294" s="9"/>
      <c r="AC1294" s="9"/>
      <c r="AD1294" s="9"/>
      <c r="AE1294" s="9"/>
      <c r="AF1294" s="9"/>
      <c r="AG1294" s="9"/>
      <c r="AH1294" s="9"/>
      <c r="AI1294" s="9"/>
      <c r="AJ1294" s="9"/>
      <c r="AK1294" s="9"/>
      <c r="AL1294" s="9"/>
      <c r="AM1294" s="9"/>
      <c r="AN1294" s="9"/>
      <c r="AO1294" s="9"/>
      <c r="AP1294" s="9"/>
      <c r="AQ1294" s="9"/>
      <c r="AR1294" s="9"/>
      <c r="AS1294" s="9"/>
      <c r="AT1294" s="9"/>
      <c r="AU1294" s="9"/>
      <c r="AV1294" s="9"/>
      <c r="AW1294" s="9"/>
      <c r="AX1294" s="4" t="s">
        <v>38</v>
      </c>
      <c r="AY1294" s="5" t="s">
        <v>5826</v>
      </c>
      <c r="AZ1294" s="5" t="s">
        <v>38</v>
      </c>
      <c r="BA1294" s="12"/>
      <c r="BB1294" s="12"/>
      <c r="BC1294" s="12"/>
      <c r="BD1294" s="11">
        <v>0</v>
      </c>
      <c r="BE1294" s="11">
        <v>0</v>
      </c>
    </row>
    <row x14ac:dyDescent="0.25" r="1295" customHeight="1" ht="17.25">
      <c r="A1295" s="11">
        <v>27220690</v>
      </c>
      <c r="B1295" s="4" t="s">
        <v>5827</v>
      </c>
      <c r="C1295" s="5" t="s">
        <v>5828</v>
      </c>
      <c r="D1295" s="5" t="s">
        <v>5829</v>
      </c>
      <c r="E1295" s="12"/>
      <c r="F1295" s="13">
        <f>"0300161166"</f>
      </c>
      <c r="G1295" s="13">
        <f>"9780300161168"</f>
      </c>
      <c r="H1295" s="11">
        <v>0</v>
      </c>
      <c r="I1295" s="14">
        <v>3.99</v>
      </c>
      <c r="J1295" s="7" t="s">
        <v>576</v>
      </c>
      <c r="K1295" s="5" t="s">
        <v>72</v>
      </c>
      <c r="L1295" s="11">
        <v>504</v>
      </c>
      <c r="M1295" s="11">
        <v>2016</v>
      </c>
      <c r="N1295" s="11">
        <v>2017</v>
      </c>
      <c r="O1295" s="15"/>
      <c r="P1295" s="8">
        <v>44198</v>
      </c>
      <c r="Q1295" s="8"/>
      <c r="R1295" s="8"/>
      <c r="S1295" s="8"/>
      <c r="T1295" s="8"/>
      <c r="U1295" s="8"/>
      <c r="V1295" s="8"/>
      <c r="W1295" s="8"/>
      <c r="X1295" s="8"/>
      <c r="Y1295" s="8"/>
      <c r="Z1295" s="8"/>
      <c r="AA1295" s="8"/>
      <c r="AB1295" s="8"/>
      <c r="AC1295" s="8"/>
      <c r="AD1295" s="8"/>
      <c r="AE1295" s="8"/>
      <c r="AF1295" s="8"/>
      <c r="AG1295" s="8"/>
      <c r="AH1295" s="8"/>
      <c r="AI1295" s="8"/>
      <c r="AJ1295" s="8"/>
      <c r="AK1295" s="8"/>
      <c r="AL1295" s="8"/>
      <c r="AM1295" s="8"/>
      <c r="AN1295" s="8"/>
      <c r="AO1295" s="8"/>
      <c r="AP1295" s="8"/>
      <c r="AQ1295" s="8"/>
      <c r="AR1295" s="8"/>
      <c r="AS1295" s="8"/>
      <c r="AT1295" s="8"/>
      <c r="AU1295" s="8"/>
      <c r="AV1295" s="8"/>
      <c r="AW1295" s="8"/>
      <c r="AX1295" s="4" t="s">
        <v>38</v>
      </c>
      <c r="AY1295" s="5" t="s">
        <v>5830</v>
      </c>
      <c r="AZ1295" s="5" t="s">
        <v>38</v>
      </c>
      <c r="BA1295" s="12"/>
      <c r="BB1295" s="12"/>
      <c r="BC1295" s="12"/>
      <c r="BD1295" s="11">
        <v>0</v>
      </c>
      <c r="BE1295" s="11">
        <v>0</v>
      </c>
    </row>
    <row x14ac:dyDescent="0.25" r="1296" customHeight="1" ht="17.25">
      <c r="A1296" s="11">
        <v>20005885</v>
      </c>
      <c r="B1296" s="4" t="s">
        <v>5831</v>
      </c>
      <c r="C1296" s="5" t="s">
        <v>5832</v>
      </c>
      <c r="D1296" s="5" t="s">
        <v>5833</v>
      </c>
      <c r="E1296" s="12"/>
      <c r="F1296" s="13">
        <f>"0975712233"</f>
      </c>
      <c r="G1296" s="13">
        <f>"9780975712238"</f>
      </c>
      <c r="H1296" s="11">
        <v>0</v>
      </c>
      <c r="I1296" s="11">
        <v>4</v>
      </c>
      <c r="J1296" s="7" t="s">
        <v>5834</v>
      </c>
      <c r="K1296" s="5" t="s">
        <v>60</v>
      </c>
      <c r="L1296" s="11">
        <v>538</v>
      </c>
      <c r="M1296" s="11">
        <v>2011</v>
      </c>
      <c r="N1296" s="11">
        <v>2011</v>
      </c>
      <c r="O1296" s="15"/>
      <c r="P1296" s="8">
        <v>44800</v>
      </c>
      <c r="Q1296" s="8"/>
      <c r="R1296" s="8"/>
      <c r="S1296" s="8"/>
      <c r="T1296" s="8"/>
      <c r="U1296" s="8"/>
      <c r="V1296" s="8"/>
      <c r="W1296" s="8"/>
      <c r="X1296" s="8"/>
      <c r="Y1296" s="8"/>
      <c r="Z1296" s="8"/>
      <c r="AA1296" s="8"/>
      <c r="AB1296" s="8"/>
      <c r="AC1296" s="8"/>
      <c r="AD1296" s="8"/>
      <c r="AE1296" s="8"/>
      <c r="AF1296" s="8"/>
      <c r="AG1296" s="8"/>
      <c r="AH1296" s="8"/>
      <c r="AI1296" s="8"/>
      <c r="AJ1296" s="8"/>
      <c r="AK1296" s="8"/>
      <c r="AL1296" s="8"/>
      <c r="AM1296" s="8"/>
      <c r="AN1296" s="8"/>
      <c r="AO1296" s="8"/>
      <c r="AP1296" s="8"/>
      <c r="AQ1296" s="8"/>
      <c r="AR1296" s="8"/>
      <c r="AS1296" s="8"/>
      <c r="AT1296" s="8"/>
      <c r="AU1296" s="8"/>
      <c r="AV1296" s="8"/>
      <c r="AW1296" s="8"/>
      <c r="AX1296" s="4" t="s">
        <v>38</v>
      </c>
      <c r="AY1296" s="5" t="s">
        <v>5835</v>
      </c>
      <c r="AZ1296" s="5" t="s">
        <v>38</v>
      </c>
      <c r="BA1296" s="12"/>
      <c r="BB1296" s="12"/>
      <c r="BC1296" s="12"/>
      <c r="BD1296" s="11">
        <v>0</v>
      </c>
      <c r="BE1296" s="11">
        <v>0</v>
      </c>
    </row>
    <row x14ac:dyDescent="0.25" r="1297" customHeight="1" ht="17.25">
      <c r="A1297" s="11">
        <v>18114345</v>
      </c>
      <c r="B1297" s="4" t="s">
        <v>5836</v>
      </c>
      <c r="C1297" s="5" t="s">
        <v>5837</v>
      </c>
      <c r="D1297" s="5" t="s">
        <v>5838</v>
      </c>
      <c r="E1297" s="5" t="s">
        <v>5839</v>
      </c>
      <c r="F1297" s="13">
        <f>"1468308599"</f>
      </c>
      <c r="G1297" s="13">
        <f>"9781468308594"</f>
      </c>
      <c r="H1297" s="11">
        <v>0</v>
      </c>
      <c r="I1297" s="14">
        <v>4.13</v>
      </c>
      <c r="J1297" s="7" t="s">
        <v>2123</v>
      </c>
      <c r="K1297" s="5" t="s">
        <v>60</v>
      </c>
      <c r="L1297" s="11">
        <v>400</v>
      </c>
      <c r="M1297" s="11">
        <v>2013</v>
      </c>
      <c r="N1297" s="11">
        <v>2002</v>
      </c>
      <c r="O1297" s="15"/>
      <c r="P1297" s="8">
        <v>44805</v>
      </c>
      <c r="Q1297" s="8"/>
      <c r="R1297" s="8"/>
      <c r="S1297" s="8"/>
      <c r="T1297" s="8"/>
      <c r="U1297" s="8"/>
      <c r="V1297" s="8"/>
      <c r="W1297" s="8"/>
      <c r="X1297" s="8"/>
      <c r="Y1297" s="8"/>
      <c r="Z1297" s="8"/>
      <c r="AA1297" s="8"/>
      <c r="AB1297" s="8"/>
      <c r="AC1297" s="8"/>
      <c r="AD1297" s="8"/>
      <c r="AE1297" s="8"/>
      <c r="AF1297" s="8"/>
      <c r="AG1297" s="8"/>
      <c r="AH1297" s="8"/>
      <c r="AI1297" s="8"/>
      <c r="AJ1297" s="8"/>
      <c r="AK1297" s="8"/>
      <c r="AL1297" s="8"/>
      <c r="AM1297" s="8"/>
      <c r="AN1297" s="8"/>
      <c r="AO1297" s="8"/>
      <c r="AP1297" s="8"/>
      <c r="AQ1297" s="8"/>
      <c r="AR1297" s="8"/>
      <c r="AS1297" s="8"/>
      <c r="AT1297" s="8"/>
      <c r="AU1297" s="8"/>
      <c r="AV1297" s="8"/>
      <c r="AW1297" s="8"/>
      <c r="AX1297" s="4" t="s">
        <v>2478</v>
      </c>
      <c r="AY1297" s="5" t="s">
        <v>5840</v>
      </c>
      <c r="AZ1297" s="5" t="s">
        <v>38</v>
      </c>
      <c r="BA1297" s="12"/>
      <c r="BB1297" s="12"/>
      <c r="BC1297" s="12"/>
      <c r="BD1297" s="11">
        <v>0</v>
      </c>
      <c r="BE1297" s="11">
        <v>0</v>
      </c>
    </row>
    <row x14ac:dyDescent="0.25" r="1298" customHeight="1" ht="17.25">
      <c r="A1298" s="11">
        <v>16073211</v>
      </c>
      <c r="B1298" s="4" t="s">
        <v>5841</v>
      </c>
      <c r="C1298" s="5" t="s">
        <v>5842</v>
      </c>
      <c r="D1298" s="5" t="s">
        <v>5843</v>
      </c>
      <c r="E1298" s="12"/>
      <c r="F1298" s="13">
        <f>"030017487X"</f>
      </c>
      <c r="G1298" s="13">
        <f>"9780300174878"</f>
      </c>
      <c r="H1298" s="11">
        <v>0</v>
      </c>
      <c r="I1298" s="14">
        <v>3.67</v>
      </c>
      <c r="J1298" s="7" t="s">
        <v>576</v>
      </c>
      <c r="K1298" s="5" t="s">
        <v>72</v>
      </c>
      <c r="L1298" s="11">
        <v>192</v>
      </c>
      <c r="M1298" s="11">
        <v>2013</v>
      </c>
      <c r="N1298" s="11">
        <v>2013</v>
      </c>
      <c r="O1298" s="15"/>
      <c r="P1298" s="8">
        <v>43405</v>
      </c>
      <c r="Q1298" s="8"/>
      <c r="R1298" s="8"/>
      <c r="S1298" s="8"/>
      <c r="T1298" s="8"/>
      <c r="U1298" s="8"/>
      <c r="V1298" s="8"/>
      <c r="W1298" s="8"/>
      <c r="X1298" s="8"/>
      <c r="Y1298" s="8"/>
      <c r="Z1298" s="8"/>
      <c r="AA1298" s="8"/>
      <c r="AB1298" s="8"/>
      <c r="AC1298" s="8"/>
      <c r="AD1298" s="8"/>
      <c r="AE1298" s="8"/>
      <c r="AF1298" s="8"/>
      <c r="AG1298" s="8"/>
      <c r="AH1298" s="8"/>
      <c r="AI1298" s="8"/>
      <c r="AJ1298" s="8"/>
      <c r="AK1298" s="8"/>
      <c r="AL1298" s="8"/>
      <c r="AM1298" s="8"/>
      <c r="AN1298" s="8"/>
      <c r="AO1298" s="8"/>
      <c r="AP1298" s="8"/>
      <c r="AQ1298" s="8"/>
      <c r="AR1298" s="8"/>
      <c r="AS1298" s="8"/>
      <c r="AT1298" s="8"/>
      <c r="AU1298" s="8"/>
      <c r="AV1298" s="8"/>
      <c r="AW1298" s="8"/>
      <c r="AX1298" s="4" t="s">
        <v>38</v>
      </c>
      <c r="AY1298" s="5" t="s">
        <v>5844</v>
      </c>
      <c r="AZ1298" s="5" t="s">
        <v>38</v>
      </c>
      <c r="BA1298" s="12"/>
      <c r="BB1298" s="12"/>
      <c r="BC1298" s="12"/>
      <c r="BD1298" s="11">
        <v>0</v>
      </c>
      <c r="BE1298" s="11">
        <v>0</v>
      </c>
    </row>
    <row x14ac:dyDescent="0.25" r="1299" customHeight="1" ht="17.25">
      <c r="A1299" s="11">
        <v>12844741</v>
      </c>
      <c r="B1299" s="4" t="s">
        <v>5845</v>
      </c>
      <c r="C1299" s="5" t="s">
        <v>5846</v>
      </c>
      <c r="D1299" s="5" t="s">
        <v>5847</v>
      </c>
      <c r="E1299" s="12"/>
      <c r="F1299" s="13">
        <f>"8498416094"</f>
      </c>
      <c r="G1299" s="13">
        <f>"9788498416091"</f>
      </c>
      <c r="H1299" s="11">
        <v>0</v>
      </c>
      <c r="I1299" s="14">
        <v>3.35</v>
      </c>
      <c r="J1299" s="7" t="s">
        <v>5440</v>
      </c>
      <c r="K1299" s="5" t="s">
        <v>60</v>
      </c>
      <c r="L1299" s="11">
        <v>224</v>
      </c>
      <c r="M1299" s="11">
        <v>2011</v>
      </c>
      <c r="N1299" s="11">
        <v>2011</v>
      </c>
      <c r="O1299" s="15"/>
      <c r="P1299" s="8">
        <v>43976</v>
      </c>
      <c r="Q1299" s="8"/>
      <c r="R1299" s="8"/>
      <c r="S1299" s="8"/>
      <c r="T1299" s="8"/>
      <c r="U1299" s="8"/>
      <c r="V1299" s="8"/>
      <c r="W1299" s="8"/>
      <c r="X1299" s="8"/>
      <c r="Y1299" s="8"/>
      <c r="Z1299" s="8"/>
      <c r="AA1299" s="8"/>
      <c r="AB1299" s="8"/>
      <c r="AC1299" s="8"/>
      <c r="AD1299" s="8"/>
      <c r="AE1299" s="8"/>
      <c r="AF1299" s="8"/>
      <c r="AG1299" s="8"/>
      <c r="AH1299" s="8"/>
      <c r="AI1299" s="8"/>
      <c r="AJ1299" s="8"/>
      <c r="AK1299" s="8"/>
      <c r="AL1299" s="8"/>
      <c r="AM1299" s="8"/>
      <c r="AN1299" s="8"/>
      <c r="AO1299" s="8"/>
      <c r="AP1299" s="8"/>
      <c r="AQ1299" s="8"/>
      <c r="AR1299" s="8"/>
      <c r="AS1299" s="8"/>
      <c r="AT1299" s="8"/>
      <c r="AU1299" s="8"/>
      <c r="AV1299" s="8"/>
      <c r="AW1299" s="8"/>
      <c r="AX1299" s="4" t="s">
        <v>38</v>
      </c>
      <c r="AY1299" s="5" t="s">
        <v>5848</v>
      </c>
      <c r="AZ1299" s="5" t="s">
        <v>38</v>
      </c>
      <c r="BA1299" s="12"/>
      <c r="BB1299" s="12"/>
      <c r="BC1299" s="12"/>
      <c r="BD1299" s="11">
        <v>0</v>
      </c>
      <c r="BE1299" s="11">
        <v>0</v>
      </c>
    </row>
    <row x14ac:dyDescent="0.25" r="1300" customHeight="1" ht="17.25">
      <c r="A1300" s="11">
        <v>14868014</v>
      </c>
      <c r="B1300" s="4" t="s">
        <v>5849</v>
      </c>
      <c r="C1300" s="5" t="s">
        <v>5850</v>
      </c>
      <c r="D1300" s="5" t="s">
        <v>5851</v>
      </c>
      <c r="E1300" s="5" t="s">
        <v>5852</v>
      </c>
      <c r="F1300" s="13">
        <f>"0415520312"</f>
      </c>
      <c r="G1300" s="13">
        <f>"9780415520317"</f>
      </c>
      <c r="H1300" s="11">
        <v>0</v>
      </c>
      <c r="I1300" s="14">
        <v>4.18</v>
      </c>
      <c r="J1300" s="7" t="s">
        <v>163</v>
      </c>
      <c r="K1300" s="5" t="s">
        <v>60</v>
      </c>
      <c r="L1300" s="11">
        <v>344</v>
      </c>
      <c r="M1300" s="11">
        <v>2014</v>
      </c>
      <c r="N1300" s="11">
        <v>1994</v>
      </c>
      <c r="O1300" s="15"/>
      <c r="P1300" s="8">
        <v>43142</v>
      </c>
      <c r="Q1300" s="8"/>
      <c r="R1300" s="8"/>
      <c r="S1300" s="8"/>
      <c r="T1300" s="8"/>
      <c r="U1300" s="8"/>
      <c r="V1300" s="8"/>
      <c r="W1300" s="8"/>
      <c r="X1300" s="8"/>
      <c r="Y1300" s="8"/>
      <c r="Z1300" s="8"/>
      <c r="AA1300" s="8"/>
      <c r="AB1300" s="8"/>
      <c r="AC1300" s="8"/>
      <c r="AD1300" s="8"/>
      <c r="AE1300" s="8"/>
      <c r="AF1300" s="8"/>
      <c r="AG1300" s="8"/>
      <c r="AH1300" s="8"/>
      <c r="AI1300" s="8"/>
      <c r="AJ1300" s="8"/>
      <c r="AK1300" s="8"/>
      <c r="AL1300" s="8"/>
      <c r="AM1300" s="8"/>
      <c r="AN1300" s="8"/>
      <c r="AO1300" s="8"/>
      <c r="AP1300" s="8"/>
      <c r="AQ1300" s="8"/>
      <c r="AR1300" s="8"/>
      <c r="AS1300" s="8"/>
      <c r="AT1300" s="8"/>
      <c r="AU1300" s="8"/>
      <c r="AV1300" s="8"/>
      <c r="AW1300" s="8"/>
      <c r="AX1300" s="4" t="s">
        <v>38</v>
      </c>
      <c r="AY1300" s="5" t="s">
        <v>5853</v>
      </c>
      <c r="AZ1300" s="5" t="s">
        <v>38</v>
      </c>
      <c r="BA1300" s="12"/>
      <c r="BB1300" s="12"/>
      <c r="BC1300" s="12"/>
      <c r="BD1300" s="11">
        <v>0</v>
      </c>
      <c r="BE1300" s="11">
        <v>0</v>
      </c>
    </row>
    <row x14ac:dyDescent="0.25" r="1301" customHeight="1" ht="17.25">
      <c r="A1301" s="11">
        <v>7249642</v>
      </c>
      <c r="B1301" s="4" t="s">
        <v>5854</v>
      </c>
      <c r="C1301" s="5" t="s">
        <v>5855</v>
      </c>
      <c r="D1301" s="5" t="s">
        <v>5856</v>
      </c>
      <c r="E1301" s="12"/>
      <c r="F1301" s="13">
        <f>"1848850530"</f>
      </c>
      <c r="G1301" s="13">
        <f>"9781848850538"</f>
      </c>
      <c r="H1301" s="11">
        <v>0</v>
      </c>
      <c r="I1301" s="14">
        <v>3.92</v>
      </c>
      <c r="J1301" s="7" t="s">
        <v>5857</v>
      </c>
      <c r="K1301" s="5" t="s">
        <v>72</v>
      </c>
      <c r="L1301" s="11">
        <v>270</v>
      </c>
      <c r="M1301" s="11">
        <v>2009</v>
      </c>
      <c r="N1301" s="11">
        <v>2009</v>
      </c>
      <c r="O1301" s="15"/>
      <c r="P1301" s="8">
        <v>44808</v>
      </c>
      <c r="Q1301" s="8"/>
      <c r="R1301" s="8"/>
      <c r="S1301" s="8"/>
      <c r="T1301" s="8"/>
      <c r="U1301" s="8"/>
      <c r="V1301" s="8"/>
      <c r="W1301" s="8"/>
      <c r="X1301" s="8"/>
      <c r="Y1301" s="8"/>
      <c r="Z1301" s="8"/>
      <c r="AA1301" s="8"/>
      <c r="AB1301" s="8"/>
      <c r="AC1301" s="8"/>
      <c r="AD1301" s="8"/>
      <c r="AE1301" s="8"/>
      <c r="AF1301" s="8"/>
      <c r="AG1301" s="8"/>
      <c r="AH1301" s="8"/>
      <c r="AI1301" s="8"/>
      <c r="AJ1301" s="8"/>
      <c r="AK1301" s="8"/>
      <c r="AL1301" s="8"/>
      <c r="AM1301" s="8"/>
      <c r="AN1301" s="8"/>
      <c r="AO1301" s="8"/>
      <c r="AP1301" s="8"/>
      <c r="AQ1301" s="8"/>
      <c r="AR1301" s="8"/>
      <c r="AS1301" s="8"/>
      <c r="AT1301" s="8"/>
      <c r="AU1301" s="8"/>
      <c r="AV1301" s="8"/>
      <c r="AW1301" s="8"/>
      <c r="AX1301" s="4" t="s">
        <v>2478</v>
      </c>
      <c r="AY1301" s="5" t="s">
        <v>5858</v>
      </c>
      <c r="AZ1301" s="5" t="s">
        <v>38</v>
      </c>
      <c r="BA1301" s="12"/>
      <c r="BB1301" s="12"/>
      <c r="BC1301" s="12"/>
      <c r="BD1301" s="11">
        <v>0</v>
      </c>
      <c r="BE1301" s="11">
        <v>0</v>
      </c>
    </row>
    <row x14ac:dyDescent="0.25" r="1302" customHeight="1" ht="17.25">
      <c r="A1302" s="11">
        <v>6551807</v>
      </c>
      <c r="B1302" s="4" t="s">
        <v>5859</v>
      </c>
      <c r="C1302" s="5" t="s">
        <v>5860</v>
      </c>
      <c r="D1302" s="5" t="s">
        <v>5861</v>
      </c>
      <c r="E1302" s="5" t="s">
        <v>3261</v>
      </c>
      <c r="F1302" s="13">
        <f>"1594772630"</f>
      </c>
      <c r="G1302" s="13">
        <f>"9781594772634"</f>
      </c>
      <c r="H1302" s="11">
        <v>0</v>
      </c>
      <c r="I1302" s="14">
        <v>4.32</v>
      </c>
      <c r="J1302" s="7" t="s">
        <v>5862</v>
      </c>
      <c r="K1302" s="5" t="s">
        <v>60</v>
      </c>
      <c r="L1302" s="11">
        <v>552</v>
      </c>
      <c r="M1302" s="11">
        <v>2009</v>
      </c>
      <c r="N1302" s="11">
        <v>2004</v>
      </c>
      <c r="O1302" s="15"/>
      <c r="P1302" s="8">
        <v>44790</v>
      </c>
      <c r="Q1302" s="8"/>
      <c r="R1302" s="8"/>
      <c r="S1302" s="8"/>
      <c r="T1302" s="8"/>
      <c r="U1302" s="8"/>
      <c r="V1302" s="8"/>
      <c r="W1302" s="8"/>
      <c r="X1302" s="8"/>
      <c r="Y1302" s="8"/>
      <c r="Z1302" s="8"/>
      <c r="AA1302" s="8"/>
      <c r="AB1302" s="8"/>
      <c r="AC1302" s="8"/>
      <c r="AD1302" s="8"/>
      <c r="AE1302" s="8"/>
      <c r="AF1302" s="8"/>
      <c r="AG1302" s="8"/>
      <c r="AH1302" s="8"/>
      <c r="AI1302" s="8"/>
      <c r="AJ1302" s="8"/>
      <c r="AK1302" s="8"/>
      <c r="AL1302" s="8"/>
      <c r="AM1302" s="8"/>
      <c r="AN1302" s="8"/>
      <c r="AO1302" s="8"/>
      <c r="AP1302" s="8"/>
      <c r="AQ1302" s="8"/>
      <c r="AR1302" s="8"/>
      <c r="AS1302" s="8"/>
      <c r="AT1302" s="8"/>
      <c r="AU1302" s="8"/>
      <c r="AV1302" s="8"/>
      <c r="AW1302" s="8"/>
      <c r="AX1302" s="4" t="s">
        <v>38</v>
      </c>
      <c r="AY1302" s="5" t="s">
        <v>5863</v>
      </c>
      <c r="AZ1302" s="5" t="s">
        <v>38</v>
      </c>
      <c r="BA1302" s="12"/>
      <c r="BB1302" s="12"/>
      <c r="BC1302" s="12"/>
      <c r="BD1302" s="11">
        <v>0</v>
      </c>
      <c r="BE1302" s="11">
        <v>0</v>
      </c>
    </row>
    <row x14ac:dyDescent="0.25" r="1303" customHeight="1" ht="17.25">
      <c r="A1303" s="11">
        <v>4472257</v>
      </c>
      <c r="B1303" s="4" t="s">
        <v>5864</v>
      </c>
      <c r="C1303" s="5" t="s">
        <v>5865</v>
      </c>
      <c r="D1303" s="5" t="s">
        <v>5866</v>
      </c>
      <c r="E1303" s="12"/>
      <c r="F1303" s="13">
        <f>"8478443681"</f>
      </c>
      <c r="G1303" s="13">
        <f>"9788478443680"</f>
      </c>
      <c r="H1303" s="11">
        <v>0</v>
      </c>
      <c r="I1303" s="14">
        <v>4.36</v>
      </c>
      <c r="J1303" s="7" t="s">
        <v>5440</v>
      </c>
      <c r="K1303" s="5" t="s">
        <v>60</v>
      </c>
      <c r="L1303" s="11">
        <v>508</v>
      </c>
      <c r="M1303" s="11">
        <v>2010</v>
      </c>
      <c r="N1303" s="11">
        <v>1946</v>
      </c>
      <c r="O1303" s="15"/>
      <c r="P1303" s="8">
        <v>45070</v>
      </c>
      <c r="Q1303" s="8"/>
      <c r="R1303" s="8"/>
      <c r="S1303" s="8"/>
      <c r="T1303" s="8"/>
      <c r="U1303" s="8"/>
      <c r="V1303" s="8"/>
      <c r="W1303" s="8"/>
      <c r="X1303" s="8"/>
      <c r="Y1303" s="8"/>
      <c r="Z1303" s="8"/>
      <c r="AA1303" s="8"/>
      <c r="AB1303" s="8"/>
      <c r="AC1303" s="8"/>
      <c r="AD1303" s="8"/>
      <c r="AE1303" s="8"/>
      <c r="AF1303" s="8"/>
      <c r="AG1303" s="8"/>
      <c r="AH1303" s="8"/>
      <c r="AI1303" s="8"/>
      <c r="AJ1303" s="8"/>
      <c r="AK1303" s="8"/>
      <c r="AL1303" s="8"/>
      <c r="AM1303" s="8"/>
      <c r="AN1303" s="8"/>
      <c r="AO1303" s="8"/>
      <c r="AP1303" s="8"/>
      <c r="AQ1303" s="8"/>
      <c r="AR1303" s="8"/>
      <c r="AS1303" s="8"/>
      <c r="AT1303" s="8"/>
      <c r="AU1303" s="8"/>
      <c r="AV1303" s="8"/>
      <c r="AW1303" s="8"/>
      <c r="AX1303" s="4" t="s">
        <v>38</v>
      </c>
      <c r="AY1303" s="5" t="s">
        <v>5867</v>
      </c>
      <c r="AZ1303" s="5" t="s">
        <v>38</v>
      </c>
      <c r="BA1303" s="12"/>
      <c r="BB1303" s="12"/>
      <c r="BC1303" s="12"/>
      <c r="BD1303" s="11">
        <v>0</v>
      </c>
      <c r="BE1303" s="11">
        <v>0</v>
      </c>
    </row>
    <row x14ac:dyDescent="0.25" r="1304" customHeight="1" ht="17.25">
      <c r="A1304" s="11">
        <v>4371062</v>
      </c>
      <c r="B1304" s="4" t="s">
        <v>5868</v>
      </c>
      <c r="C1304" s="5" t="s">
        <v>5846</v>
      </c>
      <c r="D1304" s="5" t="s">
        <v>5847</v>
      </c>
      <c r="E1304" s="5" t="s">
        <v>5869</v>
      </c>
      <c r="F1304" s="13">
        <f>"8478442391"</f>
      </c>
      <c r="G1304" s="13">
        <f>"9788478442393"</f>
      </c>
      <c r="H1304" s="11">
        <v>0</v>
      </c>
      <c r="I1304" s="14">
        <v>3.84</v>
      </c>
      <c r="J1304" s="7" t="s">
        <v>5440</v>
      </c>
      <c r="K1304" s="5" t="s">
        <v>72</v>
      </c>
      <c r="L1304" s="11">
        <v>208</v>
      </c>
      <c r="M1304" s="11">
        <v>2007</v>
      </c>
      <c r="N1304" s="11">
        <v>2007</v>
      </c>
      <c r="O1304" s="15"/>
      <c r="P1304" s="8">
        <v>43976</v>
      </c>
      <c r="Q1304" s="8"/>
      <c r="R1304" s="8"/>
      <c r="S1304" s="8"/>
      <c r="T1304" s="8"/>
      <c r="U1304" s="8"/>
      <c r="V1304" s="8"/>
      <c r="W1304" s="8"/>
      <c r="X1304" s="8"/>
      <c r="Y1304" s="8"/>
      <c r="Z1304" s="8"/>
      <c r="AA1304" s="8"/>
      <c r="AB1304" s="8"/>
      <c r="AC1304" s="8"/>
      <c r="AD1304" s="8"/>
      <c r="AE1304" s="8"/>
      <c r="AF1304" s="8"/>
      <c r="AG1304" s="8"/>
      <c r="AH1304" s="8"/>
      <c r="AI1304" s="8"/>
      <c r="AJ1304" s="8"/>
      <c r="AK1304" s="8"/>
      <c r="AL1304" s="8"/>
      <c r="AM1304" s="8"/>
      <c r="AN1304" s="8"/>
      <c r="AO1304" s="8"/>
      <c r="AP1304" s="8"/>
      <c r="AQ1304" s="8"/>
      <c r="AR1304" s="8"/>
      <c r="AS1304" s="8"/>
      <c r="AT1304" s="8"/>
      <c r="AU1304" s="8"/>
      <c r="AV1304" s="8"/>
      <c r="AW1304" s="8"/>
      <c r="AX1304" s="4" t="s">
        <v>1049</v>
      </c>
      <c r="AY1304" s="5" t="s">
        <v>5870</v>
      </c>
      <c r="AZ1304" s="5" t="s">
        <v>38</v>
      </c>
      <c r="BA1304" s="12"/>
      <c r="BB1304" s="12"/>
      <c r="BC1304" s="12"/>
      <c r="BD1304" s="11">
        <v>0</v>
      </c>
      <c r="BE1304" s="11">
        <v>0</v>
      </c>
    </row>
    <row x14ac:dyDescent="0.25" r="1305" customHeight="1" ht="17.25">
      <c r="A1305" s="11">
        <v>3410762</v>
      </c>
      <c r="B1305" s="4" t="s">
        <v>5871</v>
      </c>
      <c r="C1305" s="5" t="s">
        <v>5872</v>
      </c>
      <c r="D1305" s="5" t="s">
        <v>5873</v>
      </c>
      <c r="E1305" s="5" t="s">
        <v>5874</v>
      </c>
      <c r="F1305" s="13">
        <f>"0140037373"</f>
      </c>
      <c r="G1305" s="13">
        <f>"9780140037371"</f>
      </c>
      <c r="H1305" s="11">
        <v>0</v>
      </c>
      <c r="I1305" s="14">
        <v>3.66</v>
      </c>
      <c r="J1305" s="7" t="s">
        <v>491</v>
      </c>
      <c r="K1305" s="5" t="s">
        <v>60</v>
      </c>
      <c r="L1305" s="11">
        <v>240</v>
      </c>
      <c r="M1305" s="11">
        <v>1973</v>
      </c>
      <c r="N1305" s="11">
        <v>1972</v>
      </c>
      <c r="O1305" s="15"/>
      <c r="P1305" s="9">
        <v>44908</v>
      </c>
      <c r="Q1305" s="9"/>
      <c r="R1305" s="9"/>
      <c r="S1305" s="9"/>
      <c r="T1305" s="9"/>
      <c r="U1305" s="9"/>
      <c r="V1305" s="9"/>
      <c r="W1305" s="9"/>
      <c r="X1305" s="9"/>
      <c r="Y1305" s="9"/>
      <c r="Z1305" s="9"/>
      <c r="AA1305" s="9"/>
      <c r="AB1305" s="9"/>
      <c r="AC1305" s="9"/>
      <c r="AD1305" s="9"/>
      <c r="AE1305" s="9"/>
      <c r="AF1305" s="9"/>
      <c r="AG1305" s="9"/>
      <c r="AH1305" s="9"/>
      <c r="AI1305" s="9"/>
      <c r="AJ1305" s="9"/>
      <c r="AK1305" s="9"/>
      <c r="AL1305" s="9"/>
      <c r="AM1305" s="9"/>
      <c r="AN1305" s="9"/>
      <c r="AO1305" s="9"/>
      <c r="AP1305" s="9"/>
      <c r="AQ1305" s="9"/>
      <c r="AR1305" s="9"/>
      <c r="AS1305" s="9"/>
      <c r="AT1305" s="9"/>
      <c r="AU1305" s="9"/>
      <c r="AV1305" s="9"/>
      <c r="AW1305" s="9"/>
      <c r="AX1305" s="4" t="s">
        <v>38</v>
      </c>
      <c r="AY1305" s="5" t="s">
        <v>5875</v>
      </c>
      <c r="AZ1305" s="5" t="s">
        <v>38</v>
      </c>
      <c r="BA1305" s="12"/>
      <c r="BB1305" s="12"/>
      <c r="BC1305" s="12"/>
      <c r="BD1305" s="11">
        <v>0</v>
      </c>
      <c r="BE1305" s="11">
        <v>0</v>
      </c>
    </row>
    <row x14ac:dyDescent="0.25" r="1306" customHeight="1" ht="17.25">
      <c r="A1306" s="11">
        <v>2773442</v>
      </c>
      <c r="B1306" s="4" t="s">
        <v>5876</v>
      </c>
      <c r="C1306" s="5" t="s">
        <v>5877</v>
      </c>
      <c r="D1306" s="5" t="s">
        <v>5878</v>
      </c>
      <c r="E1306" s="5" t="s">
        <v>5879</v>
      </c>
      <c r="F1306" s="13">
        <f>"0415977770"</f>
      </c>
      <c r="G1306" s="13">
        <f>"9780415977777"</f>
      </c>
      <c r="H1306" s="11">
        <v>0</v>
      </c>
      <c r="I1306" s="14">
        <v>3.87</v>
      </c>
      <c r="J1306" s="7" t="s">
        <v>163</v>
      </c>
      <c r="K1306" s="5" t="s">
        <v>60</v>
      </c>
      <c r="L1306" s="11">
        <v>624</v>
      </c>
      <c r="M1306" s="11">
        <v>2007</v>
      </c>
      <c r="N1306" s="11">
        <v>1997</v>
      </c>
      <c r="O1306" s="15"/>
      <c r="P1306" s="8">
        <v>43926</v>
      </c>
      <c r="Q1306" s="8"/>
      <c r="R1306" s="8"/>
      <c r="S1306" s="8"/>
      <c r="T1306" s="8"/>
      <c r="U1306" s="8"/>
      <c r="V1306" s="8"/>
      <c r="W1306" s="8"/>
      <c r="X1306" s="8"/>
      <c r="Y1306" s="8"/>
      <c r="Z1306" s="8"/>
      <c r="AA1306" s="8"/>
      <c r="AB1306" s="8"/>
      <c r="AC1306" s="8"/>
      <c r="AD1306" s="8"/>
      <c r="AE1306" s="8"/>
      <c r="AF1306" s="8"/>
      <c r="AG1306" s="8"/>
      <c r="AH1306" s="8"/>
      <c r="AI1306" s="8"/>
      <c r="AJ1306" s="8"/>
      <c r="AK1306" s="8"/>
      <c r="AL1306" s="8"/>
      <c r="AM1306" s="8"/>
      <c r="AN1306" s="8"/>
      <c r="AO1306" s="8"/>
      <c r="AP1306" s="8"/>
      <c r="AQ1306" s="8"/>
      <c r="AR1306" s="8"/>
      <c r="AS1306" s="8"/>
      <c r="AT1306" s="8"/>
      <c r="AU1306" s="8"/>
      <c r="AV1306" s="8"/>
      <c r="AW1306" s="8"/>
      <c r="AX1306" s="4" t="s">
        <v>38</v>
      </c>
      <c r="AY1306" s="5" t="s">
        <v>5880</v>
      </c>
      <c r="AZ1306" s="5" t="s">
        <v>38</v>
      </c>
      <c r="BA1306" s="12"/>
      <c r="BB1306" s="12"/>
      <c r="BC1306" s="12"/>
      <c r="BD1306" s="11">
        <v>0</v>
      </c>
      <c r="BE1306" s="11">
        <v>0</v>
      </c>
    </row>
    <row x14ac:dyDescent="0.25" r="1307" customHeight="1" ht="17.25">
      <c r="A1307" s="11">
        <v>1960749</v>
      </c>
      <c r="B1307" s="4" t="s">
        <v>5881</v>
      </c>
      <c r="C1307" s="5" t="s">
        <v>5882</v>
      </c>
      <c r="D1307" s="5" t="s">
        <v>5883</v>
      </c>
      <c r="E1307" s="12"/>
      <c r="F1307" s="13">
        <f>"847844792X"</f>
      </c>
      <c r="G1307" s="13">
        <f>"9788478447923"</f>
      </c>
      <c r="H1307" s="11">
        <v>0</v>
      </c>
      <c r="I1307" s="14">
        <v>4.23</v>
      </c>
      <c r="J1307" s="7" t="s">
        <v>5440</v>
      </c>
      <c r="K1307" s="5" t="s">
        <v>60</v>
      </c>
      <c r="L1307" s="11">
        <v>644</v>
      </c>
      <c r="M1307" s="11">
        <v>2010</v>
      </c>
      <c r="N1307" s="11">
        <v>2002</v>
      </c>
      <c r="O1307" s="15"/>
      <c r="P1307" s="8">
        <v>43968</v>
      </c>
      <c r="Q1307" s="8"/>
      <c r="R1307" s="8"/>
      <c r="S1307" s="8"/>
      <c r="T1307" s="8"/>
      <c r="U1307" s="8"/>
      <c r="V1307" s="8"/>
      <c r="W1307" s="8"/>
      <c r="X1307" s="8"/>
      <c r="Y1307" s="8"/>
      <c r="Z1307" s="8"/>
      <c r="AA1307" s="8"/>
      <c r="AB1307" s="8"/>
      <c r="AC1307" s="8"/>
      <c r="AD1307" s="8"/>
      <c r="AE1307" s="8"/>
      <c r="AF1307" s="8"/>
      <c r="AG1307" s="8"/>
      <c r="AH1307" s="8"/>
      <c r="AI1307" s="8"/>
      <c r="AJ1307" s="8"/>
      <c r="AK1307" s="8"/>
      <c r="AL1307" s="8"/>
      <c r="AM1307" s="8"/>
      <c r="AN1307" s="8"/>
      <c r="AO1307" s="8"/>
      <c r="AP1307" s="8"/>
      <c r="AQ1307" s="8"/>
      <c r="AR1307" s="8"/>
      <c r="AS1307" s="8"/>
      <c r="AT1307" s="8"/>
      <c r="AU1307" s="8"/>
      <c r="AV1307" s="8"/>
      <c r="AW1307" s="8"/>
      <c r="AX1307" s="4" t="s">
        <v>38</v>
      </c>
      <c r="AY1307" s="5" t="s">
        <v>5884</v>
      </c>
      <c r="AZ1307" s="5" t="s">
        <v>38</v>
      </c>
      <c r="BA1307" s="12"/>
      <c r="BB1307" s="12"/>
      <c r="BC1307" s="12"/>
      <c r="BD1307" s="11">
        <v>0</v>
      </c>
      <c r="BE1307" s="11">
        <v>0</v>
      </c>
    </row>
    <row x14ac:dyDescent="0.25" r="1308" customHeight="1" ht="17.25">
      <c r="A1308" s="11">
        <v>2507261</v>
      </c>
      <c r="B1308" s="4" t="s">
        <v>5885</v>
      </c>
      <c r="C1308" s="5" t="s">
        <v>5886</v>
      </c>
      <c r="D1308" s="5" t="s">
        <v>5887</v>
      </c>
      <c r="E1308" s="12"/>
      <c r="F1308" s="13">
        <f>"0415907551"</f>
      </c>
      <c r="G1308" s="13">
        <f>"9780415907552"</f>
      </c>
      <c r="H1308" s="11">
        <v>0</v>
      </c>
      <c r="I1308" s="14">
        <v>3.33</v>
      </c>
      <c r="J1308" s="7" t="s">
        <v>163</v>
      </c>
      <c r="K1308" s="5" t="s">
        <v>60</v>
      </c>
      <c r="L1308" s="11">
        <v>308</v>
      </c>
      <c r="M1308" s="11">
        <v>1995</v>
      </c>
      <c r="N1308" s="11">
        <v>1994</v>
      </c>
      <c r="O1308" s="15"/>
      <c r="P1308" s="8">
        <v>43949</v>
      </c>
      <c r="Q1308" s="8"/>
      <c r="R1308" s="8"/>
      <c r="S1308" s="8"/>
      <c r="T1308" s="8"/>
      <c r="U1308" s="8"/>
      <c r="V1308" s="8"/>
      <c r="W1308" s="8"/>
      <c r="X1308" s="8"/>
      <c r="Y1308" s="8"/>
      <c r="Z1308" s="8"/>
      <c r="AA1308" s="8"/>
      <c r="AB1308" s="8"/>
      <c r="AC1308" s="8"/>
      <c r="AD1308" s="8"/>
      <c r="AE1308" s="8"/>
      <c r="AF1308" s="8"/>
      <c r="AG1308" s="8"/>
      <c r="AH1308" s="8"/>
      <c r="AI1308" s="8"/>
      <c r="AJ1308" s="8"/>
      <c r="AK1308" s="8"/>
      <c r="AL1308" s="8"/>
      <c r="AM1308" s="8"/>
      <c r="AN1308" s="8"/>
      <c r="AO1308" s="8"/>
      <c r="AP1308" s="8"/>
      <c r="AQ1308" s="8"/>
      <c r="AR1308" s="8"/>
      <c r="AS1308" s="8"/>
      <c r="AT1308" s="8"/>
      <c r="AU1308" s="8"/>
      <c r="AV1308" s="8"/>
      <c r="AW1308" s="8"/>
      <c r="AX1308" s="4" t="s">
        <v>38</v>
      </c>
      <c r="AY1308" s="5" t="s">
        <v>5888</v>
      </c>
      <c r="AZ1308" s="5" t="s">
        <v>38</v>
      </c>
      <c r="BA1308" s="12"/>
      <c r="BB1308" s="12"/>
      <c r="BC1308" s="12"/>
      <c r="BD1308" s="11">
        <v>0</v>
      </c>
      <c r="BE1308" s="11">
        <v>0</v>
      </c>
    </row>
    <row x14ac:dyDescent="0.25" r="1309" customHeight="1" ht="17.25">
      <c r="A1309" s="11">
        <v>3410737</v>
      </c>
      <c r="B1309" s="4" t="s">
        <v>5889</v>
      </c>
      <c r="C1309" s="5" t="s">
        <v>5890</v>
      </c>
      <c r="D1309" s="5" t="s">
        <v>5891</v>
      </c>
      <c r="E1309" s="12"/>
      <c r="F1309" s="13">
        <f>"0877288194"</f>
      </c>
      <c r="G1309" s="13">
        <f>"9780877288190"</f>
      </c>
      <c r="H1309" s="11">
        <v>0</v>
      </c>
      <c r="I1309" s="11">
        <v>0</v>
      </c>
      <c r="J1309" s="7" t="s">
        <v>5059</v>
      </c>
      <c r="K1309" s="5" t="s">
        <v>60</v>
      </c>
      <c r="L1309" s="11">
        <v>128</v>
      </c>
      <c r="M1309" s="11">
        <v>1994</v>
      </c>
      <c r="N1309" s="11">
        <v>1994</v>
      </c>
      <c r="O1309" s="15"/>
      <c r="P1309" s="9">
        <v>44908</v>
      </c>
      <c r="Q1309" s="9"/>
      <c r="R1309" s="9"/>
      <c r="S1309" s="9"/>
      <c r="T1309" s="9"/>
      <c r="U1309" s="9"/>
      <c r="V1309" s="9"/>
      <c r="W1309" s="9"/>
      <c r="X1309" s="9"/>
      <c r="Y1309" s="9"/>
      <c r="Z1309" s="9"/>
      <c r="AA1309" s="9"/>
      <c r="AB1309" s="9"/>
      <c r="AC1309" s="9"/>
      <c r="AD1309" s="9"/>
      <c r="AE1309" s="9"/>
      <c r="AF1309" s="9"/>
      <c r="AG1309" s="9"/>
      <c r="AH1309" s="9"/>
      <c r="AI1309" s="9"/>
      <c r="AJ1309" s="9"/>
      <c r="AK1309" s="9"/>
      <c r="AL1309" s="9"/>
      <c r="AM1309" s="9"/>
      <c r="AN1309" s="9"/>
      <c r="AO1309" s="9"/>
      <c r="AP1309" s="9"/>
      <c r="AQ1309" s="9"/>
      <c r="AR1309" s="9"/>
      <c r="AS1309" s="9"/>
      <c r="AT1309" s="9"/>
      <c r="AU1309" s="9"/>
      <c r="AV1309" s="9"/>
      <c r="AW1309" s="9"/>
      <c r="AX1309" s="4" t="s">
        <v>38</v>
      </c>
      <c r="AY1309" s="5" t="s">
        <v>5892</v>
      </c>
      <c r="AZ1309" s="5" t="s">
        <v>38</v>
      </c>
      <c r="BA1309" s="12"/>
      <c r="BB1309" s="12"/>
      <c r="BC1309" s="12"/>
      <c r="BD1309" s="11">
        <v>0</v>
      </c>
      <c r="BE1309" s="11">
        <v>0</v>
      </c>
    </row>
    <row x14ac:dyDescent="0.25" r="1310" customHeight="1" ht="17.25">
      <c r="A1310" s="11">
        <v>1908721</v>
      </c>
      <c r="B1310" s="4" t="s">
        <v>5893</v>
      </c>
      <c r="C1310" s="5" t="s">
        <v>5894</v>
      </c>
      <c r="D1310" s="5" t="s">
        <v>5895</v>
      </c>
      <c r="E1310" s="12"/>
      <c r="F1310" s="13">
        <f>"0300077483"</f>
      </c>
      <c r="G1310" s="13">
        <f>"9780300077483"</f>
      </c>
      <c r="H1310" s="11">
        <v>0</v>
      </c>
      <c r="I1310" s="14">
        <v>4.3</v>
      </c>
      <c r="J1310" s="7" t="s">
        <v>576</v>
      </c>
      <c r="K1310" s="5" t="s">
        <v>60</v>
      </c>
      <c r="L1310" s="11">
        <v>332</v>
      </c>
      <c r="M1310" s="11">
        <v>1999</v>
      </c>
      <c r="N1310" s="11">
        <v>1953</v>
      </c>
      <c r="O1310" s="15"/>
      <c r="P1310" s="8">
        <v>44804</v>
      </c>
      <c r="Q1310" s="8"/>
      <c r="R1310" s="8"/>
      <c r="S1310" s="8"/>
      <c r="T1310" s="8"/>
      <c r="U1310" s="8"/>
      <c r="V1310" s="8"/>
      <c r="W1310" s="8"/>
      <c r="X1310" s="8"/>
      <c r="Y1310" s="8"/>
      <c r="Z1310" s="8"/>
      <c r="AA1310" s="8"/>
      <c r="AB1310" s="8"/>
      <c r="AC1310" s="8"/>
      <c r="AD1310" s="8"/>
      <c r="AE1310" s="8"/>
      <c r="AF1310" s="8"/>
      <c r="AG1310" s="8"/>
      <c r="AH1310" s="8"/>
      <c r="AI1310" s="8"/>
      <c r="AJ1310" s="8"/>
      <c r="AK1310" s="8"/>
      <c r="AL1310" s="8"/>
      <c r="AM1310" s="8"/>
      <c r="AN1310" s="8"/>
      <c r="AO1310" s="8"/>
      <c r="AP1310" s="8"/>
      <c r="AQ1310" s="8"/>
      <c r="AR1310" s="8"/>
      <c r="AS1310" s="8"/>
      <c r="AT1310" s="8"/>
      <c r="AU1310" s="8"/>
      <c r="AV1310" s="8"/>
      <c r="AW1310" s="8"/>
      <c r="AX1310" s="4" t="s">
        <v>38</v>
      </c>
      <c r="AY1310" s="5" t="s">
        <v>5896</v>
      </c>
      <c r="AZ1310" s="5" t="s">
        <v>38</v>
      </c>
      <c r="BA1310" s="12"/>
      <c r="BB1310" s="12"/>
      <c r="BC1310" s="12"/>
      <c r="BD1310" s="11">
        <v>0</v>
      </c>
      <c r="BE1310" s="11">
        <v>0</v>
      </c>
    </row>
    <row x14ac:dyDescent="0.25" r="1311" customHeight="1" ht="17.25">
      <c r="A1311" s="11">
        <v>1147532</v>
      </c>
      <c r="B1311" s="4" t="s">
        <v>5897</v>
      </c>
      <c r="C1311" s="5" t="s">
        <v>5898</v>
      </c>
      <c r="D1311" s="5" t="s">
        <v>5899</v>
      </c>
      <c r="E1311" s="5" t="s">
        <v>5900</v>
      </c>
      <c r="F1311" s="13">
        <f>"8472451917"</f>
      </c>
      <c r="G1311" s="13">
        <f>"9788472451919"</f>
      </c>
      <c r="H1311" s="11">
        <v>0</v>
      </c>
      <c r="I1311" s="14">
        <v>4.13</v>
      </c>
      <c r="J1311" s="7" t="s">
        <v>5901</v>
      </c>
      <c r="K1311" s="5" t="s">
        <v>60</v>
      </c>
      <c r="L1311" s="11">
        <v>525</v>
      </c>
      <c r="M1311" s="11">
        <v>1989</v>
      </c>
      <c r="N1311" s="11">
        <v>1980</v>
      </c>
      <c r="O1311" s="15"/>
      <c r="P1311" s="8">
        <v>44843</v>
      </c>
      <c r="Q1311" s="8"/>
      <c r="R1311" s="8"/>
      <c r="S1311" s="8"/>
      <c r="T1311" s="8"/>
      <c r="U1311" s="8"/>
      <c r="V1311" s="8"/>
      <c r="W1311" s="8"/>
      <c r="X1311" s="8"/>
      <c r="Y1311" s="8"/>
      <c r="Z1311" s="8"/>
      <c r="AA1311" s="8"/>
      <c r="AB1311" s="8"/>
      <c r="AC1311" s="8"/>
      <c r="AD1311" s="8"/>
      <c r="AE1311" s="8"/>
      <c r="AF1311" s="8"/>
      <c r="AG1311" s="8"/>
      <c r="AH1311" s="8"/>
      <c r="AI1311" s="8"/>
      <c r="AJ1311" s="8"/>
      <c r="AK1311" s="8"/>
      <c r="AL1311" s="8"/>
      <c r="AM1311" s="8"/>
      <c r="AN1311" s="8"/>
      <c r="AO1311" s="8"/>
      <c r="AP1311" s="8"/>
      <c r="AQ1311" s="8"/>
      <c r="AR1311" s="8"/>
      <c r="AS1311" s="8"/>
      <c r="AT1311" s="8"/>
      <c r="AU1311" s="8"/>
      <c r="AV1311" s="8"/>
      <c r="AW1311" s="8"/>
      <c r="AX1311" s="4" t="s">
        <v>38</v>
      </c>
      <c r="AY1311" s="5" t="s">
        <v>5902</v>
      </c>
      <c r="AZ1311" s="5" t="s">
        <v>38</v>
      </c>
      <c r="BA1311" s="12"/>
      <c r="BB1311" s="12"/>
      <c r="BC1311" s="12"/>
      <c r="BD1311" s="11">
        <v>0</v>
      </c>
      <c r="BE1311" s="11">
        <v>0</v>
      </c>
    </row>
    <row x14ac:dyDescent="0.25" r="1312" customHeight="1" ht="17.25">
      <c r="A1312" s="11">
        <v>1512020</v>
      </c>
      <c r="B1312" s="4" t="s">
        <v>5903</v>
      </c>
      <c r="C1312" s="5" t="s">
        <v>5904</v>
      </c>
      <c r="D1312" s="5" t="s">
        <v>5905</v>
      </c>
      <c r="E1312" s="12"/>
      <c r="F1312" s="13">
        <f>"0415040132"</f>
      </c>
      <c r="G1312" s="13">
        <f>"9780415040136"</f>
      </c>
      <c r="H1312" s="11">
        <v>0</v>
      </c>
      <c r="I1312" s="11">
        <v>4</v>
      </c>
      <c r="J1312" s="7" t="s">
        <v>163</v>
      </c>
      <c r="K1312" s="5" t="s">
        <v>60</v>
      </c>
      <c r="L1312" s="16"/>
      <c r="M1312" s="11">
        <v>1987</v>
      </c>
      <c r="N1312" s="11">
        <v>1987</v>
      </c>
      <c r="O1312" s="15"/>
      <c r="P1312" s="8">
        <v>43101</v>
      </c>
      <c r="Q1312" s="8"/>
      <c r="R1312" s="8"/>
      <c r="S1312" s="8"/>
      <c r="T1312" s="8"/>
      <c r="U1312" s="8"/>
      <c r="V1312" s="8"/>
      <c r="W1312" s="8"/>
      <c r="X1312" s="8"/>
      <c r="Y1312" s="8"/>
      <c r="Z1312" s="8"/>
      <c r="AA1312" s="8"/>
      <c r="AB1312" s="8"/>
      <c r="AC1312" s="8"/>
      <c r="AD1312" s="8"/>
      <c r="AE1312" s="8"/>
      <c r="AF1312" s="8"/>
      <c r="AG1312" s="8"/>
      <c r="AH1312" s="8"/>
      <c r="AI1312" s="8"/>
      <c r="AJ1312" s="8"/>
      <c r="AK1312" s="8"/>
      <c r="AL1312" s="8"/>
      <c r="AM1312" s="8"/>
      <c r="AN1312" s="8"/>
      <c r="AO1312" s="8"/>
      <c r="AP1312" s="8"/>
      <c r="AQ1312" s="8"/>
      <c r="AR1312" s="8"/>
      <c r="AS1312" s="8"/>
      <c r="AT1312" s="8"/>
      <c r="AU1312" s="8"/>
      <c r="AV1312" s="8"/>
      <c r="AW1312" s="8"/>
      <c r="AX1312" s="4" t="s">
        <v>38</v>
      </c>
      <c r="AY1312" s="5" t="s">
        <v>5906</v>
      </c>
      <c r="AZ1312" s="5" t="s">
        <v>38</v>
      </c>
      <c r="BA1312" s="12"/>
      <c r="BB1312" s="12"/>
      <c r="BC1312" s="12"/>
      <c r="BD1312" s="11">
        <v>0</v>
      </c>
      <c r="BE1312" s="11">
        <v>0</v>
      </c>
    </row>
    <row x14ac:dyDescent="0.25" r="1313" customHeight="1" ht="17.25">
      <c r="A1313" s="11">
        <v>1336654</v>
      </c>
      <c r="B1313" s="4" t="s">
        <v>5907</v>
      </c>
      <c r="C1313" s="5" t="s">
        <v>5908</v>
      </c>
      <c r="D1313" s="5" t="s">
        <v>5909</v>
      </c>
      <c r="E1313" s="12"/>
      <c r="F1313" s="13">
        <f>"0451072057"</f>
      </c>
      <c r="G1313" s="13">
        <f>"9780451072054"</f>
      </c>
      <c r="H1313" s="11">
        <v>0</v>
      </c>
      <c r="I1313" s="14">
        <v>3.56</v>
      </c>
      <c r="J1313" s="7" t="s">
        <v>689</v>
      </c>
      <c r="K1313" s="5" t="s">
        <v>346</v>
      </c>
      <c r="L1313" s="11">
        <v>256</v>
      </c>
      <c r="M1313" s="11">
        <v>1969</v>
      </c>
      <c r="N1313" s="11">
        <v>1960</v>
      </c>
      <c r="O1313" s="15"/>
      <c r="P1313" s="9">
        <v>44908</v>
      </c>
      <c r="Q1313" s="9"/>
      <c r="R1313" s="9"/>
      <c r="S1313" s="9"/>
      <c r="T1313" s="9"/>
      <c r="U1313" s="9"/>
      <c r="V1313" s="9"/>
      <c r="W1313" s="9"/>
      <c r="X1313" s="9"/>
      <c r="Y1313" s="9"/>
      <c r="Z1313" s="9"/>
      <c r="AA1313" s="9"/>
      <c r="AB1313" s="9"/>
      <c r="AC1313" s="9"/>
      <c r="AD1313" s="9"/>
      <c r="AE1313" s="9"/>
      <c r="AF1313" s="9"/>
      <c r="AG1313" s="9"/>
      <c r="AH1313" s="9"/>
      <c r="AI1313" s="9"/>
      <c r="AJ1313" s="9"/>
      <c r="AK1313" s="9"/>
      <c r="AL1313" s="9"/>
      <c r="AM1313" s="9"/>
      <c r="AN1313" s="9"/>
      <c r="AO1313" s="9"/>
      <c r="AP1313" s="9"/>
      <c r="AQ1313" s="9"/>
      <c r="AR1313" s="9"/>
      <c r="AS1313" s="9"/>
      <c r="AT1313" s="9"/>
      <c r="AU1313" s="9"/>
      <c r="AV1313" s="9"/>
      <c r="AW1313" s="9"/>
      <c r="AX1313" s="4" t="s">
        <v>38</v>
      </c>
      <c r="AY1313" s="5" t="s">
        <v>5910</v>
      </c>
      <c r="AZ1313" s="5" t="s">
        <v>38</v>
      </c>
      <c r="BA1313" s="12"/>
      <c r="BB1313" s="12"/>
      <c r="BC1313" s="12"/>
      <c r="BD1313" s="11">
        <v>0</v>
      </c>
      <c r="BE1313" s="11">
        <v>0</v>
      </c>
    </row>
    <row x14ac:dyDescent="0.25" r="1314" customHeight="1" ht="17.25">
      <c r="A1314" s="11">
        <v>1228573</v>
      </c>
      <c r="B1314" s="4" t="s">
        <v>5911</v>
      </c>
      <c r="C1314" s="5" t="s">
        <v>5912</v>
      </c>
      <c r="D1314" s="5" t="s">
        <v>5913</v>
      </c>
      <c r="E1314" s="5" t="s">
        <v>5914</v>
      </c>
      <c r="F1314" s="13">
        <f>"157281540X"</f>
      </c>
      <c r="G1314" s="13">
        <f>"9781572815407"</f>
      </c>
      <c r="H1314" s="11">
        <v>0</v>
      </c>
      <c r="I1314" s="14">
        <v>4.32</v>
      </c>
      <c r="J1314" s="7" t="s">
        <v>5915</v>
      </c>
      <c r="K1314" s="5" t="s">
        <v>72</v>
      </c>
      <c r="L1314" s="16"/>
      <c r="M1314" s="11">
        <v>2006</v>
      </c>
      <c r="N1314" s="11">
        <v>2005</v>
      </c>
      <c r="O1314" s="15"/>
      <c r="P1314" s="9">
        <v>44908</v>
      </c>
      <c r="Q1314" s="9"/>
      <c r="R1314" s="9"/>
      <c r="S1314" s="9"/>
      <c r="T1314" s="9"/>
      <c r="U1314" s="9"/>
      <c r="V1314" s="9"/>
      <c r="W1314" s="9"/>
      <c r="X1314" s="9"/>
      <c r="Y1314" s="9"/>
      <c r="Z1314" s="9"/>
      <c r="AA1314" s="9"/>
      <c r="AB1314" s="9"/>
      <c r="AC1314" s="9"/>
      <c r="AD1314" s="9"/>
      <c r="AE1314" s="9"/>
      <c r="AF1314" s="9"/>
      <c r="AG1314" s="9"/>
      <c r="AH1314" s="9"/>
      <c r="AI1314" s="9"/>
      <c r="AJ1314" s="9"/>
      <c r="AK1314" s="9"/>
      <c r="AL1314" s="9"/>
      <c r="AM1314" s="9"/>
      <c r="AN1314" s="9"/>
      <c r="AO1314" s="9"/>
      <c r="AP1314" s="9"/>
      <c r="AQ1314" s="9"/>
      <c r="AR1314" s="9"/>
      <c r="AS1314" s="9"/>
      <c r="AT1314" s="9"/>
      <c r="AU1314" s="9"/>
      <c r="AV1314" s="9"/>
      <c r="AW1314" s="9"/>
      <c r="AX1314" s="4" t="s">
        <v>38</v>
      </c>
      <c r="AY1314" s="5" t="s">
        <v>5916</v>
      </c>
      <c r="AZ1314" s="5" t="s">
        <v>38</v>
      </c>
      <c r="BA1314" s="12"/>
      <c r="BB1314" s="12"/>
      <c r="BC1314" s="12"/>
      <c r="BD1314" s="11">
        <v>0</v>
      </c>
      <c r="BE1314" s="11">
        <v>0</v>
      </c>
    </row>
    <row x14ac:dyDescent="0.25" r="1315" customHeight="1" ht="17.25">
      <c r="A1315" s="11">
        <v>1089329</v>
      </c>
      <c r="B1315" s="4" t="s">
        <v>5917</v>
      </c>
      <c r="C1315" s="5" t="s">
        <v>5918</v>
      </c>
      <c r="D1315" s="5" t="s">
        <v>5919</v>
      </c>
      <c r="E1315" s="12"/>
      <c r="F1315" s="13">
        <f>"0879801581"</f>
      </c>
      <c r="G1315" s="13">
        <f>"9780879801588"</f>
      </c>
      <c r="H1315" s="11">
        <v>0</v>
      </c>
      <c r="I1315" s="14">
        <v>3.83</v>
      </c>
      <c r="J1315" s="7" t="s">
        <v>5920</v>
      </c>
      <c r="K1315" s="5" t="s">
        <v>60</v>
      </c>
      <c r="L1315" s="16"/>
      <c r="M1315" s="11">
        <v>1978</v>
      </c>
      <c r="N1315" s="11">
        <v>1888</v>
      </c>
      <c r="O1315" s="15"/>
      <c r="P1315" s="8">
        <v>45087</v>
      </c>
      <c r="Q1315" s="8"/>
      <c r="R1315" s="8"/>
      <c r="S1315" s="8"/>
      <c r="T1315" s="8"/>
      <c r="U1315" s="8"/>
      <c r="V1315" s="8"/>
      <c r="W1315" s="8"/>
      <c r="X1315" s="8"/>
      <c r="Y1315" s="8"/>
      <c r="Z1315" s="8"/>
      <c r="AA1315" s="8"/>
      <c r="AB1315" s="8"/>
      <c r="AC1315" s="8"/>
      <c r="AD1315" s="8"/>
      <c r="AE1315" s="8"/>
      <c r="AF1315" s="8"/>
      <c r="AG1315" s="8"/>
      <c r="AH1315" s="8"/>
      <c r="AI1315" s="8"/>
      <c r="AJ1315" s="8"/>
      <c r="AK1315" s="8"/>
      <c r="AL1315" s="8"/>
      <c r="AM1315" s="8"/>
      <c r="AN1315" s="8"/>
      <c r="AO1315" s="8"/>
      <c r="AP1315" s="8"/>
      <c r="AQ1315" s="8"/>
      <c r="AR1315" s="8"/>
      <c r="AS1315" s="8"/>
      <c r="AT1315" s="8"/>
      <c r="AU1315" s="8"/>
      <c r="AV1315" s="8"/>
      <c r="AW1315" s="8"/>
      <c r="AX1315" s="4" t="s">
        <v>38</v>
      </c>
      <c r="AY1315" s="5" t="s">
        <v>5921</v>
      </c>
      <c r="AZ1315" s="5" t="s">
        <v>38</v>
      </c>
      <c r="BA1315" s="12"/>
      <c r="BB1315" s="12"/>
      <c r="BC1315" s="12"/>
      <c r="BD1315" s="11">
        <v>0</v>
      </c>
      <c r="BE1315" s="11">
        <v>0</v>
      </c>
    </row>
    <row x14ac:dyDescent="0.25" r="1316" customHeight="1" ht="17.25">
      <c r="A1316" s="11">
        <v>863480</v>
      </c>
      <c r="B1316" s="4" t="s">
        <v>5922</v>
      </c>
      <c r="C1316" s="5" t="s">
        <v>5923</v>
      </c>
      <c r="D1316" s="5" t="s">
        <v>5924</v>
      </c>
      <c r="E1316" s="5" t="s">
        <v>5925</v>
      </c>
      <c r="F1316" s="13">
        <f>"0300016743"</f>
      </c>
      <c r="G1316" s="13">
        <f>"9780300016741"</f>
      </c>
      <c r="H1316" s="11">
        <v>0</v>
      </c>
      <c r="I1316" s="14">
        <v>4.12</v>
      </c>
      <c r="J1316" s="7" t="s">
        <v>5926</v>
      </c>
      <c r="K1316" s="5" t="s">
        <v>60</v>
      </c>
      <c r="L1316" s="11">
        <v>226</v>
      </c>
      <c r="M1316" s="11">
        <v>1973</v>
      </c>
      <c r="N1316" s="11">
        <v>1942</v>
      </c>
      <c r="O1316" s="15"/>
      <c r="P1316" s="8">
        <v>44959</v>
      </c>
      <c r="Q1316" s="8"/>
      <c r="R1316" s="8"/>
      <c r="S1316" s="8"/>
      <c r="T1316" s="8"/>
      <c r="U1316" s="8"/>
      <c r="V1316" s="8"/>
      <c r="W1316" s="8"/>
      <c r="X1316" s="8"/>
      <c r="Y1316" s="8"/>
      <c r="Z1316" s="8"/>
      <c r="AA1316" s="8"/>
      <c r="AB1316" s="8"/>
      <c r="AC1316" s="8"/>
      <c r="AD1316" s="8"/>
      <c r="AE1316" s="8"/>
      <c r="AF1316" s="8"/>
      <c r="AG1316" s="8"/>
      <c r="AH1316" s="8"/>
      <c r="AI1316" s="8"/>
      <c r="AJ1316" s="8"/>
      <c r="AK1316" s="8"/>
      <c r="AL1316" s="8"/>
      <c r="AM1316" s="8"/>
      <c r="AN1316" s="8"/>
      <c r="AO1316" s="8"/>
      <c r="AP1316" s="8"/>
      <c r="AQ1316" s="8"/>
      <c r="AR1316" s="8"/>
      <c r="AS1316" s="8"/>
      <c r="AT1316" s="8"/>
      <c r="AU1316" s="8"/>
      <c r="AV1316" s="8"/>
      <c r="AW1316" s="8"/>
      <c r="AX1316" s="4" t="s">
        <v>38</v>
      </c>
      <c r="AY1316" s="5" t="s">
        <v>5927</v>
      </c>
      <c r="AZ1316" s="5" t="s">
        <v>38</v>
      </c>
      <c r="BA1316" s="12"/>
      <c r="BB1316" s="12"/>
      <c r="BC1316" s="12"/>
      <c r="BD1316" s="11">
        <v>0</v>
      </c>
      <c r="BE1316" s="11">
        <v>0</v>
      </c>
    </row>
    <row x14ac:dyDescent="0.25" r="1317" customHeight="1" ht="17.25">
      <c r="A1317" s="11">
        <v>836345</v>
      </c>
      <c r="B1317" s="4" t="s">
        <v>5928</v>
      </c>
      <c r="C1317" s="5" t="s">
        <v>5929</v>
      </c>
      <c r="D1317" s="5" t="s">
        <v>5930</v>
      </c>
      <c r="E1317" s="12"/>
      <c r="F1317" s="13">
        <f>"0415147557"</f>
      </c>
      <c r="G1317" s="13">
        <f>"9780415147552"</f>
      </c>
      <c r="H1317" s="11">
        <v>0</v>
      </c>
      <c r="I1317" s="14">
        <v>4.12</v>
      </c>
      <c r="J1317" s="7" t="s">
        <v>163</v>
      </c>
      <c r="K1317" s="5" t="s">
        <v>60</v>
      </c>
      <c r="L1317" s="11">
        <v>472</v>
      </c>
      <c r="M1317" s="11">
        <v>1999</v>
      </c>
      <c r="N1317" s="11">
        <v>1999</v>
      </c>
      <c r="O1317" s="15"/>
      <c r="P1317" s="8">
        <v>45120</v>
      </c>
      <c r="Q1317" s="8"/>
      <c r="R1317" s="8"/>
      <c r="S1317" s="8"/>
      <c r="T1317" s="8"/>
      <c r="U1317" s="8"/>
      <c r="V1317" s="8"/>
      <c r="W1317" s="8"/>
      <c r="X1317" s="8"/>
      <c r="Y1317" s="8"/>
      <c r="Z1317" s="8"/>
      <c r="AA1317" s="8"/>
      <c r="AB1317" s="8"/>
      <c r="AC1317" s="8"/>
      <c r="AD1317" s="8"/>
      <c r="AE1317" s="8"/>
      <c r="AF1317" s="8"/>
      <c r="AG1317" s="8"/>
      <c r="AH1317" s="8"/>
      <c r="AI1317" s="8"/>
      <c r="AJ1317" s="8"/>
      <c r="AK1317" s="8"/>
      <c r="AL1317" s="8"/>
      <c r="AM1317" s="8"/>
      <c r="AN1317" s="8"/>
      <c r="AO1317" s="8"/>
      <c r="AP1317" s="8"/>
      <c r="AQ1317" s="8"/>
      <c r="AR1317" s="8"/>
      <c r="AS1317" s="8"/>
      <c r="AT1317" s="8"/>
      <c r="AU1317" s="8"/>
      <c r="AV1317" s="8"/>
      <c r="AW1317" s="8"/>
      <c r="AX1317" s="4" t="s">
        <v>38</v>
      </c>
      <c r="AY1317" s="5" t="s">
        <v>5931</v>
      </c>
      <c r="AZ1317" s="5" t="s">
        <v>38</v>
      </c>
      <c r="BA1317" s="12"/>
      <c r="BB1317" s="12"/>
      <c r="BC1317" s="12"/>
      <c r="BD1317" s="11">
        <v>0</v>
      </c>
      <c r="BE1317" s="11">
        <v>0</v>
      </c>
    </row>
    <row x14ac:dyDescent="0.25" r="1318" customHeight="1" ht="17.25">
      <c r="A1318" s="11">
        <v>955114</v>
      </c>
      <c r="B1318" s="4" t="s">
        <v>5932</v>
      </c>
      <c r="C1318" s="5" t="s">
        <v>5837</v>
      </c>
      <c r="D1318" s="5" t="s">
        <v>5838</v>
      </c>
      <c r="E1318" s="5" t="s">
        <v>5933</v>
      </c>
      <c r="F1318" s="13">
        <f>"0312162944"</f>
      </c>
      <c r="G1318" s="13">
        <f>"9780312162948"</f>
      </c>
      <c r="H1318" s="11">
        <v>0</v>
      </c>
      <c r="I1318" s="14">
        <v>4.18</v>
      </c>
      <c r="J1318" s="7" t="s">
        <v>2025</v>
      </c>
      <c r="K1318" s="5" t="s">
        <v>72</v>
      </c>
      <c r="L1318" s="11">
        <v>308</v>
      </c>
      <c r="M1318" s="11">
        <v>1996</v>
      </c>
      <c r="N1318" s="11">
        <v>1996</v>
      </c>
      <c r="O1318" s="15"/>
      <c r="P1318" s="8">
        <v>44805</v>
      </c>
      <c r="Q1318" s="8"/>
      <c r="R1318" s="8"/>
      <c r="S1318" s="8"/>
      <c r="T1318" s="8"/>
      <c r="U1318" s="8"/>
      <c r="V1318" s="8"/>
      <c r="W1318" s="8"/>
      <c r="X1318" s="8"/>
      <c r="Y1318" s="8"/>
      <c r="Z1318" s="8"/>
      <c r="AA1318" s="8"/>
      <c r="AB1318" s="8"/>
      <c r="AC1318" s="8"/>
      <c r="AD1318" s="8"/>
      <c r="AE1318" s="8"/>
      <c r="AF1318" s="8"/>
      <c r="AG1318" s="8"/>
      <c r="AH1318" s="8"/>
      <c r="AI1318" s="8"/>
      <c r="AJ1318" s="8"/>
      <c r="AK1318" s="8"/>
      <c r="AL1318" s="8"/>
      <c r="AM1318" s="8"/>
      <c r="AN1318" s="8"/>
      <c r="AO1318" s="8"/>
      <c r="AP1318" s="8"/>
      <c r="AQ1318" s="8"/>
      <c r="AR1318" s="8"/>
      <c r="AS1318" s="8"/>
      <c r="AT1318" s="8"/>
      <c r="AU1318" s="8"/>
      <c r="AV1318" s="8"/>
      <c r="AW1318" s="8"/>
      <c r="AX1318" s="4" t="s">
        <v>38</v>
      </c>
      <c r="AY1318" s="5" t="s">
        <v>5934</v>
      </c>
      <c r="AZ1318" s="5" t="s">
        <v>38</v>
      </c>
      <c r="BA1318" s="12"/>
      <c r="BB1318" s="12"/>
      <c r="BC1318" s="12"/>
      <c r="BD1318" s="11">
        <v>0</v>
      </c>
      <c r="BE1318" s="11">
        <v>0</v>
      </c>
    </row>
    <row x14ac:dyDescent="0.25" r="1319" customHeight="1" ht="17.25">
      <c r="A1319" s="11">
        <v>974866</v>
      </c>
      <c r="B1319" s="4" t="s">
        <v>5935</v>
      </c>
      <c r="C1319" s="5" t="s">
        <v>5936</v>
      </c>
      <c r="D1319" s="5" t="s">
        <v>5937</v>
      </c>
      <c r="E1319" s="12"/>
      <c r="F1319" s="13">
        <f>"0943358019"</f>
      </c>
      <c r="G1319" s="13">
        <f>"9780943358017"</f>
      </c>
      <c r="H1319" s="11">
        <v>0</v>
      </c>
      <c r="I1319" s="14">
        <v>4.39</v>
      </c>
      <c r="J1319" s="7" t="s">
        <v>5938</v>
      </c>
      <c r="K1319" s="5" t="s">
        <v>60</v>
      </c>
      <c r="L1319" s="16"/>
      <c r="M1319" s="11">
        <v>1983</v>
      </c>
      <c r="N1319" s="11">
        <v>1975</v>
      </c>
      <c r="O1319" s="15"/>
      <c r="P1319" s="9">
        <v>44908</v>
      </c>
      <c r="Q1319" s="9"/>
      <c r="R1319" s="9"/>
      <c r="S1319" s="9"/>
      <c r="T1319" s="9"/>
      <c r="U1319" s="9"/>
      <c r="V1319" s="9"/>
      <c r="W1319" s="9"/>
      <c r="X1319" s="9"/>
      <c r="Y1319" s="9"/>
      <c r="Z1319" s="9"/>
      <c r="AA1319" s="9"/>
      <c r="AB1319" s="9"/>
      <c r="AC1319" s="9"/>
      <c r="AD1319" s="9"/>
      <c r="AE1319" s="9"/>
      <c r="AF1319" s="9"/>
      <c r="AG1319" s="9"/>
      <c r="AH1319" s="9"/>
      <c r="AI1319" s="9"/>
      <c r="AJ1319" s="9"/>
      <c r="AK1319" s="9"/>
      <c r="AL1319" s="9"/>
      <c r="AM1319" s="9"/>
      <c r="AN1319" s="9"/>
      <c r="AO1319" s="9"/>
      <c r="AP1319" s="9"/>
      <c r="AQ1319" s="9"/>
      <c r="AR1319" s="9"/>
      <c r="AS1319" s="9"/>
      <c r="AT1319" s="9"/>
      <c r="AU1319" s="9"/>
      <c r="AV1319" s="9"/>
      <c r="AW1319" s="9"/>
      <c r="AX1319" s="4" t="s">
        <v>38</v>
      </c>
      <c r="AY1319" s="5" t="s">
        <v>5939</v>
      </c>
      <c r="AZ1319" s="5" t="s">
        <v>38</v>
      </c>
      <c r="BA1319" s="12"/>
      <c r="BB1319" s="12"/>
      <c r="BC1319" s="12"/>
      <c r="BD1319" s="11">
        <v>0</v>
      </c>
      <c r="BE1319" s="11">
        <v>0</v>
      </c>
    </row>
    <row x14ac:dyDescent="0.25" r="1320" customHeight="1" ht="17.25">
      <c r="A1320" s="11">
        <v>761156</v>
      </c>
      <c r="B1320" s="4" t="s">
        <v>5940</v>
      </c>
      <c r="C1320" s="5" t="s">
        <v>5941</v>
      </c>
      <c r="D1320" s="5" t="s">
        <v>5942</v>
      </c>
      <c r="E1320" s="12"/>
      <c r="F1320" s="13">
        <f>"0684824779"</f>
      </c>
      <c r="G1320" s="13">
        <f>"9780684824772"</f>
      </c>
      <c r="H1320" s="11">
        <v>0</v>
      </c>
      <c r="I1320" s="14">
        <v>3.84</v>
      </c>
      <c r="J1320" s="7" t="s">
        <v>132</v>
      </c>
      <c r="K1320" s="5" t="s">
        <v>60</v>
      </c>
      <c r="L1320" s="11">
        <v>224</v>
      </c>
      <c r="M1320" s="11">
        <v>1996</v>
      </c>
      <c r="N1320" s="11">
        <v>1972</v>
      </c>
      <c r="O1320" s="15"/>
      <c r="P1320" s="9">
        <v>44118</v>
      </c>
      <c r="Q1320" s="9"/>
      <c r="R1320" s="9"/>
      <c r="S1320" s="9"/>
      <c r="T1320" s="9"/>
      <c r="U1320" s="9"/>
      <c r="V1320" s="9"/>
      <c r="W1320" s="9"/>
      <c r="X1320" s="9"/>
      <c r="Y1320" s="9"/>
      <c r="Z1320" s="9"/>
      <c r="AA1320" s="9"/>
      <c r="AB1320" s="9"/>
      <c r="AC1320" s="9"/>
      <c r="AD1320" s="9"/>
      <c r="AE1320" s="9"/>
      <c r="AF1320" s="9"/>
      <c r="AG1320" s="9"/>
      <c r="AH1320" s="9"/>
      <c r="AI1320" s="9"/>
      <c r="AJ1320" s="9"/>
      <c r="AK1320" s="9"/>
      <c r="AL1320" s="9"/>
      <c r="AM1320" s="9"/>
      <c r="AN1320" s="9"/>
      <c r="AO1320" s="9"/>
      <c r="AP1320" s="9"/>
      <c r="AQ1320" s="9"/>
      <c r="AR1320" s="9"/>
      <c r="AS1320" s="9"/>
      <c r="AT1320" s="9"/>
      <c r="AU1320" s="9"/>
      <c r="AV1320" s="9"/>
      <c r="AW1320" s="9"/>
      <c r="AX1320" s="4" t="s">
        <v>38</v>
      </c>
      <c r="AY1320" s="5" t="s">
        <v>5943</v>
      </c>
      <c r="AZ1320" s="5" t="s">
        <v>38</v>
      </c>
      <c r="BA1320" s="12"/>
      <c r="BB1320" s="12"/>
      <c r="BC1320" s="12"/>
      <c r="BD1320" s="11">
        <v>0</v>
      </c>
      <c r="BE1320" s="11">
        <v>0</v>
      </c>
    </row>
    <row x14ac:dyDescent="0.25" r="1321" customHeight="1" ht="17.25">
      <c r="A1321" s="11">
        <v>760806</v>
      </c>
      <c r="B1321" s="4" t="s">
        <v>5944</v>
      </c>
      <c r="C1321" s="5" t="s">
        <v>5945</v>
      </c>
      <c r="D1321" s="5" t="s">
        <v>5946</v>
      </c>
      <c r="E1321" s="5" t="s">
        <v>5947</v>
      </c>
      <c r="F1321" s="13">
        <f>"0064300250"</f>
      </c>
      <c r="G1321" s="13">
        <f>"9780064300254"</f>
      </c>
      <c r="H1321" s="11">
        <v>0</v>
      </c>
      <c r="I1321" s="14">
        <v>4.22</v>
      </c>
      <c r="J1321" s="7" t="s">
        <v>163</v>
      </c>
      <c r="K1321" s="5" t="s">
        <v>60</v>
      </c>
      <c r="L1321" s="11">
        <v>263</v>
      </c>
      <c r="M1321" s="11">
        <v>1972</v>
      </c>
      <c r="N1321" s="11">
        <v>1967</v>
      </c>
      <c r="O1321" s="15"/>
      <c r="P1321" s="8">
        <v>44804</v>
      </c>
      <c r="Q1321" s="8"/>
      <c r="R1321" s="8"/>
      <c r="S1321" s="8"/>
      <c r="T1321" s="8"/>
      <c r="U1321" s="8"/>
      <c r="V1321" s="8"/>
      <c r="W1321" s="8"/>
      <c r="X1321" s="8"/>
      <c r="Y1321" s="8"/>
      <c r="Z1321" s="8"/>
      <c r="AA1321" s="8"/>
      <c r="AB1321" s="8"/>
      <c r="AC1321" s="8"/>
      <c r="AD1321" s="8"/>
      <c r="AE1321" s="8"/>
      <c r="AF1321" s="8"/>
      <c r="AG1321" s="8"/>
      <c r="AH1321" s="8"/>
      <c r="AI1321" s="8"/>
      <c r="AJ1321" s="8"/>
      <c r="AK1321" s="8"/>
      <c r="AL1321" s="8"/>
      <c r="AM1321" s="8"/>
      <c r="AN1321" s="8"/>
      <c r="AO1321" s="8"/>
      <c r="AP1321" s="8"/>
      <c r="AQ1321" s="8"/>
      <c r="AR1321" s="8"/>
      <c r="AS1321" s="8"/>
      <c r="AT1321" s="8"/>
      <c r="AU1321" s="8"/>
      <c r="AV1321" s="8"/>
      <c r="AW1321" s="8"/>
      <c r="AX1321" s="4" t="s">
        <v>38</v>
      </c>
      <c r="AY1321" s="5" t="s">
        <v>5948</v>
      </c>
      <c r="AZ1321" s="5" t="s">
        <v>38</v>
      </c>
      <c r="BA1321" s="12"/>
      <c r="BB1321" s="12"/>
      <c r="BC1321" s="12"/>
      <c r="BD1321" s="11">
        <v>0</v>
      </c>
      <c r="BE1321" s="11">
        <v>0</v>
      </c>
    </row>
    <row x14ac:dyDescent="0.25" r="1322" customHeight="1" ht="17.25">
      <c r="A1322" s="11">
        <v>496975</v>
      </c>
      <c r="B1322" s="4" t="s">
        <v>5949</v>
      </c>
      <c r="C1322" s="5" t="s">
        <v>3194</v>
      </c>
      <c r="D1322" s="5" t="s">
        <v>3195</v>
      </c>
      <c r="E1322" s="12"/>
      <c r="F1322" s="13">
        <f>"0300110243"</f>
      </c>
      <c r="G1322" s="13">
        <f>"9780300110241"</f>
      </c>
      <c r="H1322" s="11">
        <v>0</v>
      </c>
      <c r="I1322" s="14">
        <v>4.18</v>
      </c>
      <c r="J1322" s="7" t="s">
        <v>576</v>
      </c>
      <c r="K1322" s="5" t="s">
        <v>72</v>
      </c>
      <c r="L1322" s="11">
        <v>391</v>
      </c>
      <c r="M1322" s="11">
        <v>2005</v>
      </c>
      <c r="N1322" s="11">
        <v>2005</v>
      </c>
      <c r="O1322" s="15"/>
      <c r="P1322" s="8">
        <v>44255</v>
      </c>
      <c r="Q1322" s="8"/>
      <c r="R1322" s="8"/>
      <c r="S1322" s="8"/>
      <c r="T1322" s="8"/>
      <c r="U1322" s="8"/>
      <c r="V1322" s="8"/>
      <c r="W1322" s="8"/>
      <c r="X1322" s="8"/>
      <c r="Y1322" s="8"/>
      <c r="Z1322" s="8"/>
      <c r="AA1322" s="8"/>
      <c r="AB1322" s="8"/>
      <c r="AC1322" s="8"/>
      <c r="AD1322" s="8"/>
      <c r="AE1322" s="8"/>
      <c r="AF1322" s="8"/>
      <c r="AG1322" s="8"/>
      <c r="AH1322" s="8"/>
      <c r="AI1322" s="8"/>
      <c r="AJ1322" s="8"/>
      <c r="AK1322" s="8"/>
      <c r="AL1322" s="8"/>
      <c r="AM1322" s="8"/>
      <c r="AN1322" s="8"/>
      <c r="AO1322" s="8"/>
      <c r="AP1322" s="8"/>
      <c r="AQ1322" s="8"/>
      <c r="AR1322" s="8"/>
      <c r="AS1322" s="8"/>
      <c r="AT1322" s="8"/>
      <c r="AU1322" s="8"/>
      <c r="AV1322" s="8"/>
      <c r="AW1322" s="8"/>
      <c r="AX1322" s="4" t="s">
        <v>38</v>
      </c>
      <c r="AY1322" s="5" t="s">
        <v>5950</v>
      </c>
      <c r="AZ1322" s="5" t="s">
        <v>38</v>
      </c>
      <c r="BA1322" s="12"/>
      <c r="BB1322" s="12"/>
      <c r="BC1322" s="12"/>
      <c r="BD1322" s="11">
        <v>0</v>
      </c>
      <c r="BE1322" s="11">
        <v>0</v>
      </c>
    </row>
    <row x14ac:dyDescent="0.25" r="1323" customHeight="1" ht="17.25">
      <c r="A1323" s="11">
        <v>316298</v>
      </c>
      <c r="B1323" s="4" t="s">
        <v>5951</v>
      </c>
      <c r="C1323" s="5" t="s">
        <v>5952</v>
      </c>
      <c r="D1323" s="5" t="s">
        <v>5953</v>
      </c>
      <c r="E1323" s="12"/>
      <c r="F1323" s="13">
        <f>"0300030991"</f>
      </c>
      <c r="G1323" s="13">
        <f>"9780300030990"</f>
      </c>
      <c r="H1323" s="11">
        <v>0</v>
      </c>
      <c r="I1323" s="14">
        <v>4.34</v>
      </c>
      <c r="J1323" s="7" t="s">
        <v>576</v>
      </c>
      <c r="K1323" s="5" t="s">
        <v>60</v>
      </c>
      <c r="L1323" s="11">
        <v>563</v>
      </c>
      <c r="M1323" s="11">
        <v>1983</v>
      </c>
      <c r="N1323" s="11">
        <v>1982</v>
      </c>
      <c r="O1323" s="15"/>
      <c r="P1323" s="8">
        <v>43155</v>
      </c>
      <c r="Q1323" s="8"/>
      <c r="R1323" s="8"/>
      <c r="S1323" s="8"/>
      <c r="T1323" s="8"/>
      <c r="U1323" s="8"/>
      <c r="V1323" s="8"/>
      <c r="W1323" s="8"/>
      <c r="X1323" s="8"/>
      <c r="Y1323" s="8"/>
      <c r="Z1323" s="8"/>
      <c r="AA1323" s="8"/>
      <c r="AB1323" s="8"/>
      <c r="AC1323" s="8"/>
      <c r="AD1323" s="8"/>
      <c r="AE1323" s="8"/>
      <c r="AF1323" s="8"/>
      <c r="AG1323" s="8"/>
      <c r="AH1323" s="8"/>
      <c r="AI1323" s="8"/>
      <c r="AJ1323" s="8"/>
      <c r="AK1323" s="8"/>
      <c r="AL1323" s="8"/>
      <c r="AM1323" s="8"/>
      <c r="AN1323" s="8"/>
      <c r="AO1323" s="8"/>
      <c r="AP1323" s="8"/>
      <c r="AQ1323" s="8"/>
      <c r="AR1323" s="8"/>
      <c r="AS1323" s="8"/>
      <c r="AT1323" s="8"/>
      <c r="AU1323" s="8"/>
      <c r="AV1323" s="8"/>
      <c r="AW1323" s="8"/>
      <c r="AX1323" s="4" t="s">
        <v>38</v>
      </c>
      <c r="AY1323" s="5" t="s">
        <v>5954</v>
      </c>
      <c r="AZ1323" s="5" t="s">
        <v>38</v>
      </c>
      <c r="BA1323" s="12"/>
      <c r="BB1323" s="12"/>
      <c r="BC1323" s="12"/>
      <c r="BD1323" s="11">
        <v>0</v>
      </c>
      <c r="BE1323" s="11">
        <v>0</v>
      </c>
    </row>
    <row x14ac:dyDescent="0.25" r="1324" customHeight="1" ht="17.25">
      <c r="A1324" s="11">
        <v>306944</v>
      </c>
      <c r="B1324" s="4" t="s">
        <v>5955</v>
      </c>
      <c r="C1324" s="5" t="s">
        <v>924</v>
      </c>
      <c r="D1324" s="5" t="s">
        <v>925</v>
      </c>
      <c r="E1324" s="12"/>
      <c r="F1324" s="13">
        <f>"0415902592"</f>
      </c>
      <c r="G1324" s="13">
        <f>"9780415902595"</f>
      </c>
      <c r="H1324" s="11">
        <v>0</v>
      </c>
      <c r="I1324" s="11">
        <v>4</v>
      </c>
      <c r="J1324" s="7" t="s">
        <v>163</v>
      </c>
      <c r="K1324" s="5" t="s">
        <v>60</v>
      </c>
      <c r="L1324" s="11">
        <v>306</v>
      </c>
      <c r="M1324" s="11">
        <v>1994</v>
      </c>
      <c r="N1324" s="11">
        <v>1994</v>
      </c>
      <c r="O1324" s="15"/>
      <c r="P1324" s="8">
        <v>43949</v>
      </c>
      <c r="Q1324" s="8"/>
      <c r="R1324" s="8"/>
      <c r="S1324" s="8"/>
      <c r="T1324" s="8"/>
      <c r="U1324" s="8"/>
      <c r="V1324" s="8"/>
      <c r="W1324" s="8"/>
      <c r="X1324" s="8"/>
      <c r="Y1324" s="8"/>
      <c r="Z1324" s="8"/>
      <c r="AA1324" s="8"/>
      <c r="AB1324" s="8"/>
      <c r="AC1324" s="8"/>
      <c r="AD1324" s="8"/>
      <c r="AE1324" s="8"/>
      <c r="AF1324" s="8"/>
      <c r="AG1324" s="8"/>
      <c r="AH1324" s="8"/>
      <c r="AI1324" s="8"/>
      <c r="AJ1324" s="8"/>
      <c r="AK1324" s="8"/>
      <c r="AL1324" s="8"/>
      <c r="AM1324" s="8"/>
      <c r="AN1324" s="8"/>
      <c r="AO1324" s="8"/>
      <c r="AP1324" s="8"/>
      <c r="AQ1324" s="8"/>
      <c r="AR1324" s="8"/>
      <c r="AS1324" s="8"/>
      <c r="AT1324" s="8"/>
      <c r="AU1324" s="8"/>
      <c r="AV1324" s="8"/>
      <c r="AW1324" s="8"/>
      <c r="AX1324" s="4" t="s">
        <v>38</v>
      </c>
      <c r="AY1324" s="5" t="s">
        <v>5956</v>
      </c>
      <c r="AZ1324" s="5" t="s">
        <v>38</v>
      </c>
      <c r="BA1324" s="12"/>
      <c r="BB1324" s="12"/>
      <c r="BC1324" s="12"/>
      <c r="BD1324" s="11">
        <v>0</v>
      </c>
      <c r="BE1324" s="11">
        <v>0</v>
      </c>
    </row>
    <row x14ac:dyDescent="0.25" r="1325" customHeight="1" ht="17.25">
      <c r="A1325" s="11">
        <v>201385</v>
      </c>
      <c r="B1325" s="4" t="s">
        <v>5957</v>
      </c>
      <c r="C1325" s="5" t="s">
        <v>5958</v>
      </c>
      <c r="D1325" s="5" t="s">
        <v>5959</v>
      </c>
      <c r="E1325" s="5" t="s">
        <v>5960</v>
      </c>
      <c r="F1325" s="13">
        <f>"0415253802"</f>
      </c>
      <c r="G1325" s="13">
        <f>"9780415253802"</f>
      </c>
      <c r="H1325" s="11">
        <v>0</v>
      </c>
      <c r="I1325" s="14">
        <v>4.04</v>
      </c>
      <c r="J1325" s="7" t="s">
        <v>163</v>
      </c>
      <c r="K1325" s="5" t="s">
        <v>60</v>
      </c>
      <c r="L1325" s="11">
        <v>224</v>
      </c>
      <c r="M1325" s="11">
        <v>2001</v>
      </c>
      <c r="N1325" s="11">
        <v>1944</v>
      </c>
      <c r="O1325" s="15"/>
      <c r="P1325" s="8">
        <v>43107</v>
      </c>
      <c r="Q1325" s="8"/>
      <c r="R1325" s="8"/>
      <c r="S1325" s="8"/>
      <c r="T1325" s="8"/>
      <c r="U1325" s="8"/>
      <c r="V1325" s="8"/>
      <c r="W1325" s="8"/>
      <c r="X1325" s="8"/>
      <c r="Y1325" s="8"/>
      <c r="Z1325" s="8"/>
      <c r="AA1325" s="8"/>
      <c r="AB1325" s="8"/>
      <c r="AC1325" s="8"/>
      <c r="AD1325" s="8"/>
      <c r="AE1325" s="8"/>
      <c r="AF1325" s="8"/>
      <c r="AG1325" s="8"/>
      <c r="AH1325" s="8"/>
      <c r="AI1325" s="8"/>
      <c r="AJ1325" s="8"/>
      <c r="AK1325" s="8"/>
      <c r="AL1325" s="8"/>
      <c r="AM1325" s="8"/>
      <c r="AN1325" s="8"/>
      <c r="AO1325" s="8"/>
      <c r="AP1325" s="8"/>
      <c r="AQ1325" s="8"/>
      <c r="AR1325" s="8"/>
      <c r="AS1325" s="8"/>
      <c r="AT1325" s="8"/>
      <c r="AU1325" s="8"/>
      <c r="AV1325" s="8"/>
      <c r="AW1325" s="8"/>
      <c r="AX1325" s="4" t="s">
        <v>38</v>
      </c>
      <c r="AY1325" s="5" t="s">
        <v>5961</v>
      </c>
      <c r="AZ1325" s="5" t="s">
        <v>38</v>
      </c>
      <c r="BA1325" s="12"/>
      <c r="BB1325" s="12"/>
      <c r="BC1325" s="12"/>
      <c r="BD1325" s="11">
        <v>0</v>
      </c>
      <c r="BE1325" s="11">
        <v>0</v>
      </c>
    </row>
    <row x14ac:dyDescent="0.25" r="1326" customHeight="1" ht="17.25">
      <c r="A1326" s="11">
        <v>111113</v>
      </c>
      <c r="B1326" s="4" t="s">
        <v>5962</v>
      </c>
      <c r="C1326" s="5" t="s">
        <v>5963</v>
      </c>
      <c r="D1326" s="5" t="s">
        <v>5964</v>
      </c>
      <c r="E1326" s="5" t="s">
        <v>5965</v>
      </c>
      <c r="F1326" s="13">
        <f>"0300115954"</f>
      </c>
      <c r="G1326" s="13">
        <f>"9780300115956"</f>
      </c>
      <c r="H1326" s="11">
        <v>0</v>
      </c>
      <c r="I1326" s="14">
        <v>4.06</v>
      </c>
      <c r="J1326" s="7" t="s">
        <v>576</v>
      </c>
      <c r="K1326" s="5" t="s">
        <v>60</v>
      </c>
      <c r="L1326" s="11">
        <v>160</v>
      </c>
      <c r="M1326" s="11">
        <v>2006</v>
      </c>
      <c r="N1326" s="11">
        <v>1971</v>
      </c>
      <c r="O1326" s="15"/>
      <c r="P1326" s="8">
        <v>43964</v>
      </c>
      <c r="Q1326" s="8"/>
      <c r="R1326" s="8"/>
      <c r="S1326" s="8"/>
      <c r="T1326" s="8"/>
      <c r="U1326" s="8"/>
      <c r="V1326" s="8"/>
      <c r="W1326" s="8"/>
      <c r="X1326" s="8"/>
      <c r="Y1326" s="8"/>
      <c r="Z1326" s="8"/>
      <c r="AA1326" s="8"/>
      <c r="AB1326" s="8"/>
      <c r="AC1326" s="8"/>
      <c r="AD1326" s="8"/>
      <c r="AE1326" s="8"/>
      <c r="AF1326" s="8"/>
      <c r="AG1326" s="8"/>
      <c r="AH1326" s="8"/>
      <c r="AI1326" s="8"/>
      <c r="AJ1326" s="8"/>
      <c r="AK1326" s="8"/>
      <c r="AL1326" s="8"/>
      <c r="AM1326" s="8"/>
      <c r="AN1326" s="8"/>
      <c r="AO1326" s="8"/>
      <c r="AP1326" s="8"/>
      <c r="AQ1326" s="8"/>
      <c r="AR1326" s="8"/>
      <c r="AS1326" s="8"/>
      <c r="AT1326" s="8"/>
      <c r="AU1326" s="8"/>
      <c r="AV1326" s="8"/>
      <c r="AW1326" s="8"/>
      <c r="AX1326" s="4" t="s">
        <v>38</v>
      </c>
      <c r="AY1326" s="5" t="s">
        <v>5966</v>
      </c>
      <c r="AZ1326" s="5" t="s">
        <v>38</v>
      </c>
      <c r="BA1326" s="12"/>
      <c r="BB1326" s="12"/>
      <c r="BC1326" s="12"/>
      <c r="BD1326" s="11">
        <v>0</v>
      </c>
      <c r="BE1326" s="11">
        <v>0</v>
      </c>
    </row>
    <row x14ac:dyDescent="0.25" r="1327" customHeight="1" ht="17.25">
      <c r="A1327" s="11">
        <v>90697</v>
      </c>
      <c r="B1327" s="4" t="s">
        <v>5967</v>
      </c>
      <c r="C1327" s="5" t="s">
        <v>5968</v>
      </c>
      <c r="D1327" s="5" t="s">
        <v>5969</v>
      </c>
      <c r="E1327" s="5" t="s">
        <v>5970</v>
      </c>
      <c r="F1327" s="13">
        <f>"0300088655"</f>
      </c>
      <c r="G1327" s="13">
        <f>"9780300088656"</f>
      </c>
      <c r="H1327" s="11">
        <v>0</v>
      </c>
      <c r="I1327" s="14">
        <v>3.81</v>
      </c>
      <c r="J1327" s="7" t="s">
        <v>576</v>
      </c>
      <c r="K1327" s="5" t="s">
        <v>60</v>
      </c>
      <c r="L1327" s="11">
        <v>307</v>
      </c>
      <c r="M1327" s="11">
        <v>2001</v>
      </c>
      <c r="N1327" s="11">
        <v>1950</v>
      </c>
      <c r="O1327" s="15"/>
      <c r="P1327" s="8">
        <v>44171</v>
      </c>
      <c r="Q1327" s="8"/>
      <c r="R1327" s="8"/>
      <c r="S1327" s="8"/>
      <c r="T1327" s="8"/>
      <c r="U1327" s="8"/>
      <c r="V1327" s="8"/>
      <c r="W1327" s="8"/>
      <c r="X1327" s="8"/>
      <c r="Y1327" s="8"/>
      <c r="Z1327" s="8"/>
      <c r="AA1327" s="8"/>
      <c r="AB1327" s="8"/>
      <c r="AC1327" s="8"/>
      <c r="AD1327" s="8"/>
      <c r="AE1327" s="8"/>
      <c r="AF1327" s="8"/>
      <c r="AG1327" s="8"/>
      <c r="AH1327" s="8"/>
      <c r="AI1327" s="8"/>
      <c r="AJ1327" s="8"/>
      <c r="AK1327" s="8"/>
      <c r="AL1327" s="8"/>
      <c r="AM1327" s="8"/>
      <c r="AN1327" s="8"/>
      <c r="AO1327" s="8"/>
      <c r="AP1327" s="8"/>
      <c r="AQ1327" s="8"/>
      <c r="AR1327" s="8"/>
      <c r="AS1327" s="8"/>
      <c r="AT1327" s="8"/>
      <c r="AU1327" s="8"/>
      <c r="AV1327" s="8"/>
      <c r="AW1327" s="8"/>
      <c r="AX1327" s="4" t="s">
        <v>38</v>
      </c>
      <c r="AY1327" s="5" t="s">
        <v>5971</v>
      </c>
      <c r="AZ1327" s="5" t="s">
        <v>38</v>
      </c>
      <c r="BA1327" s="12"/>
      <c r="BB1327" s="12"/>
      <c r="BC1327" s="12"/>
      <c r="BD1327" s="11">
        <v>0</v>
      </c>
      <c r="BE1327" s="11">
        <v>0</v>
      </c>
    </row>
    <row x14ac:dyDescent="0.25" r="1328" customHeight="1" ht="17.25">
      <c r="A1328" s="11">
        <v>55236</v>
      </c>
      <c r="B1328" s="4" t="s">
        <v>5972</v>
      </c>
      <c r="C1328" s="5" t="s">
        <v>5973</v>
      </c>
      <c r="D1328" s="5" t="s">
        <v>5974</v>
      </c>
      <c r="E1328" s="12"/>
      <c r="F1328" s="13">
        <f>"0684718553"</f>
      </c>
      <c r="G1328" s="13">
        <f>"9780684718552"</f>
      </c>
      <c r="H1328" s="11">
        <v>0</v>
      </c>
      <c r="I1328" s="14">
        <v>4.01</v>
      </c>
      <c r="J1328" s="7" t="s">
        <v>132</v>
      </c>
      <c r="K1328" s="5" t="s">
        <v>60</v>
      </c>
      <c r="L1328" s="11">
        <v>174</v>
      </c>
      <c r="M1328" s="11">
        <v>1985</v>
      </c>
      <c r="N1328" s="11">
        <v>1952</v>
      </c>
      <c r="O1328" s="15"/>
      <c r="P1328" s="8">
        <v>44928</v>
      </c>
      <c r="Q1328" s="8"/>
      <c r="R1328" s="8"/>
      <c r="S1328" s="8"/>
      <c r="T1328" s="8"/>
      <c r="U1328" s="8"/>
      <c r="V1328" s="8"/>
      <c r="W1328" s="8"/>
      <c r="X1328" s="8"/>
      <c r="Y1328" s="8"/>
      <c r="Z1328" s="8"/>
      <c r="AA1328" s="8"/>
      <c r="AB1328" s="8"/>
      <c r="AC1328" s="8"/>
      <c r="AD1328" s="8"/>
      <c r="AE1328" s="8"/>
      <c r="AF1328" s="8"/>
      <c r="AG1328" s="8"/>
      <c r="AH1328" s="8"/>
      <c r="AI1328" s="8"/>
      <c r="AJ1328" s="8"/>
      <c r="AK1328" s="8"/>
      <c r="AL1328" s="8"/>
      <c r="AM1328" s="8"/>
      <c r="AN1328" s="8"/>
      <c r="AO1328" s="8"/>
      <c r="AP1328" s="8"/>
      <c r="AQ1328" s="8"/>
      <c r="AR1328" s="8"/>
      <c r="AS1328" s="8"/>
      <c r="AT1328" s="8"/>
      <c r="AU1328" s="8"/>
      <c r="AV1328" s="8"/>
      <c r="AW1328" s="8"/>
      <c r="AX1328" s="4" t="s">
        <v>38</v>
      </c>
      <c r="AY1328" s="5" t="s">
        <v>5975</v>
      </c>
      <c r="AZ1328" s="5" t="s">
        <v>38</v>
      </c>
      <c r="BA1328" s="12"/>
      <c r="BB1328" s="12"/>
      <c r="BC1328" s="12"/>
      <c r="BD1328" s="11">
        <v>0</v>
      </c>
      <c r="BE1328" s="11">
        <v>0</v>
      </c>
    </row>
    <row x14ac:dyDescent="0.25" r="1329" customHeight="1" ht="17.25">
      <c r="A1329" s="11">
        <v>20943</v>
      </c>
      <c r="B1329" s="4" t="s">
        <v>5976</v>
      </c>
      <c r="C1329" s="5" t="s">
        <v>328</v>
      </c>
      <c r="D1329" s="5" t="s">
        <v>329</v>
      </c>
      <c r="E1329" s="12"/>
      <c r="F1329" s="13">
        <f>"0684859076"</f>
      </c>
      <c r="G1329" s="13">
        <f>"9780684859071"</f>
      </c>
      <c r="H1329" s="11">
        <v>0</v>
      </c>
      <c r="I1329" s="14">
        <v>3.6</v>
      </c>
      <c r="J1329" s="7" t="s">
        <v>132</v>
      </c>
      <c r="K1329" s="5" t="s">
        <v>60</v>
      </c>
      <c r="L1329" s="11">
        <v>288</v>
      </c>
      <c r="M1329" s="11">
        <v>2001</v>
      </c>
      <c r="N1329" s="11">
        <v>2000</v>
      </c>
      <c r="O1329" s="15"/>
      <c r="P1329" s="8">
        <v>45111</v>
      </c>
      <c r="Q1329" s="8"/>
      <c r="R1329" s="8"/>
      <c r="S1329" s="8"/>
      <c r="T1329" s="8"/>
      <c r="U1329" s="8"/>
      <c r="V1329" s="8"/>
      <c r="W1329" s="8"/>
      <c r="X1329" s="8"/>
      <c r="Y1329" s="8"/>
      <c r="Z1329" s="8"/>
      <c r="AA1329" s="8"/>
      <c r="AB1329" s="8"/>
      <c r="AC1329" s="8"/>
      <c r="AD1329" s="8"/>
      <c r="AE1329" s="8"/>
      <c r="AF1329" s="8"/>
      <c r="AG1329" s="8"/>
      <c r="AH1329" s="8"/>
      <c r="AI1329" s="8"/>
      <c r="AJ1329" s="8"/>
      <c r="AK1329" s="8"/>
      <c r="AL1329" s="8"/>
      <c r="AM1329" s="8"/>
      <c r="AN1329" s="8"/>
      <c r="AO1329" s="8"/>
      <c r="AP1329" s="8"/>
      <c r="AQ1329" s="8"/>
      <c r="AR1329" s="8"/>
      <c r="AS1329" s="8"/>
      <c r="AT1329" s="8"/>
      <c r="AU1329" s="8"/>
      <c r="AV1329" s="8"/>
      <c r="AW1329" s="8"/>
      <c r="AX1329" s="4" t="s">
        <v>38</v>
      </c>
      <c r="AY1329" s="5" t="s">
        <v>5977</v>
      </c>
      <c r="AZ1329" s="5" t="s">
        <v>38</v>
      </c>
      <c r="BA1329" s="12"/>
      <c r="BB1329" s="12"/>
      <c r="BC1329" s="12"/>
      <c r="BD1329" s="11">
        <v>0</v>
      </c>
      <c r="BE1329" s="11">
        <v>0</v>
      </c>
    </row>
    <row x14ac:dyDescent="0.25" r="1330" customHeight="1" ht="17.25">
      <c r="A1330" s="11">
        <v>43851</v>
      </c>
      <c r="B1330" s="4" t="s">
        <v>5978</v>
      </c>
      <c r="C1330" s="5" t="s">
        <v>5979</v>
      </c>
      <c r="D1330" s="5" t="s">
        <v>5980</v>
      </c>
      <c r="E1330" s="12"/>
      <c r="F1330" s="13">
        <f>"1585424919"</f>
      </c>
      <c r="G1330" s="13">
        <f>"9781585424917"</f>
      </c>
      <c r="H1330" s="11">
        <v>0</v>
      </c>
      <c r="I1330" s="14">
        <v>4.2</v>
      </c>
      <c r="J1330" s="7" t="s">
        <v>5338</v>
      </c>
      <c r="K1330" s="5" t="s">
        <v>60</v>
      </c>
      <c r="L1330" s="11">
        <v>256</v>
      </c>
      <c r="M1330" s="11">
        <v>2006</v>
      </c>
      <c r="N1330" s="11">
        <v>1947</v>
      </c>
      <c r="O1330" s="15"/>
      <c r="P1330" s="8">
        <v>44790</v>
      </c>
      <c r="Q1330" s="8"/>
      <c r="R1330" s="8"/>
      <c r="S1330" s="8"/>
      <c r="T1330" s="8"/>
      <c r="U1330" s="8"/>
      <c r="V1330" s="8"/>
      <c r="W1330" s="8"/>
      <c r="X1330" s="8"/>
      <c r="Y1330" s="8"/>
      <c r="Z1330" s="8"/>
      <c r="AA1330" s="8"/>
      <c r="AB1330" s="8"/>
      <c r="AC1330" s="8"/>
      <c r="AD1330" s="8"/>
      <c r="AE1330" s="8"/>
      <c r="AF1330" s="8"/>
      <c r="AG1330" s="8"/>
      <c r="AH1330" s="8"/>
      <c r="AI1330" s="8"/>
      <c r="AJ1330" s="8"/>
      <c r="AK1330" s="8"/>
      <c r="AL1330" s="8"/>
      <c r="AM1330" s="8"/>
      <c r="AN1330" s="8"/>
      <c r="AO1330" s="8"/>
      <c r="AP1330" s="8"/>
      <c r="AQ1330" s="8"/>
      <c r="AR1330" s="8"/>
      <c r="AS1330" s="8"/>
      <c r="AT1330" s="8"/>
      <c r="AU1330" s="8"/>
      <c r="AV1330" s="8"/>
      <c r="AW1330" s="8"/>
      <c r="AX1330" s="4" t="s">
        <v>38</v>
      </c>
      <c r="AY1330" s="5" t="s">
        <v>5981</v>
      </c>
      <c r="AZ1330" s="5" t="s">
        <v>38</v>
      </c>
      <c r="BA1330" s="12"/>
      <c r="BB1330" s="12"/>
      <c r="BC1330" s="12"/>
      <c r="BD1330" s="11">
        <v>0</v>
      </c>
      <c r="BE1330" s="11">
        <v>0</v>
      </c>
    </row>
    <row x14ac:dyDescent="0.25" r="1331" customHeight="1" ht="17.25">
      <c r="A1331" s="11">
        <v>12083</v>
      </c>
      <c r="B1331" s="4" t="s">
        <v>5982</v>
      </c>
      <c r="C1331" s="5" t="s">
        <v>3152</v>
      </c>
      <c r="D1331" s="5" t="s">
        <v>3153</v>
      </c>
      <c r="E1331" s="5" t="s">
        <v>328</v>
      </c>
      <c r="F1331" s="13">
        <f>"0300093055"</f>
      </c>
      <c r="G1331" s="13">
        <f>"9780300093056"</f>
      </c>
      <c r="H1331" s="11">
        <v>0</v>
      </c>
      <c r="I1331" s="14">
        <v>4.05</v>
      </c>
      <c r="J1331" s="7" t="s">
        <v>576</v>
      </c>
      <c r="K1331" s="5" t="s">
        <v>60</v>
      </c>
      <c r="L1331" s="11">
        <v>179</v>
      </c>
      <c r="M1331" s="11">
        <v>2002</v>
      </c>
      <c r="N1331" s="11">
        <v>1956</v>
      </c>
      <c r="O1331" s="15"/>
      <c r="P1331" s="8">
        <v>41396</v>
      </c>
      <c r="Q1331" s="8"/>
      <c r="R1331" s="8"/>
      <c r="S1331" s="8"/>
      <c r="T1331" s="8"/>
      <c r="U1331" s="8"/>
      <c r="V1331" s="8"/>
      <c r="W1331" s="8"/>
      <c r="X1331" s="8"/>
      <c r="Y1331" s="8"/>
      <c r="Z1331" s="8"/>
      <c r="AA1331" s="8"/>
      <c r="AB1331" s="8"/>
      <c r="AC1331" s="8"/>
      <c r="AD1331" s="8"/>
      <c r="AE1331" s="8"/>
      <c r="AF1331" s="8"/>
      <c r="AG1331" s="8"/>
      <c r="AH1331" s="8"/>
      <c r="AI1331" s="8"/>
      <c r="AJ1331" s="8"/>
      <c r="AK1331" s="8"/>
      <c r="AL1331" s="8"/>
      <c r="AM1331" s="8"/>
      <c r="AN1331" s="8"/>
      <c r="AO1331" s="8"/>
      <c r="AP1331" s="8"/>
      <c r="AQ1331" s="8"/>
      <c r="AR1331" s="8"/>
      <c r="AS1331" s="8"/>
      <c r="AT1331" s="8"/>
      <c r="AU1331" s="8"/>
      <c r="AV1331" s="8"/>
      <c r="AW1331" s="8"/>
      <c r="AX1331" s="4" t="s">
        <v>38</v>
      </c>
      <c r="AY1331" s="5" t="s">
        <v>5983</v>
      </c>
      <c r="AZ1331" s="5" t="s">
        <v>38</v>
      </c>
      <c r="BA1331" s="12"/>
      <c r="BB1331" s="12"/>
      <c r="BC1331" s="12"/>
      <c r="BD1331" s="11">
        <v>0</v>
      </c>
      <c r="BE1331" s="11">
        <v>0</v>
      </c>
    </row>
    <row x14ac:dyDescent="0.25" r="1332" customHeight="1" ht="17.25">
      <c r="A1332" s="11">
        <v>18279</v>
      </c>
      <c r="B1332" s="4" t="s">
        <v>5984</v>
      </c>
      <c r="C1332" s="5" t="s">
        <v>5985</v>
      </c>
      <c r="D1332" s="5" t="s">
        <v>5986</v>
      </c>
      <c r="E1332" s="5" t="s">
        <v>5987</v>
      </c>
      <c r="F1332" s="13">
        <f>"0415278414"</f>
      </c>
      <c r="G1332" s="13">
        <f>"9780415278416"</f>
      </c>
      <c r="H1332" s="11">
        <v>0</v>
      </c>
      <c r="I1332" s="14">
        <v>4.17</v>
      </c>
      <c r="J1332" s="7" t="s">
        <v>163</v>
      </c>
      <c r="K1332" s="5" t="s">
        <v>60</v>
      </c>
      <c r="L1332" s="11">
        <v>544</v>
      </c>
      <c r="M1332" s="11">
        <v>2005</v>
      </c>
      <c r="N1332" s="11">
        <v>1945</v>
      </c>
      <c r="O1332" s="15"/>
      <c r="P1332" s="8">
        <v>42806</v>
      </c>
      <c r="Q1332" s="8"/>
      <c r="R1332" s="8"/>
      <c r="S1332" s="8"/>
      <c r="T1332" s="8"/>
      <c r="U1332" s="8"/>
      <c r="V1332" s="8"/>
      <c r="W1332" s="8"/>
      <c r="X1332" s="8"/>
      <c r="Y1332" s="8"/>
      <c r="Z1332" s="8"/>
      <c r="AA1332" s="8"/>
      <c r="AB1332" s="8"/>
      <c r="AC1332" s="8"/>
      <c r="AD1332" s="8"/>
      <c r="AE1332" s="8"/>
      <c r="AF1332" s="8"/>
      <c r="AG1332" s="8"/>
      <c r="AH1332" s="8"/>
      <c r="AI1332" s="8"/>
      <c r="AJ1332" s="8"/>
      <c r="AK1332" s="8"/>
      <c r="AL1332" s="8"/>
      <c r="AM1332" s="8"/>
      <c r="AN1332" s="8"/>
      <c r="AO1332" s="8"/>
      <c r="AP1332" s="8"/>
      <c r="AQ1332" s="8"/>
      <c r="AR1332" s="8"/>
      <c r="AS1332" s="8"/>
      <c r="AT1332" s="8"/>
      <c r="AU1332" s="8"/>
      <c r="AV1332" s="8"/>
      <c r="AW1332" s="8"/>
      <c r="AX1332" s="4" t="s">
        <v>38</v>
      </c>
      <c r="AY1332" s="5" t="s">
        <v>5988</v>
      </c>
      <c r="AZ1332" s="5" t="s">
        <v>38</v>
      </c>
      <c r="BA1332" s="12"/>
      <c r="BB1332" s="12"/>
      <c r="BC1332" s="12"/>
      <c r="BD1332" s="11">
        <v>0</v>
      </c>
      <c r="BE1332" s="11">
        <v>0</v>
      </c>
    </row>
    <row x14ac:dyDescent="0.25" r="1333" customHeight="1" ht="17.25">
      <c r="A1333" s="11">
        <v>53673</v>
      </c>
      <c r="B1333" s="4" t="s">
        <v>5989</v>
      </c>
      <c r="C1333" s="5" t="s">
        <v>5990</v>
      </c>
      <c r="D1333" s="5" t="s">
        <v>5991</v>
      </c>
      <c r="E1333" s="12"/>
      <c r="F1333" s="13">
        <f>""</f>
      </c>
      <c r="G1333" s="13">
        <f>""</f>
      </c>
      <c r="H1333" s="11">
        <v>0</v>
      </c>
      <c r="I1333" s="14">
        <v>3.87</v>
      </c>
      <c r="J1333" s="7" t="s">
        <v>2160</v>
      </c>
      <c r="K1333" s="5" t="s">
        <v>60</v>
      </c>
      <c r="L1333" s="11">
        <v>400</v>
      </c>
      <c r="M1333" s="11">
        <v>2005</v>
      </c>
      <c r="N1333" s="11">
        <v>1952</v>
      </c>
      <c r="O1333" s="15"/>
      <c r="P1333" s="8">
        <v>42512</v>
      </c>
      <c r="Q1333" s="8"/>
      <c r="R1333" s="8"/>
      <c r="S1333" s="8"/>
      <c r="T1333" s="8"/>
      <c r="U1333" s="8"/>
      <c r="V1333" s="8"/>
      <c r="W1333" s="8"/>
      <c r="X1333" s="8"/>
      <c r="Y1333" s="8"/>
      <c r="Z1333" s="8"/>
      <c r="AA1333" s="8"/>
      <c r="AB1333" s="8"/>
      <c r="AC1333" s="8"/>
      <c r="AD1333" s="8"/>
      <c r="AE1333" s="8"/>
      <c r="AF1333" s="8"/>
      <c r="AG1333" s="8"/>
      <c r="AH1333" s="8"/>
      <c r="AI1333" s="8"/>
      <c r="AJ1333" s="8"/>
      <c r="AK1333" s="8"/>
      <c r="AL1333" s="8"/>
      <c r="AM1333" s="8"/>
      <c r="AN1333" s="8"/>
      <c r="AO1333" s="8"/>
      <c r="AP1333" s="8"/>
      <c r="AQ1333" s="8"/>
      <c r="AR1333" s="8"/>
      <c r="AS1333" s="8"/>
      <c r="AT1333" s="8"/>
      <c r="AU1333" s="8"/>
      <c r="AV1333" s="8"/>
      <c r="AW1333" s="8"/>
      <c r="AX1333" s="4" t="s">
        <v>38</v>
      </c>
      <c r="AY1333" s="5" t="s">
        <v>5992</v>
      </c>
      <c r="AZ1333" s="5" t="s">
        <v>38</v>
      </c>
      <c r="BA1333" s="12"/>
      <c r="BB1333" s="12"/>
      <c r="BC1333" s="12"/>
      <c r="BD1333" s="11">
        <v>0</v>
      </c>
      <c r="BE1333" s="11">
        <v>0</v>
      </c>
    </row>
    <row x14ac:dyDescent="0.25" r="1334" customHeight="1" ht="17.25">
      <c r="A1334" s="11">
        <v>349619</v>
      </c>
      <c r="B1334" s="4" t="s">
        <v>5993</v>
      </c>
      <c r="C1334" s="5" t="s">
        <v>5994</v>
      </c>
      <c r="D1334" s="5" t="s">
        <v>5995</v>
      </c>
      <c r="E1334" s="12"/>
      <c r="F1334" s="13">
        <f>"185343048X"</f>
      </c>
      <c r="G1334" s="13">
        <f>"9781853430480"</f>
      </c>
      <c r="H1334" s="11">
        <v>0</v>
      </c>
      <c r="I1334" s="14">
        <v>4.05</v>
      </c>
      <c r="J1334" s="7" t="s">
        <v>5996</v>
      </c>
      <c r="K1334" s="5" t="s">
        <v>60</v>
      </c>
      <c r="L1334" s="11">
        <v>320</v>
      </c>
      <c r="M1334" s="11">
        <v>1989</v>
      </c>
      <c r="N1334" s="11">
        <v>1968</v>
      </c>
      <c r="O1334" s="15"/>
      <c r="P1334" s="8">
        <v>43950</v>
      </c>
      <c r="Q1334" s="8"/>
      <c r="R1334" s="8"/>
      <c r="S1334" s="8"/>
      <c r="T1334" s="8"/>
      <c r="U1334" s="8"/>
      <c r="V1334" s="8"/>
      <c r="W1334" s="8"/>
      <c r="X1334" s="8"/>
      <c r="Y1334" s="8"/>
      <c r="Z1334" s="8"/>
      <c r="AA1334" s="8"/>
      <c r="AB1334" s="8"/>
      <c r="AC1334" s="8"/>
      <c r="AD1334" s="8"/>
      <c r="AE1334" s="8"/>
      <c r="AF1334" s="8"/>
      <c r="AG1334" s="8"/>
      <c r="AH1334" s="8"/>
      <c r="AI1334" s="8"/>
      <c r="AJ1334" s="8"/>
      <c r="AK1334" s="8"/>
      <c r="AL1334" s="8"/>
      <c r="AM1334" s="8"/>
      <c r="AN1334" s="8"/>
      <c r="AO1334" s="8"/>
      <c r="AP1334" s="8"/>
      <c r="AQ1334" s="8"/>
      <c r="AR1334" s="8"/>
      <c r="AS1334" s="8"/>
      <c r="AT1334" s="8"/>
      <c r="AU1334" s="8"/>
      <c r="AV1334" s="8"/>
      <c r="AW1334" s="8"/>
      <c r="AX1334" s="4" t="s">
        <v>38</v>
      </c>
      <c r="AY1334" s="5" t="s">
        <v>5997</v>
      </c>
      <c r="AZ1334" s="5" t="s">
        <v>38</v>
      </c>
      <c r="BA1334" s="12"/>
      <c r="BB1334" s="12"/>
      <c r="BC1334" s="12"/>
      <c r="BD1334" s="11">
        <v>0</v>
      </c>
      <c r="BE1334" s="11">
        <v>0</v>
      </c>
    </row>
    <row x14ac:dyDescent="0.25" r="1335" customHeight="1" ht="17.25">
      <c r="A1335" s="11">
        <v>1450665</v>
      </c>
      <c r="B1335" s="4" t="s">
        <v>5998</v>
      </c>
      <c r="C1335" s="5" t="s">
        <v>5994</v>
      </c>
      <c r="D1335" s="5" t="s">
        <v>5995</v>
      </c>
      <c r="E1335" s="12"/>
      <c r="F1335" s="13">
        <f>"1844672093"</f>
      </c>
      <c r="G1335" s="13">
        <f>"9781844672097"</f>
      </c>
      <c r="H1335" s="11">
        <v>0</v>
      </c>
      <c r="I1335" s="14">
        <v>3.94</v>
      </c>
      <c r="J1335" s="7" t="s">
        <v>2001</v>
      </c>
      <c r="K1335" s="5" t="s">
        <v>5999</v>
      </c>
      <c r="L1335" s="16"/>
      <c r="M1335" s="11">
        <v>2008</v>
      </c>
      <c r="N1335" s="11">
        <v>2008</v>
      </c>
      <c r="O1335" s="15"/>
      <c r="P1335" s="8">
        <v>43046</v>
      </c>
      <c r="Q1335" s="8"/>
      <c r="R1335" s="8"/>
      <c r="S1335" s="8"/>
      <c r="T1335" s="8"/>
      <c r="U1335" s="8"/>
      <c r="V1335" s="8"/>
      <c r="W1335" s="8"/>
      <c r="X1335" s="8"/>
      <c r="Y1335" s="8"/>
      <c r="Z1335" s="8"/>
      <c r="AA1335" s="8"/>
      <c r="AB1335" s="8"/>
      <c r="AC1335" s="8"/>
      <c r="AD1335" s="8"/>
      <c r="AE1335" s="8"/>
      <c r="AF1335" s="8"/>
      <c r="AG1335" s="8"/>
      <c r="AH1335" s="8"/>
      <c r="AI1335" s="8"/>
      <c r="AJ1335" s="8"/>
      <c r="AK1335" s="8"/>
      <c r="AL1335" s="8"/>
      <c r="AM1335" s="8"/>
      <c r="AN1335" s="8"/>
      <c r="AO1335" s="8"/>
      <c r="AP1335" s="8"/>
      <c r="AQ1335" s="8"/>
      <c r="AR1335" s="8"/>
      <c r="AS1335" s="8"/>
      <c r="AT1335" s="8"/>
      <c r="AU1335" s="8"/>
      <c r="AV1335" s="8"/>
      <c r="AW1335" s="8"/>
      <c r="AX1335" s="4" t="s">
        <v>38</v>
      </c>
      <c r="AY1335" s="5" t="s">
        <v>6000</v>
      </c>
      <c r="AZ1335" s="5" t="s">
        <v>38</v>
      </c>
      <c r="BA1335" s="12"/>
      <c r="BB1335" s="12"/>
      <c r="BC1335" s="12"/>
      <c r="BD1335" s="11">
        <v>0</v>
      </c>
      <c r="BE1335" s="11">
        <v>0</v>
      </c>
    </row>
    <row x14ac:dyDescent="0.25" r="1336" customHeight="1" ht="17.25">
      <c r="A1336" s="11">
        <v>349622</v>
      </c>
      <c r="B1336" s="4" t="s">
        <v>6001</v>
      </c>
      <c r="C1336" s="5" t="s">
        <v>5994</v>
      </c>
      <c r="D1336" s="5" t="s">
        <v>5995</v>
      </c>
      <c r="E1336" s="12"/>
      <c r="F1336" s="13">
        <f>"0807005959"</f>
      </c>
      <c r="G1336" s="13">
        <f>"9780807005958"</f>
      </c>
      <c r="H1336" s="11">
        <v>0</v>
      </c>
      <c r="I1336" s="14">
        <v>3.8</v>
      </c>
      <c r="J1336" s="7" t="s">
        <v>861</v>
      </c>
      <c r="K1336" s="5" t="s">
        <v>5999</v>
      </c>
      <c r="L1336" s="11">
        <v>108</v>
      </c>
      <c r="M1336" s="11">
        <v>1971</v>
      </c>
      <c r="N1336" s="11">
        <v>1969</v>
      </c>
      <c r="O1336" s="15"/>
      <c r="P1336" s="8">
        <v>43950</v>
      </c>
      <c r="Q1336" s="8"/>
      <c r="R1336" s="8"/>
      <c r="S1336" s="8"/>
      <c r="T1336" s="8"/>
      <c r="U1336" s="8"/>
      <c r="V1336" s="8"/>
      <c r="W1336" s="8"/>
      <c r="X1336" s="8"/>
      <c r="Y1336" s="8"/>
      <c r="Z1336" s="8"/>
      <c r="AA1336" s="8"/>
      <c r="AB1336" s="8"/>
      <c r="AC1336" s="8"/>
      <c r="AD1336" s="8"/>
      <c r="AE1336" s="8"/>
      <c r="AF1336" s="8"/>
      <c r="AG1336" s="8"/>
      <c r="AH1336" s="8"/>
      <c r="AI1336" s="8"/>
      <c r="AJ1336" s="8"/>
      <c r="AK1336" s="8"/>
      <c r="AL1336" s="8"/>
      <c r="AM1336" s="8"/>
      <c r="AN1336" s="8"/>
      <c r="AO1336" s="8"/>
      <c r="AP1336" s="8"/>
      <c r="AQ1336" s="8"/>
      <c r="AR1336" s="8"/>
      <c r="AS1336" s="8"/>
      <c r="AT1336" s="8"/>
      <c r="AU1336" s="8"/>
      <c r="AV1336" s="8"/>
      <c r="AW1336" s="8"/>
      <c r="AX1336" s="4" t="s">
        <v>38</v>
      </c>
      <c r="AY1336" s="5" t="s">
        <v>6002</v>
      </c>
      <c r="AZ1336" s="5" t="s">
        <v>38</v>
      </c>
      <c r="BA1336" s="12"/>
      <c r="BB1336" s="12"/>
      <c r="BC1336" s="12"/>
      <c r="BD1336" s="11">
        <v>0</v>
      </c>
      <c r="BE1336" s="11">
        <v>0</v>
      </c>
    </row>
    <row x14ac:dyDescent="0.25" r="1337" customHeight="1" ht="17.25">
      <c r="A1337" s="11">
        <v>15694</v>
      </c>
      <c r="B1337" s="4" t="s">
        <v>6003</v>
      </c>
      <c r="C1337" s="5" t="s">
        <v>281</v>
      </c>
      <c r="D1337" s="5" t="s">
        <v>282</v>
      </c>
      <c r="E1337" s="5" t="s">
        <v>6004</v>
      </c>
      <c r="F1337" s="13">
        <f>"0783816014"</f>
      </c>
      <c r="G1337" s="13">
        <f>"9780783816012"</f>
      </c>
      <c r="H1337" s="11">
        <v>0</v>
      </c>
      <c r="I1337" s="14">
        <v>3.97</v>
      </c>
      <c r="J1337" s="7" t="s">
        <v>6005</v>
      </c>
      <c r="K1337" s="5" t="s">
        <v>72</v>
      </c>
      <c r="L1337" s="11">
        <v>359</v>
      </c>
      <c r="M1337" s="11">
        <v>1996</v>
      </c>
      <c r="N1337" s="11">
        <v>1994</v>
      </c>
      <c r="O1337" s="15"/>
      <c r="P1337" s="8">
        <v>41306</v>
      </c>
      <c r="Q1337" s="8"/>
      <c r="R1337" s="8"/>
      <c r="S1337" s="8"/>
      <c r="T1337" s="8"/>
      <c r="U1337" s="8"/>
      <c r="V1337" s="8"/>
      <c r="W1337" s="8"/>
      <c r="X1337" s="8"/>
      <c r="Y1337" s="8"/>
      <c r="Z1337" s="8"/>
      <c r="AA1337" s="8"/>
      <c r="AB1337" s="8"/>
      <c r="AC1337" s="8"/>
      <c r="AD1337" s="8"/>
      <c r="AE1337" s="8"/>
      <c r="AF1337" s="8"/>
      <c r="AG1337" s="8"/>
      <c r="AH1337" s="8"/>
      <c r="AI1337" s="8"/>
      <c r="AJ1337" s="8"/>
      <c r="AK1337" s="8"/>
      <c r="AL1337" s="8"/>
      <c r="AM1337" s="8"/>
      <c r="AN1337" s="8"/>
      <c r="AO1337" s="8"/>
      <c r="AP1337" s="8"/>
      <c r="AQ1337" s="8"/>
      <c r="AR1337" s="8"/>
      <c r="AS1337" s="8"/>
      <c r="AT1337" s="8"/>
      <c r="AU1337" s="8"/>
      <c r="AV1337" s="8"/>
      <c r="AW1337" s="8"/>
      <c r="AX1337" s="4" t="s">
        <v>38</v>
      </c>
      <c r="AY1337" s="5" t="s">
        <v>6006</v>
      </c>
      <c r="AZ1337" s="5" t="s">
        <v>38</v>
      </c>
      <c r="BA1337" s="12"/>
      <c r="BB1337" s="12"/>
      <c r="BC1337" s="12"/>
      <c r="BD1337" s="11">
        <v>0</v>
      </c>
      <c r="BE1337" s="11">
        <v>0</v>
      </c>
    </row>
    <row x14ac:dyDescent="0.25" r="1338" customHeight="1" ht="17.25">
      <c r="A1338" s="11">
        <v>76826</v>
      </c>
      <c r="B1338" s="4" t="s">
        <v>6007</v>
      </c>
      <c r="C1338" s="5" t="s">
        <v>281</v>
      </c>
      <c r="D1338" s="5" t="s">
        <v>282</v>
      </c>
      <c r="E1338" s="5" t="s">
        <v>283</v>
      </c>
      <c r="F1338" s="13">
        <f>"067973385X"</f>
      </c>
      <c r="G1338" s="13">
        <f>"9780679733850"</f>
      </c>
      <c r="H1338" s="11">
        <v>0</v>
      </c>
      <c r="I1338" s="14">
        <v>3.86</v>
      </c>
      <c r="J1338" s="7" t="s">
        <v>284</v>
      </c>
      <c r="K1338" s="5" t="s">
        <v>60</v>
      </c>
      <c r="L1338" s="11">
        <v>213</v>
      </c>
      <c r="M1338" s="11">
        <v>1991</v>
      </c>
      <c r="N1338" s="11">
        <v>1957</v>
      </c>
      <c r="O1338" s="15"/>
      <c r="P1338" s="8">
        <v>41306</v>
      </c>
      <c r="Q1338" s="8"/>
      <c r="R1338" s="8"/>
      <c r="S1338" s="8"/>
      <c r="T1338" s="8"/>
      <c r="U1338" s="8"/>
      <c r="V1338" s="8"/>
      <c r="W1338" s="8"/>
      <c r="X1338" s="8"/>
      <c r="Y1338" s="8"/>
      <c r="Z1338" s="8"/>
      <c r="AA1338" s="8"/>
      <c r="AB1338" s="8"/>
      <c r="AC1338" s="8"/>
      <c r="AD1338" s="8"/>
      <c r="AE1338" s="8"/>
      <c r="AF1338" s="8"/>
      <c r="AG1338" s="8"/>
      <c r="AH1338" s="8"/>
      <c r="AI1338" s="8"/>
      <c r="AJ1338" s="8"/>
      <c r="AK1338" s="8"/>
      <c r="AL1338" s="8"/>
      <c r="AM1338" s="8"/>
      <c r="AN1338" s="8"/>
      <c r="AO1338" s="8"/>
      <c r="AP1338" s="8"/>
      <c r="AQ1338" s="8"/>
      <c r="AR1338" s="8"/>
      <c r="AS1338" s="8"/>
      <c r="AT1338" s="8"/>
      <c r="AU1338" s="8"/>
      <c r="AV1338" s="8"/>
      <c r="AW1338" s="8"/>
      <c r="AX1338" s="4" t="s">
        <v>38</v>
      </c>
      <c r="AY1338" s="5" t="s">
        <v>6008</v>
      </c>
      <c r="AZ1338" s="5" t="s">
        <v>38</v>
      </c>
      <c r="BA1338" s="12"/>
      <c r="BB1338" s="12"/>
      <c r="BC1338" s="12"/>
      <c r="BD1338" s="11">
        <v>0</v>
      </c>
      <c r="BE1338" s="11">
        <v>0</v>
      </c>
    </row>
    <row x14ac:dyDescent="0.25" r="1339" customHeight="1" ht="17.25">
      <c r="A1339" s="11">
        <v>8687417</v>
      </c>
      <c r="B1339" s="4" t="s">
        <v>6009</v>
      </c>
      <c r="C1339" s="5" t="s">
        <v>705</v>
      </c>
      <c r="D1339" s="5" t="s">
        <v>706</v>
      </c>
      <c r="E1339" s="12"/>
      <c r="F1339" s="13">
        <f>"030747576X"</f>
      </c>
      <c r="G1339" s="13">
        <f>"9780307475763"</f>
      </c>
      <c r="H1339" s="11">
        <v>0</v>
      </c>
      <c r="I1339" s="14">
        <v>3.86</v>
      </c>
      <c r="J1339" s="7" t="s">
        <v>6010</v>
      </c>
      <c r="K1339" s="5" t="s">
        <v>60</v>
      </c>
      <c r="L1339" s="11">
        <v>304</v>
      </c>
      <c r="M1339" s="11">
        <v>2010</v>
      </c>
      <c r="N1339" s="11">
        <v>1975</v>
      </c>
      <c r="O1339" s="15"/>
      <c r="P1339" s="8">
        <v>41533</v>
      </c>
      <c r="Q1339" s="8"/>
      <c r="R1339" s="8"/>
      <c r="S1339" s="8"/>
      <c r="T1339" s="8"/>
      <c r="U1339" s="8"/>
      <c r="V1339" s="8"/>
      <c r="W1339" s="8"/>
      <c r="X1339" s="8"/>
      <c r="Y1339" s="8"/>
      <c r="Z1339" s="8"/>
      <c r="AA1339" s="8"/>
      <c r="AB1339" s="8"/>
      <c r="AC1339" s="8"/>
      <c r="AD1339" s="8"/>
      <c r="AE1339" s="8"/>
      <c r="AF1339" s="8"/>
      <c r="AG1339" s="8"/>
      <c r="AH1339" s="8"/>
      <c r="AI1339" s="8"/>
      <c r="AJ1339" s="8"/>
      <c r="AK1339" s="8"/>
      <c r="AL1339" s="8"/>
      <c r="AM1339" s="8"/>
      <c r="AN1339" s="8"/>
      <c r="AO1339" s="8"/>
      <c r="AP1339" s="8"/>
      <c r="AQ1339" s="8"/>
      <c r="AR1339" s="8"/>
      <c r="AS1339" s="8"/>
      <c r="AT1339" s="8"/>
      <c r="AU1339" s="8"/>
      <c r="AV1339" s="8"/>
      <c r="AW1339" s="8"/>
      <c r="AX1339" s="4" t="s">
        <v>38</v>
      </c>
      <c r="AY1339" s="5" t="s">
        <v>6011</v>
      </c>
      <c r="AZ1339" s="5" t="s">
        <v>38</v>
      </c>
      <c r="BA1339" s="12"/>
      <c r="BB1339" s="12"/>
      <c r="BC1339" s="12"/>
      <c r="BD1339" s="11">
        <v>0</v>
      </c>
      <c r="BE1339" s="11">
        <v>0</v>
      </c>
    </row>
    <row x14ac:dyDescent="0.25" r="1340" customHeight="1" ht="17.25">
      <c r="A1340" s="11">
        <v>40390037</v>
      </c>
      <c r="B1340" s="4" t="s">
        <v>6012</v>
      </c>
      <c r="C1340" s="5" t="s">
        <v>1944</v>
      </c>
      <c r="D1340" s="5" t="s">
        <v>1945</v>
      </c>
      <c r="E1340" s="12"/>
      <c r="F1340" s="13">
        <f>"0553023543"</f>
      </c>
      <c r="G1340" s="13">
        <f>"9780553023541"</f>
      </c>
      <c r="H1340" s="11">
        <v>0</v>
      </c>
      <c r="I1340" s="11">
        <v>4</v>
      </c>
      <c r="J1340" s="7" t="s">
        <v>1950</v>
      </c>
      <c r="K1340" s="5" t="s">
        <v>60</v>
      </c>
      <c r="L1340" s="16"/>
      <c r="M1340" s="16"/>
      <c r="N1340" s="11">
        <v>1939</v>
      </c>
      <c r="O1340" s="15"/>
      <c r="P1340" s="8">
        <v>45113</v>
      </c>
      <c r="Q1340" s="8"/>
      <c r="R1340" s="8"/>
      <c r="S1340" s="8"/>
      <c r="T1340" s="8"/>
      <c r="U1340" s="8"/>
      <c r="V1340" s="8"/>
      <c r="W1340" s="8"/>
      <c r="X1340" s="8"/>
      <c r="Y1340" s="8"/>
      <c r="Z1340" s="8"/>
      <c r="AA1340" s="8"/>
      <c r="AB1340" s="8"/>
      <c r="AC1340" s="8"/>
      <c r="AD1340" s="8"/>
      <c r="AE1340" s="8"/>
      <c r="AF1340" s="8"/>
      <c r="AG1340" s="8"/>
      <c r="AH1340" s="8"/>
      <c r="AI1340" s="8"/>
      <c r="AJ1340" s="8"/>
      <c r="AK1340" s="8"/>
      <c r="AL1340" s="8"/>
      <c r="AM1340" s="8"/>
      <c r="AN1340" s="8"/>
      <c r="AO1340" s="8"/>
      <c r="AP1340" s="8"/>
      <c r="AQ1340" s="8"/>
      <c r="AR1340" s="8"/>
      <c r="AS1340" s="8"/>
      <c r="AT1340" s="8"/>
      <c r="AU1340" s="8"/>
      <c r="AV1340" s="8"/>
      <c r="AW1340" s="8"/>
      <c r="AX1340" s="4" t="s">
        <v>38</v>
      </c>
      <c r="AY1340" s="5" t="s">
        <v>6013</v>
      </c>
      <c r="AZ1340" s="5" t="s">
        <v>38</v>
      </c>
      <c r="BA1340" s="12"/>
      <c r="BB1340" s="12"/>
      <c r="BC1340" s="12"/>
      <c r="BD1340" s="11">
        <v>0</v>
      </c>
      <c r="BE1340" s="11">
        <v>0</v>
      </c>
    </row>
    <row x14ac:dyDescent="0.25" r="1341" customHeight="1" ht="17.25">
      <c r="A1341" s="11">
        <v>23887</v>
      </c>
      <c r="B1341" s="4" t="s">
        <v>6014</v>
      </c>
      <c r="C1341" s="5" t="s">
        <v>705</v>
      </c>
      <c r="D1341" s="5" t="s">
        <v>706</v>
      </c>
      <c r="E1341" s="5" t="s">
        <v>707</v>
      </c>
      <c r="F1341" s="13">
        <f>"0060882867"</f>
      </c>
      <c r="G1341" s="13">
        <f>"9780060882860"</f>
      </c>
      <c r="H1341" s="11">
        <v>0</v>
      </c>
      <c r="I1341" s="14">
        <v>3.86</v>
      </c>
      <c r="J1341" s="7" t="s">
        <v>1061</v>
      </c>
      <c r="K1341" s="5" t="s">
        <v>60</v>
      </c>
      <c r="L1341" s="11">
        <v>255</v>
      </c>
      <c r="M1341" s="11">
        <v>2006</v>
      </c>
      <c r="N1341" s="11">
        <v>1975</v>
      </c>
      <c r="O1341" s="15"/>
      <c r="P1341" s="8">
        <v>45105</v>
      </c>
      <c r="Q1341" s="8"/>
      <c r="R1341" s="8"/>
      <c r="S1341" s="8"/>
      <c r="T1341" s="8"/>
      <c r="U1341" s="8"/>
      <c r="V1341" s="8"/>
      <c r="W1341" s="8"/>
      <c r="X1341" s="8"/>
      <c r="Y1341" s="8"/>
      <c r="Z1341" s="8"/>
      <c r="AA1341" s="8"/>
      <c r="AB1341" s="8"/>
      <c r="AC1341" s="8"/>
      <c r="AD1341" s="8"/>
      <c r="AE1341" s="8"/>
      <c r="AF1341" s="8"/>
      <c r="AG1341" s="8"/>
      <c r="AH1341" s="8"/>
      <c r="AI1341" s="8"/>
      <c r="AJ1341" s="8"/>
      <c r="AK1341" s="8"/>
      <c r="AL1341" s="8"/>
      <c r="AM1341" s="8"/>
      <c r="AN1341" s="8"/>
      <c r="AO1341" s="8"/>
      <c r="AP1341" s="8"/>
      <c r="AQ1341" s="8"/>
      <c r="AR1341" s="8"/>
      <c r="AS1341" s="8"/>
      <c r="AT1341" s="8"/>
      <c r="AU1341" s="8"/>
      <c r="AV1341" s="8"/>
      <c r="AW1341" s="8"/>
      <c r="AX1341" s="4" t="s">
        <v>38</v>
      </c>
      <c r="AY1341" s="5" t="s">
        <v>6015</v>
      </c>
      <c r="AZ1341" s="5" t="s">
        <v>38</v>
      </c>
      <c r="BA1341" s="12"/>
      <c r="BB1341" s="12"/>
      <c r="BC1341" s="12"/>
      <c r="BD1341" s="11">
        <v>0</v>
      </c>
      <c r="BE1341" s="11">
        <v>0</v>
      </c>
    </row>
    <row x14ac:dyDescent="0.25" r="1342" customHeight="1" ht="17.25">
      <c r="A1342" s="11">
        <v>4406</v>
      </c>
      <c r="B1342" s="4" t="s">
        <v>6016</v>
      </c>
      <c r="C1342" s="5" t="s">
        <v>1944</v>
      </c>
      <c r="D1342" s="5" t="s">
        <v>1945</v>
      </c>
      <c r="E1342" s="12"/>
      <c r="F1342" s="13">
        <f>"0142000655"</f>
      </c>
      <c r="G1342" s="13">
        <f>"9780142000656"</f>
      </c>
      <c r="H1342" s="11">
        <v>0</v>
      </c>
      <c r="I1342" s="14">
        <v>4.4</v>
      </c>
      <c r="J1342" s="7" t="s">
        <v>491</v>
      </c>
      <c r="K1342" s="5" t="s">
        <v>60</v>
      </c>
      <c r="L1342" s="11">
        <v>601</v>
      </c>
      <c r="M1342" s="11">
        <v>2002</v>
      </c>
      <c r="N1342" s="11">
        <v>1952</v>
      </c>
      <c r="O1342" s="15"/>
      <c r="P1342" s="8">
        <v>41529</v>
      </c>
      <c r="Q1342" s="8"/>
      <c r="R1342" s="8"/>
      <c r="S1342" s="8"/>
      <c r="T1342" s="8"/>
      <c r="U1342" s="8"/>
      <c r="V1342" s="8"/>
      <c r="W1342" s="8"/>
      <c r="X1342" s="8"/>
      <c r="Y1342" s="8"/>
      <c r="Z1342" s="8"/>
      <c r="AA1342" s="8"/>
      <c r="AB1342" s="8"/>
      <c r="AC1342" s="8"/>
      <c r="AD1342" s="8"/>
      <c r="AE1342" s="8"/>
      <c r="AF1342" s="8"/>
      <c r="AG1342" s="8"/>
      <c r="AH1342" s="8"/>
      <c r="AI1342" s="8"/>
      <c r="AJ1342" s="8"/>
      <c r="AK1342" s="8"/>
      <c r="AL1342" s="8"/>
      <c r="AM1342" s="8"/>
      <c r="AN1342" s="8"/>
      <c r="AO1342" s="8"/>
      <c r="AP1342" s="8"/>
      <c r="AQ1342" s="8"/>
      <c r="AR1342" s="8"/>
      <c r="AS1342" s="8"/>
      <c r="AT1342" s="8"/>
      <c r="AU1342" s="8"/>
      <c r="AV1342" s="8"/>
      <c r="AW1342" s="8"/>
      <c r="AX1342" s="4" t="s">
        <v>38</v>
      </c>
      <c r="AY1342" s="5" t="s">
        <v>6017</v>
      </c>
      <c r="AZ1342" s="5" t="s">
        <v>38</v>
      </c>
      <c r="BA1342" s="12"/>
      <c r="BB1342" s="12"/>
      <c r="BC1342" s="12"/>
      <c r="BD1342" s="11">
        <v>0</v>
      </c>
      <c r="BE1342" s="11">
        <v>0</v>
      </c>
    </row>
    <row x14ac:dyDescent="0.25" r="1343" customHeight="1" ht="17.25">
      <c r="A1343" s="11">
        <v>5485</v>
      </c>
      <c r="B1343" s="4" t="s">
        <v>6018</v>
      </c>
      <c r="C1343" s="5" t="s">
        <v>5990</v>
      </c>
      <c r="D1343" s="5" t="s">
        <v>5991</v>
      </c>
      <c r="E1343" s="12"/>
      <c r="F1343" s="13">
        <f>"0060850523"</f>
      </c>
      <c r="G1343" s="13">
        <f>"9780060850524"</f>
      </c>
      <c r="H1343" s="11">
        <v>3</v>
      </c>
      <c r="I1343" s="14">
        <v>3.99</v>
      </c>
      <c r="J1343" s="7" t="s">
        <v>1061</v>
      </c>
      <c r="K1343" s="5" t="s">
        <v>60</v>
      </c>
      <c r="L1343" s="11">
        <v>288</v>
      </c>
      <c r="M1343" s="11">
        <v>2006</v>
      </c>
      <c r="N1343" s="11">
        <v>1932</v>
      </c>
      <c r="O1343" s="8">
        <v>41350</v>
      </c>
      <c r="P1343" s="8">
        <v>41335</v>
      </c>
      <c r="Q1343" s="8"/>
      <c r="R1343" s="8"/>
      <c r="S1343" s="8"/>
      <c r="T1343" s="8"/>
      <c r="U1343" s="8"/>
      <c r="V1343" s="8"/>
      <c r="W1343" s="8"/>
      <c r="X1343" s="8"/>
      <c r="Y1343" s="8"/>
      <c r="Z1343" s="8"/>
      <c r="AA1343" s="8"/>
      <c r="AB1343" s="8"/>
      <c r="AC1343" s="8"/>
      <c r="AD1343" s="8"/>
      <c r="AE1343" s="8"/>
      <c r="AF1343" s="8"/>
      <c r="AG1343" s="8"/>
      <c r="AH1343" s="8"/>
      <c r="AI1343" s="8"/>
      <c r="AJ1343" s="8"/>
      <c r="AK1343" s="8"/>
      <c r="AL1343" s="8"/>
      <c r="AM1343" s="8"/>
      <c r="AN1343" s="8"/>
      <c r="AO1343" s="8"/>
      <c r="AP1343" s="8"/>
      <c r="AQ1343" s="8"/>
      <c r="AR1343" s="8"/>
      <c r="AS1343" s="8"/>
      <c r="AT1343" s="8"/>
      <c r="AU1343" s="8"/>
      <c r="AV1343" s="8"/>
      <c r="AW1343" s="8"/>
      <c r="AX1343" s="4" t="s">
        <v>38</v>
      </c>
      <c r="AY1343" s="5" t="s">
        <v>6019</v>
      </c>
      <c r="AZ1343" s="5" t="s">
        <v>38</v>
      </c>
      <c r="BA1343" s="12"/>
      <c r="BB1343" s="12"/>
      <c r="BC1343" s="12"/>
      <c r="BD1343" s="11">
        <v>1</v>
      </c>
      <c r="BE1343" s="11">
        <v>0</v>
      </c>
    </row>
    <row x14ac:dyDescent="0.25" r="1344" customHeight="1" ht="17.25">
      <c r="A1344" s="11">
        <v>5128</v>
      </c>
      <c r="B1344" s="4" t="s">
        <v>6020</v>
      </c>
      <c r="C1344" s="5" t="s">
        <v>5990</v>
      </c>
      <c r="D1344" s="5" t="s">
        <v>5991</v>
      </c>
      <c r="E1344" s="12"/>
      <c r="F1344" s="13">
        <f>"0060595183"</f>
      </c>
      <c r="G1344" s="13">
        <f>"9780060595180"</f>
      </c>
      <c r="H1344" s="11">
        <v>0</v>
      </c>
      <c r="I1344" s="14">
        <v>3.93</v>
      </c>
      <c r="J1344" s="7" t="s">
        <v>1061</v>
      </c>
      <c r="K1344" s="5" t="s">
        <v>60</v>
      </c>
      <c r="L1344" s="11">
        <v>187</v>
      </c>
      <c r="M1344" s="11">
        <v>2004</v>
      </c>
      <c r="N1344" s="11">
        <v>1956</v>
      </c>
      <c r="O1344" s="15"/>
      <c r="P1344" s="8">
        <v>41053</v>
      </c>
      <c r="Q1344" s="8"/>
      <c r="R1344" s="8"/>
      <c r="S1344" s="8"/>
      <c r="T1344" s="8"/>
      <c r="U1344" s="8"/>
      <c r="V1344" s="8"/>
      <c r="W1344" s="8"/>
      <c r="X1344" s="8"/>
      <c r="Y1344" s="8"/>
      <c r="Z1344" s="8"/>
      <c r="AA1344" s="8"/>
      <c r="AB1344" s="8"/>
      <c r="AC1344" s="8"/>
      <c r="AD1344" s="8"/>
      <c r="AE1344" s="8"/>
      <c r="AF1344" s="8"/>
      <c r="AG1344" s="8"/>
      <c r="AH1344" s="8"/>
      <c r="AI1344" s="8"/>
      <c r="AJ1344" s="8"/>
      <c r="AK1344" s="8"/>
      <c r="AL1344" s="8"/>
      <c r="AM1344" s="8"/>
      <c r="AN1344" s="8"/>
      <c r="AO1344" s="8"/>
      <c r="AP1344" s="8"/>
      <c r="AQ1344" s="8"/>
      <c r="AR1344" s="8"/>
      <c r="AS1344" s="8"/>
      <c r="AT1344" s="8"/>
      <c r="AU1344" s="8"/>
      <c r="AV1344" s="8"/>
      <c r="AW1344" s="8"/>
      <c r="AX1344" s="4" t="s">
        <v>38</v>
      </c>
      <c r="AY1344" s="5" t="s">
        <v>6021</v>
      </c>
      <c r="AZ1344" s="5" t="s">
        <v>38</v>
      </c>
      <c r="BA1344" s="12"/>
      <c r="BB1344" s="12"/>
      <c r="BC1344" s="12"/>
      <c r="BD1344" s="11">
        <v>0</v>
      </c>
      <c r="BE1344" s="11">
        <v>0</v>
      </c>
    </row>
    <row x14ac:dyDescent="0.25" r="1345" customHeight="1" ht="17.25">
      <c r="A1345" s="11">
        <v>23131105</v>
      </c>
      <c r="B1345" s="4" t="s">
        <v>6022</v>
      </c>
      <c r="C1345" s="5" t="s">
        <v>6023</v>
      </c>
      <c r="D1345" s="5" t="s">
        <v>6024</v>
      </c>
      <c r="E1345" s="12"/>
      <c r="F1345" s="13">
        <f>"0062384392"</f>
      </c>
      <c r="G1345" s="13">
        <f>"9780062384393"</f>
      </c>
      <c r="H1345" s="11">
        <v>0</v>
      </c>
      <c r="I1345" s="14">
        <v>3.73</v>
      </c>
      <c r="J1345" s="7" t="s">
        <v>225</v>
      </c>
      <c r="K1345" s="5" t="s">
        <v>72</v>
      </c>
      <c r="L1345" s="11">
        <v>328</v>
      </c>
      <c r="M1345" s="11">
        <v>2015</v>
      </c>
      <c r="N1345" s="11">
        <v>2014</v>
      </c>
      <c r="O1345" s="15"/>
      <c r="P1345" s="8">
        <v>44214</v>
      </c>
      <c r="Q1345" s="8"/>
      <c r="R1345" s="8"/>
      <c r="S1345" s="8"/>
      <c r="T1345" s="8"/>
      <c r="U1345" s="8"/>
      <c r="V1345" s="8"/>
      <c r="W1345" s="8"/>
      <c r="X1345" s="8"/>
      <c r="Y1345" s="8"/>
      <c r="Z1345" s="8"/>
      <c r="AA1345" s="8"/>
      <c r="AB1345" s="8"/>
      <c r="AC1345" s="8"/>
      <c r="AD1345" s="8"/>
      <c r="AE1345" s="8"/>
      <c r="AF1345" s="8"/>
      <c r="AG1345" s="8"/>
      <c r="AH1345" s="8"/>
      <c r="AI1345" s="8"/>
      <c r="AJ1345" s="8"/>
      <c r="AK1345" s="8"/>
      <c r="AL1345" s="8"/>
      <c r="AM1345" s="8"/>
      <c r="AN1345" s="8"/>
      <c r="AO1345" s="8"/>
      <c r="AP1345" s="8"/>
      <c r="AQ1345" s="8"/>
      <c r="AR1345" s="8"/>
      <c r="AS1345" s="8"/>
      <c r="AT1345" s="8"/>
      <c r="AU1345" s="8"/>
      <c r="AV1345" s="8"/>
      <c r="AW1345" s="8"/>
      <c r="AX1345" s="4" t="s">
        <v>6025</v>
      </c>
      <c r="AY1345" s="5" t="s">
        <v>6026</v>
      </c>
      <c r="AZ1345" s="5" t="s">
        <v>38</v>
      </c>
      <c r="BA1345" s="12"/>
      <c r="BB1345" s="12"/>
      <c r="BC1345" s="12"/>
      <c r="BD1345" s="11">
        <v>0</v>
      </c>
      <c r="BE1345" s="11">
        <v>0</v>
      </c>
    </row>
    <row x14ac:dyDescent="0.25" r="1346" customHeight="1" ht="17.25">
      <c r="A1346" s="11">
        <v>20893314</v>
      </c>
      <c r="B1346" s="4" t="s">
        <v>6027</v>
      </c>
      <c r="C1346" s="5" t="s">
        <v>6028</v>
      </c>
      <c r="D1346" s="5" t="s">
        <v>6029</v>
      </c>
      <c r="E1346" s="12"/>
      <c r="F1346" s="13">
        <f>"159448600X"</f>
      </c>
      <c r="G1346" s="13">
        <f>"9781594486005"</f>
      </c>
      <c r="H1346" s="11">
        <v>0</v>
      </c>
      <c r="I1346" s="14">
        <v>3.89</v>
      </c>
      <c r="J1346" s="7" t="s">
        <v>418</v>
      </c>
      <c r="K1346" s="5" t="s">
        <v>72</v>
      </c>
      <c r="L1346" s="11">
        <v>688</v>
      </c>
      <c r="M1346" s="11">
        <v>2014</v>
      </c>
      <c r="N1346" s="11">
        <v>2014</v>
      </c>
      <c r="O1346" s="15"/>
      <c r="P1346" s="8">
        <v>45111</v>
      </c>
      <c r="Q1346" s="8"/>
      <c r="R1346" s="8"/>
      <c r="S1346" s="8"/>
      <c r="T1346" s="8"/>
      <c r="U1346" s="8"/>
      <c r="V1346" s="8"/>
      <c r="W1346" s="8"/>
      <c r="X1346" s="8"/>
      <c r="Y1346" s="8"/>
      <c r="Z1346" s="8"/>
      <c r="AA1346" s="8"/>
      <c r="AB1346" s="8"/>
      <c r="AC1346" s="8"/>
      <c r="AD1346" s="8"/>
      <c r="AE1346" s="8"/>
      <c r="AF1346" s="8"/>
      <c r="AG1346" s="8"/>
      <c r="AH1346" s="8"/>
      <c r="AI1346" s="8"/>
      <c r="AJ1346" s="8"/>
      <c r="AK1346" s="8"/>
      <c r="AL1346" s="8"/>
      <c r="AM1346" s="8"/>
      <c r="AN1346" s="8"/>
      <c r="AO1346" s="8"/>
      <c r="AP1346" s="8"/>
      <c r="AQ1346" s="8"/>
      <c r="AR1346" s="8"/>
      <c r="AS1346" s="8"/>
      <c r="AT1346" s="8"/>
      <c r="AU1346" s="8"/>
      <c r="AV1346" s="8"/>
      <c r="AW1346" s="8"/>
      <c r="AX1346" s="4" t="s">
        <v>5391</v>
      </c>
      <c r="AY1346" s="5" t="s">
        <v>6030</v>
      </c>
      <c r="AZ1346" s="5" t="s">
        <v>38</v>
      </c>
      <c r="BA1346" s="12"/>
      <c r="BB1346" s="12"/>
      <c r="BC1346" s="12"/>
      <c r="BD1346" s="11">
        <v>0</v>
      </c>
      <c r="BE1346" s="11">
        <v>0</v>
      </c>
    </row>
    <row x14ac:dyDescent="0.25" r="1347" customHeight="1" ht="17.25">
      <c r="A1347" s="11">
        <v>2050203</v>
      </c>
      <c r="B1347" s="4" t="s">
        <v>6031</v>
      </c>
      <c r="C1347" s="5" t="s">
        <v>6032</v>
      </c>
      <c r="D1347" s="5" t="s">
        <v>6033</v>
      </c>
      <c r="E1347" s="12"/>
      <c r="F1347" s="13">
        <f>"0517150646"</f>
      </c>
      <c r="G1347" s="13">
        <f>"9780517150641"</f>
      </c>
      <c r="H1347" s="11">
        <v>0</v>
      </c>
      <c r="I1347" s="14">
        <v>3.69</v>
      </c>
      <c r="J1347" s="7" t="s">
        <v>6034</v>
      </c>
      <c r="K1347" s="5" t="s">
        <v>72</v>
      </c>
      <c r="L1347" s="11">
        <v>496</v>
      </c>
      <c r="M1347" s="11">
        <v>1996</v>
      </c>
      <c r="N1347" s="11">
        <v>1899</v>
      </c>
      <c r="O1347" s="15"/>
      <c r="P1347" s="8">
        <v>44960</v>
      </c>
      <c r="Q1347" s="8"/>
      <c r="R1347" s="8"/>
      <c r="S1347" s="8"/>
      <c r="T1347" s="8"/>
      <c r="U1347" s="8"/>
      <c r="V1347" s="8"/>
      <c r="W1347" s="8"/>
      <c r="X1347" s="8"/>
      <c r="Y1347" s="8"/>
      <c r="Z1347" s="8"/>
      <c r="AA1347" s="8"/>
      <c r="AB1347" s="8"/>
      <c r="AC1347" s="8"/>
      <c r="AD1347" s="8"/>
      <c r="AE1347" s="8"/>
      <c r="AF1347" s="8"/>
      <c r="AG1347" s="8"/>
      <c r="AH1347" s="8"/>
      <c r="AI1347" s="8"/>
      <c r="AJ1347" s="8"/>
      <c r="AK1347" s="8"/>
      <c r="AL1347" s="8"/>
      <c r="AM1347" s="8"/>
      <c r="AN1347" s="8"/>
      <c r="AO1347" s="8"/>
      <c r="AP1347" s="8"/>
      <c r="AQ1347" s="8"/>
      <c r="AR1347" s="8"/>
      <c r="AS1347" s="8"/>
      <c r="AT1347" s="8"/>
      <c r="AU1347" s="8"/>
      <c r="AV1347" s="8"/>
      <c r="AW1347" s="8"/>
      <c r="AX1347" s="4" t="s">
        <v>38</v>
      </c>
      <c r="AY1347" s="5" t="s">
        <v>6035</v>
      </c>
      <c r="AZ1347" s="5" t="s">
        <v>38</v>
      </c>
      <c r="BA1347" s="12"/>
      <c r="BB1347" s="12"/>
      <c r="BC1347" s="12"/>
      <c r="BD1347" s="11">
        <v>0</v>
      </c>
      <c r="BE1347" s="11">
        <v>0</v>
      </c>
    </row>
    <row x14ac:dyDescent="0.25" r="1348" customHeight="1" ht="17.25">
      <c r="A1348" s="11">
        <v>1417354</v>
      </c>
      <c r="B1348" s="4" t="s">
        <v>6036</v>
      </c>
      <c r="C1348" s="5" t="s">
        <v>6037</v>
      </c>
      <c r="D1348" s="5" t="s">
        <v>6038</v>
      </c>
      <c r="E1348" s="12"/>
      <c r="F1348" s="13">
        <f>"9505576706"</f>
      </c>
      <c r="G1348" s="13">
        <f>"9789505576708"</f>
      </c>
      <c r="H1348" s="11">
        <v>0</v>
      </c>
      <c r="I1348" s="14">
        <v>3.14</v>
      </c>
      <c r="J1348" s="7" t="s">
        <v>6039</v>
      </c>
      <c r="K1348" s="5" t="s">
        <v>60</v>
      </c>
      <c r="L1348" s="16"/>
      <c r="M1348" s="11">
        <v>2014</v>
      </c>
      <c r="N1348" s="11">
        <v>1984</v>
      </c>
      <c r="O1348" s="15"/>
      <c r="P1348" s="8">
        <v>44166</v>
      </c>
      <c r="Q1348" s="8"/>
      <c r="R1348" s="8"/>
      <c r="S1348" s="8"/>
      <c r="T1348" s="8"/>
      <c r="U1348" s="8"/>
      <c r="V1348" s="8"/>
      <c r="W1348" s="8"/>
      <c r="X1348" s="8"/>
      <c r="Y1348" s="8"/>
      <c r="Z1348" s="8"/>
      <c r="AA1348" s="8"/>
      <c r="AB1348" s="8"/>
      <c r="AC1348" s="8"/>
      <c r="AD1348" s="8"/>
      <c r="AE1348" s="8"/>
      <c r="AF1348" s="8"/>
      <c r="AG1348" s="8"/>
      <c r="AH1348" s="8"/>
      <c r="AI1348" s="8"/>
      <c r="AJ1348" s="8"/>
      <c r="AK1348" s="8"/>
      <c r="AL1348" s="8"/>
      <c r="AM1348" s="8"/>
      <c r="AN1348" s="8"/>
      <c r="AO1348" s="8"/>
      <c r="AP1348" s="8"/>
      <c r="AQ1348" s="8"/>
      <c r="AR1348" s="8"/>
      <c r="AS1348" s="8"/>
      <c r="AT1348" s="8"/>
      <c r="AU1348" s="8"/>
      <c r="AV1348" s="8"/>
      <c r="AW1348" s="8"/>
      <c r="AX1348" s="4" t="s">
        <v>2478</v>
      </c>
      <c r="AY1348" s="5" t="s">
        <v>6040</v>
      </c>
      <c r="AZ1348" s="5" t="s">
        <v>38</v>
      </c>
      <c r="BA1348" s="12"/>
      <c r="BB1348" s="12"/>
      <c r="BC1348" s="12"/>
      <c r="BD1348" s="11">
        <v>0</v>
      </c>
      <c r="BE1348" s="11">
        <v>0</v>
      </c>
    </row>
    <row x14ac:dyDescent="0.25" r="1349" customHeight="1" ht="17.25">
      <c r="A1349" s="11">
        <v>692827</v>
      </c>
      <c r="B1349" s="4" t="s">
        <v>6041</v>
      </c>
      <c r="C1349" s="5" t="s">
        <v>6042</v>
      </c>
      <c r="D1349" s="5" t="s">
        <v>6043</v>
      </c>
      <c r="E1349" s="5" t="s">
        <v>6044</v>
      </c>
      <c r="F1349" s="13">
        <f>"082232914X"</f>
      </c>
      <c r="G1349" s="13">
        <f>"9780822329145"</f>
      </c>
      <c r="H1349" s="11">
        <v>0</v>
      </c>
      <c r="I1349" s="14">
        <v>3.91</v>
      </c>
      <c r="J1349" s="7" t="s">
        <v>926</v>
      </c>
      <c r="K1349" s="5" t="s">
        <v>60</v>
      </c>
      <c r="L1349" s="11">
        <v>600</v>
      </c>
      <c r="M1349" s="11">
        <v>2002</v>
      </c>
      <c r="N1349" s="11">
        <v>2002</v>
      </c>
      <c r="O1349" s="15"/>
      <c r="P1349" s="9">
        <v>43022</v>
      </c>
      <c r="Q1349" s="9"/>
      <c r="R1349" s="9"/>
      <c r="S1349" s="9"/>
      <c r="T1349" s="9"/>
      <c r="U1349" s="9"/>
      <c r="V1349" s="9"/>
      <c r="W1349" s="9"/>
      <c r="X1349" s="9"/>
      <c r="Y1349" s="9"/>
      <c r="Z1349" s="9"/>
      <c r="AA1349" s="9"/>
      <c r="AB1349" s="9"/>
      <c r="AC1349" s="9"/>
      <c r="AD1349" s="9"/>
      <c r="AE1349" s="9"/>
      <c r="AF1349" s="9"/>
      <c r="AG1349" s="9"/>
      <c r="AH1349" s="9"/>
      <c r="AI1349" s="9"/>
      <c r="AJ1349" s="9"/>
      <c r="AK1349" s="9"/>
      <c r="AL1349" s="9"/>
      <c r="AM1349" s="9"/>
      <c r="AN1349" s="9"/>
      <c r="AO1349" s="9"/>
      <c r="AP1349" s="9"/>
      <c r="AQ1349" s="9"/>
      <c r="AR1349" s="9"/>
      <c r="AS1349" s="9"/>
      <c r="AT1349" s="9"/>
      <c r="AU1349" s="9"/>
      <c r="AV1349" s="9"/>
      <c r="AW1349" s="9"/>
      <c r="AX1349" s="4" t="s">
        <v>38</v>
      </c>
      <c r="AY1349" s="5" t="s">
        <v>6045</v>
      </c>
      <c r="AZ1349" s="5" t="s">
        <v>38</v>
      </c>
      <c r="BA1349" s="12"/>
      <c r="BB1349" s="12"/>
      <c r="BC1349" s="12"/>
      <c r="BD1349" s="11">
        <v>0</v>
      </c>
      <c r="BE1349" s="11">
        <v>0</v>
      </c>
    </row>
    <row x14ac:dyDescent="0.25" r="1350" customHeight="1" ht="17.25">
      <c r="A1350" s="11">
        <v>418702</v>
      </c>
      <c r="B1350" s="4" t="s">
        <v>6046</v>
      </c>
      <c r="C1350" s="5" t="s">
        <v>6047</v>
      </c>
      <c r="D1350" s="5" t="s">
        <v>6048</v>
      </c>
      <c r="E1350" s="5" t="s">
        <v>6049</v>
      </c>
      <c r="F1350" s="13">
        <f>"0262621606"</f>
      </c>
      <c r="G1350" s="13">
        <f>"9780262621601"</f>
      </c>
      <c r="H1350" s="11">
        <v>0</v>
      </c>
      <c r="I1350" s="14">
        <v>3.51</v>
      </c>
      <c r="J1350" s="7" t="s">
        <v>2393</v>
      </c>
      <c r="K1350" s="5" t="s">
        <v>60</v>
      </c>
      <c r="L1350" s="11">
        <v>175</v>
      </c>
      <c r="M1350" s="11">
        <v>2002</v>
      </c>
      <c r="N1350" s="11">
        <v>1978</v>
      </c>
      <c r="O1350" s="15"/>
      <c r="P1350" s="8">
        <v>45108</v>
      </c>
      <c r="Q1350" s="8"/>
      <c r="R1350" s="8"/>
      <c r="S1350" s="8"/>
      <c r="T1350" s="8"/>
      <c r="U1350" s="8"/>
      <c r="V1350" s="8"/>
      <c r="W1350" s="8"/>
      <c r="X1350" s="8"/>
      <c r="Y1350" s="8"/>
      <c r="Z1350" s="8"/>
      <c r="AA1350" s="8"/>
      <c r="AB1350" s="8"/>
      <c r="AC1350" s="8"/>
      <c r="AD1350" s="8"/>
      <c r="AE1350" s="8"/>
      <c r="AF1350" s="8"/>
      <c r="AG1350" s="8"/>
      <c r="AH1350" s="8"/>
      <c r="AI1350" s="8"/>
      <c r="AJ1350" s="8"/>
      <c r="AK1350" s="8"/>
      <c r="AL1350" s="8"/>
      <c r="AM1350" s="8"/>
      <c r="AN1350" s="8"/>
      <c r="AO1350" s="8"/>
      <c r="AP1350" s="8"/>
      <c r="AQ1350" s="8"/>
      <c r="AR1350" s="8"/>
      <c r="AS1350" s="8"/>
      <c r="AT1350" s="8"/>
      <c r="AU1350" s="8"/>
      <c r="AV1350" s="8"/>
      <c r="AW1350" s="8"/>
      <c r="AX1350" s="4" t="s">
        <v>38</v>
      </c>
      <c r="AY1350" s="5" t="s">
        <v>6050</v>
      </c>
      <c r="AZ1350" s="5" t="s">
        <v>38</v>
      </c>
      <c r="BA1350" s="12"/>
      <c r="BB1350" s="12"/>
      <c r="BC1350" s="12"/>
      <c r="BD1350" s="11">
        <v>0</v>
      </c>
      <c r="BE1350" s="11">
        <v>0</v>
      </c>
    </row>
    <row x14ac:dyDescent="0.25" r="1351" customHeight="1" ht="17.25">
      <c r="A1351" s="11">
        <v>110090</v>
      </c>
      <c r="B1351" s="4" t="s">
        <v>6051</v>
      </c>
      <c r="C1351" s="5" t="s">
        <v>6052</v>
      </c>
      <c r="D1351" s="5" t="s">
        <v>6053</v>
      </c>
      <c r="E1351" s="12"/>
      <c r="F1351" s="13">
        <f>"0375724672"</f>
      </c>
      <c r="G1351" s="13">
        <f>"9780375724671"</f>
      </c>
      <c r="H1351" s="11">
        <v>0</v>
      </c>
      <c r="I1351" s="14">
        <v>3.83</v>
      </c>
      <c r="J1351" s="7" t="s">
        <v>114</v>
      </c>
      <c r="K1351" s="5" t="s">
        <v>60</v>
      </c>
      <c r="L1351" s="11">
        <v>384</v>
      </c>
      <c r="M1351" s="11">
        <v>2001</v>
      </c>
      <c r="N1351" s="11">
        <v>2000</v>
      </c>
      <c r="O1351" s="15"/>
      <c r="P1351" s="8">
        <v>45111</v>
      </c>
      <c r="Q1351" s="8"/>
      <c r="R1351" s="8"/>
      <c r="S1351" s="8"/>
      <c r="T1351" s="8"/>
      <c r="U1351" s="8"/>
      <c r="V1351" s="8"/>
      <c r="W1351" s="8"/>
      <c r="X1351" s="8"/>
      <c r="Y1351" s="8"/>
      <c r="Z1351" s="8"/>
      <c r="AA1351" s="8"/>
      <c r="AB1351" s="8"/>
      <c r="AC1351" s="8"/>
      <c r="AD1351" s="8"/>
      <c r="AE1351" s="8"/>
      <c r="AF1351" s="8"/>
      <c r="AG1351" s="8"/>
      <c r="AH1351" s="8"/>
      <c r="AI1351" s="8"/>
      <c r="AJ1351" s="8"/>
      <c r="AK1351" s="8"/>
      <c r="AL1351" s="8"/>
      <c r="AM1351" s="8"/>
      <c r="AN1351" s="8"/>
      <c r="AO1351" s="8"/>
      <c r="AP1351" s="8"/>
      <c r="AQ1351" s="8"/>
      <c r="AR1351" s="8"/>
      <c r="AS1351" s="8"/>
      <c r="AT1351" s="8"/>
      <c r="AU1351" s="8"/>
      <c r="AV1351" s="8"/>
      <c r="AW1351" s="8"/>
      <c r="AX1351" s="4" t="s">
        <v>5391</v>
      </c>
      <c r="AY1351" s="5" t="s">
        <v>6054</v>
      </c>
      <c r="AZ1351" s="5" t="s">
        <v>38</v>
      </c>
      <c r="BA1351" s="12"/>
      <c r="BB1351" s="12"/>
      <c r="BC1351" s="12"/>
      <c r="BD1351" s="11">
        <v>0</v>
      </c>
      <c r="BE1351" s="11">
        <v>0</v>
      </c>
    </row>
    <row x14ac:dyDescent="0.25" r="1352" customHeight="1" ht="17.25">
      <c r="A1352" s="11">
        <v>826706</v>
      </c>
      <c r="B1352" s="4" t="s">
        <v>6055</v>
      </c>
      <c r="C1352" s="5" t="s">
        <v>6056</v>
      </c>
      <c r="D1352" s="5" t="s">
        <v>6057</v>
      </c>
      <c r="E1352" s="12"/>
      <c r="F1352" s="13">
        <f>"0898702682"</f>
      </c>
      <c r="G1352" s="13">
        <f>"9780898702682"</f>
      </c>
      <c r="H1352" s="11">
        <v>0</v>
      </c>
      <c r="I1352" s="14">
        <v>4.11</v>
      </c>
      <c r="J1352" s="7" t="s">
        <v>6058</v>
      </c>
      <c r="K1352" s="5" t="s">
        <v>60</v>
      </c>
      <c r="L1352" s="11">
        <v>452</v>
      </c>
      <c r="M1352" s="11">
        <v>1989</v>
      </c>
      <c r="N1352" s="11">
        <v>1896</v>
      </c>
      <c r="O1352" s="15"/>
      <c r="P1352" s="8">
        <v>44222</v>
      </c>
      <c r="Q1352" s="8"/>
      <c r="R1352" s="8"/>
      <c r="S1352" s="8"/>
      <c r="T1352" s="8"/>
      <c r="U1352" s="8"/>
      <c r="V1352" s="8"/>
      <c r="W1352" s="8"/>
      <c r="X1352" s="8"/>
      <c r="Y1352" s="8"/>
      <c r="Z1352" s="8"/>
      <c r="AA1352" s="8"/>
      <c r="AB1352" s="8"/>
      <c r="AC1352" s="8"/>
      <c r="AD1352" s="8"/>
      <c r="AE1352" s="8"/>
      <c r="AF1352" s="8"/>
      <c r="AG1352" s="8"/>
      <c r="AH1352" s="8"/>
      <c r="AI1352" s="8"/>
      <c r="AJ1352" s="8"/>
      <c r="AK1352" s="8"/>
      <c r="AL1352" s="8"/>
      <c r="AM1352" s="8"/>
      <c r="AN1352" s="8"/>
      <c r="AO1352" s="8"/>
      <c r="AP1352" s="8"/>
      <c r="AQ1352" s="8"/>
      <c r="AR1352" s="8"/>
      <c r="AS1352" s="8"/>
      <c r="AT1352" s="8"/>
      <c r="AU1352" s="8"/>
      <c r="AV1352" s="8"/>
      <c r="AW1352" s="8"/>
      <c r="AX1352" s="4" t="s">
        <v>38</v>
      </c>
      <c r="AY1352" s="5" t="s">
        <v>6059</v>
      </c>
      <c r="AZ1352" s="5" t="s">
        <v>38</v>
      </c>
      <c r="BA1352" s="12"/>
      <c r="BB1352" s="12"/>
      <c r="BC1352" s="12"/>
      <c r="BD1352" s="11">
        <v>0</v>
      </c>
      <c r="BE1352" s="11">
        <v>0</v>
      </c>
    </row>
    <row x14ac:dyDescent="0.25" r="1353" customHeight="1" ht="17.25">
      <c r="A1353" s="11">
        <v>4981</v>
      </c>
      <c r="B1353" s="4" t="s">
        <v>6060</v>
      </c>
      <c r="C1353" s="5" t="s">
        <v>4020</v>
      </c>
      <c r="D1353" s="5" t="s">
        <v>4021</v>
      </c>
      <c r="E1353" s="12"/>
      <c r="F1353" s="13">
        <f>"0385333846"</f>
      </c>
      <c r="G1353" s="13">
        <f>"9780385333849"</f>
      </c>
      <c r="H1353" s="11">
        <v>0</v>
      </c>
      <c r="I1353" s="14">
        <v>4.09</v>
      </c>
      <c r="J1353" s="7" t="s">
        <v>6061</v>
      </c>
      <c r="K1353" s="5" t="s">
        <v>60</v>
      </c>
      <c r="L1353" s="11">
        <v>275</v>
      </c>
      <c r="M1353" s="11">
        <v>1999</v>
      </c>
      <c r="N1353" s="11">
        <v>1969</v>
      </c>
      <c r="O1353" s="15"/>
      <c r="P1353" s="8">
        <v>41020</v>
      </c>
      <c r="Q1353" s="8"/>
      <c r="R1353" s="8"/>
      <c r="S1353" s="8"/>
      <c r="T1353" s="8"/>
      <c r="U1353" s="8"/>
      <c r="V1353" s="8"/>
      <c r="W1353" s="8"/>
      <c r="X1353" s="8"/>
      <c r="Y1353" s="8"/>
      <c r="Z1353" s="8"/>
      <c r="AA1353" s="8"/>
      <c r="AB1353" s="8"/>
      <c r="AC1353" s="8"/>
      <c r="AD1353" s="8"/>
      <c r="AE1353" s="8"/>
      <c r="AF1353" s="8"/>
      <c r="AG1353" s="8"/>
      <c r="AH1353" s="8"/>
      <c r="AI1353" s="8"/>
      <c r="AJ1353" s="8"/>
      <c r="AK1353" s="8"/>
      <c r="AL1353" s="8"/>
      <c r="AM1353" s="8"/>
      <c r="AN1353" s="8"/>
      <c r="AO1353" s="8"/>
      <c r="AP1353" s="8"/>
      <c r="AQ1353" s="8"/>
      <c r="AR1353" s="8"/>
      <c r="AS1353" s="8"/>
      <c r="AT1353" s="8"/>
      <c r="AU1353" s="8"/>
      <c r="AV1353" s="8"/>
      <c r="AW1353" s="8"/>
      <c r="AX1353" s="4" t="s">
        <v>38</v>
      </c>
      <c r="AY1353" s="5" t="s">
        <v>6062</v>
      </c>
      <c r="AZ1353" s="5" t="s">
        <v>38</v>
      </c>
      <c r="BA1353" s="12"/>
      <c r="BB1353" s="12"/>
      <c r="BC1353" s="12"/>
      <c r="BD1353" s="11">
        <v>0</v>
      </c>
      <c r="BE1353" s="11">
        <v>0</v>
      </c>
    </row>
    <row x14ac:dyDescent="0.25" r="1354" customHeight="1" ht="17.25">
      <c r="A1354" s="11">
        <v>60142</v>
      </c>
      <c r="B1354" s="4" t="s">
        <v>6063</v>
      </c>
      <c r="C1354" s="5" t="s">
        <v>1925</v>
      </c>
      <c r="D1354" s="5" t="s">
        <v>1926</v>
      </c>
      <c r="E1354" s="12"/>
      <c r="F1354" s="13">
        <f>"8466309152"</f>
      </c>
      <c r="G1354" s="13">
        <f>"9788466309158"</f>
      </c>
      <c r="H1354" s="11">
        <v>0</v>
      </c>
      <c r="I1354" s="14">
        <v>4.15</v>
      </c>
      <c r="J1354" s="7" t="s">
        <v>6064</v>
      </c>
      <c r="K1354" s="5" t="s">
        <v>346</v>
      </c>
      <c r="L1354" s="11">
        <v>446</v>
      </c>
      <c r="M1354" s="11">
        <v>2000</v>
      </c>
      <c r="N1354" s="11">
        <v>1962</v>
      </c>
      <c r="O1354" s="15"/>
      <c r="P1354" s="8">
        <v>43970</v>
      </c>
      <c r="Q1354" s="8"/>
      <c r="R1354" s="8"/>
      <c r="S1354" s="8"/>
      <c r="T1354" s="8"/>
      <c r="U1354" s="8"/>
      <c r="V1354" s="8"/>
      <c r="W1354" s="8"/>
      <c r="X1354" s="8"/>
      <c r="Y1354" s="8"/>
      <c r="Z1354" s="8"/>
      <c r="AA1354" s="8"/>
      <c r="AB1354" s="8"/>
      <c r="AC1354" s="8"/>
      <c r="AD1354" s="8"/>
      <c r="AE1354" s="8"/>
      <c r="AF1354" s="8"/>
      <c r="AG1354" s="8"/>
      <c r="AH1354" s="8"/>
      <c r="AI1354" s="8"/>
      <c r="AJ1354" s="8"/>
      <c r="AK1354" s="8"/>
      <c r="AL1354" s="8"/>
      <c r="AM1354" s="8"/>
      <c r="AN1354" s="8"/>
      <c r="AO1354" s="8"/>
      <c r="AP1354" s="8"/>
      <c r="AQ1354" s="8"/>
      <c r="AR1354" s="8"/>
      <c r="AS1354" s="8"/>
      <c r="AT1354" s="8"/>
      <c r="AU1354" s="8"/>
      <c r="AV1354" s="8"/>
      <c r="AW1354" s="8"/>
      <c r="AX1354" s="4" t="s">
        <v>38</v>
      </c>
      <c r="AY1354" s="5" t="s">
        <v>6065</v>
      </c>
      <c r="AZ1354" s="5" t="s">
        <v>38</v>
      </c>
      <c r="BA1354" s="12"/>
      <c r="BB1354" s="12"/>
      <c r="BC1354" s="12"/>
      <c r="BD1354" s="11">
        <v>0</v>
      </c>
      <c r="BE1354" s="11">
        <v>0</v>
      </c>
    </row>
    <row x14ac:dyDescent="0.25" r="1355" customHeight="1" ht="17.25">
      <c r="A1355" s="11">
        <v>36481692</v>
      </c>
      <c r="B1355" s="4" t="s">
        <v>6066</v>
      </c>
      <c r="C1355" s="5" t="s">
        <v>1069</v>
      </c>
      <c r="D1355" s="5" t="s">
        <v>1070</v>
      </c>
      <c r="E1355" s="5" t="s">
        <v>6067</v>
      </c>
      <c r="F1355" s="13">
        <f>"1635900174"</f>
      </c>
      <c r="G1355" s="13">
        <f>"9781635900170"</f>
      </c>
      <c r="H1355" s="11">
        <v>0</v>
      </c>
      <c r="I1355" s="14">
        <v>4.32</v>
      </c>
      <c r="J1355" s="7" t="s">
        <v>6068</v>
      </c>
      <c r="K1355" s="5" t="s">
        <v>60</v>
      </c>
      <c r="L1355" s="11">
        <v>240</v>
      </c>
      <c r="M1355" s="11">
        <v>2018</v>
      </c>
      <c r="N1355" s="16"/>
      <c r="O1355" s="15"/>
      <c r="P1355" s="8">
        <v>44249</v>
      </c>
      <c r="Q1355" s="8"/>
      <c r="R1355" s="8"/>
      <c r="S1355" s="8"/>
      <c r="T1355" s="8"/>
      <c r="U1355" s="8"/>
      <c r="V1355" s="8"/>
      <c r="W1355" s="8"/>
      <c r="X1355" s="8"/>
      <c r="Y1355" s="8"/>
      <c r="Z1355" s="8"/>
      <c r="AA1355" s="8"/>
      <c r="AB1355" s="8"/>
      <c r="AC1355" s="8"/>
      <c r="AD1355" s="8"/>
      <c r="AE1355" s="8"/>
      <c r="AF1355" s="8"/>
      <c r="AG1355" s="8"/>
      <c r="AH1355" s="8"/>
      <c r="AI1355" s="8"/>
      <c r="AJ1355" s="8"/>
      <c r="AK1355" s="8"/>
      <c r="AL1355" s="8"/>
      <c r="AM1355" s="8"/>
      <c r="AN1355" s="8"/>
      <c r="AO1355" s="8"/>
      <c r="AP1355" s="8"/>
      <c r="AQ1355" s="8"/>
      <c r="AR1355" s="8"/>
      <c r="AS1355" s="8"/>
      <c r="AT1355" s="8"/>
      <c r="AU1355" s="8"/>
      <c r="AV1355" s="8"/>
      <c r="AW1355" s="8"/>
      <c r="AX1355" s="4" t="s">
        <v>38</v>
      </c>
      <c r="AY1355" s="5" t="s">
        <v>6069</v>
      </c>
      <c r="AZ1355" s="5" t="s">
        <v>38</v>
      </c>
      <c r="BA1355" s="12"/>
      <c r="BB1355" s="12"/>
      <c r="BC1355" s="12"/>
      <c r="BD1355" s="11">
        <v>0</v>
      </c>
      <c r="BE1355" s="11">
        <v>0</v>
      </c>
    </row>
    <row x14ac:dyDescent="0.25" r="1356" customHeight="1" ht="17.25">
      <c r="A1356" s="11">
        <v>228630</v>
      </c>
      <c r="B1356" s="4" t="s">
        <v>6070</v>
      </c>
      <c r="C1356" s="5" t="s">
        <v>6071</v>
      </c>
      <c r="D1356" s="5" t="s">
        <v>6072</v>
      </c>
      <c r="E1356" s="5" t="s">
        <v>6073</v>
      </c>
      <c r="F1356" s="13">
        <f>"0060929782"</f>
      </c>
      <c r="G1356" s="13">
        <f>"9780060929787"</f>
      </c>
      <c r="H1356" s="11">
        <v>0</v>
      </c>
      <c r="I1356" s="14">
        <v>4.08</v>
      </c>
      <c r="J1356" s="7" t="s">
        <v>1061</v>
      </c>
      <c r="K1356" s="5" t="s">
        <v>60</v>
      </c>
      <c r="L1356" s="11">
        <v>419</v>
      </c>
      <c r="M1356" s="11">
        <v>1998</v>
      </c>
      <c r="N1356" s="11">
        <v>1945</v>
      </c>
      <c r="O1356" s="8">
        <v>41396</v>
      </c>
      <c r="P1356" s="8">
        <v>41346</v>
      </c>
      <c r="Q1356" s="8"/>
      <c r="R1356" s="8"/>
      <c r="S1356" s="8"/>
      <c r="T1356" s="8"/>
      <c r="U1356" s="8"/>
      <c r="V1356" s="8"/>
      <c r="W1356" s="8"/>
      <c r="X1356" s="8"/>
      <c r="Y1356" s="8"/>
      <c r="Z1356" s="8"/>
      <c r="AA1356" s="8"/>
      <c r="AB1356" s="8"/>
      <c r="AC1356" s="8"/>
      <c r="AD1356" s="8"/>
      <c r="AE1356" s="8"/>
      <c r="AF1356" s="8"/>
      <c r="AG1356" s="8"/>
      <c r="AH1356" s="8"/>
      <c r="AI1356" s="8"/>
      <c r="AJ1356" s="8"/>
      <c r="AK1356" s="8"/>
      <c r="AL1356" s="8"/>
      <c r="AM1356" s="8"/>
      <c r="AN1356" s="8"/>
      <c r="AO1356" s="8"/>
      <c r="AP1356" s="8"/>
      <c r="AQ1356" s="8"/>
      <c r="AR1356" s="8"/>
      <c r="AS1356" s="8"/>
      <c r="AT1356" s="8"/>
      <c r="AU1356" s="8"/>
      <c r="AV1356" s="8"/>
      <c r="AW1356" s="8"/>
      <c r="AX1356" s="16"/>
      <c r="AY1356" s="12"/>
      <c r="AZ1356" s="5" t="s">
        <v>158</v>
      </c>
      <c r="BA1356" s="12"/>
      <c r="BB1356" s="12"/>
      <c r="BC1356" s="12"/>
      <c r="BD1356" s="11">
        <v>1</v>
      </c>
      <c r="BE1356" s="11">
        <v>0</v>
      </c>
    </row>
    <row x14ac:dyDescent="0.25" r="1357" customHeight="1" ht="17.25">
      <c r="A1357" s="11">
        <v>9954162</v>
      </c>
      <c r="B1357" s="4" t="s">
        <v>6074</v>
      </c>
      <c r="C1357" s="5" t="s">
        <v>6075</v>
      </c>
      <c r="D1357" s="5" t="s">
        <v>6076</v>
      </c>
      <c r="E1357" s="12"/>
      <c r="F1357" s="13">
        <f>"9681654269"</f>
      </c>
      <c r="G1357" s="13">
        <f>"9789681654269"</f>
      </c>
      <c r="H1357" s="11">
        <v>0</v>
      </c>
      <c r="I1357" s="14">
        <v>4.38</v>
      </c>
      <c r="J1357" s="7" t="s">
        <v>6077</v>
      </c>
      <c r="K1357" s="5" t="s">
        <v>60</v>
      </c>
      <c r="L1357" s="11">
        <v>202</v>
      </c>
      <c r="M1357" s="11">
        <v>1997</v>
      </c>
      <c r="N1357" s="11">
        <v>1995</v>
      </c>
      <c r="O1357" s="15"/>
      <c r="P1357" s="8">
        <v>43976</v>
      </c>
      <c r="Q1357" s="8"/>
      <c r="R1357" s="8"/>
      <c r="S1357" s="8"/>
      <c r="T1357" s="8"/>
      <c r="U1357" s="8"/>
      <c r="V1357" s="8"/>
      <c r="W1357" s="8"/>
      <c r="X1357" s="8"/>
      <c r="Y1357" s="8"/>
      <c r="Z1357" s="8"/>
      <c r="AA1357" s="8"/>
      <c r="AB1357" s="8"/>
      <c r="AC1357" s="8"/>
      <c r="AD1357" s="8"/>
      <c r="AE1357" s="8"/>
      <c r="AF1357" s="8"/>
      <c r="AG1357" s="8"/>
      <c r="AH1357" s="8"/>
      <c r="AI1357" s="8"/>
      <c r="AJ1357" s="8"/>
      <c r="AK1357" s="8"/>
      <c r="AL1357" s="8"/>
      <c r="AM1357" s="8"/>
      <c r="AN1357" s="8"/>
      <c r="AO1357" s="8"/>
      <c r="AP1357" s="8"/>
      <c r="AQ1357" s="8"/>
      <c r="AR1357" s="8"/>
      <c r="AS1357" s="8"/>
      <c r="AT1357" s="8"/>
      <c r="AU1357" s="8"/>
      <c r="AV1357" s="8"/>
      <c r="AW1357" s="8"/>
      <c r="AX1357" s="4" t="s">
        <v>38</v>
      </c>
      <c r="AY1357" s="5" t="s">
        <v>6078</v>
      </c>
      <c r="AZ1357" s="5" t="s">
        <v>38</v>
      </c>
      <c r="BA1357" s="12"/>
      <c r="BB1357" s="12"/>
      <c r="BC1357" s="12"/>
      <c r="BD1357" s="11">
        <v>0</v>
      </c>
      <c r="BE1357" s="11">
        <v>0</v>
      </c>
    </row>
    <row x14ac:dyDescent="0.25" r="1358" customHeight="1" ht="17.25">
      <c r="A1358" s="11">
        <v>203310</v>
      </c>
      <c r="B1358" s="4" t="s">
        <v>6079</v>
      </c>
      <c r="C1358" s="5" t="s">
        <v>4161</v>
      </c>
      <c r="D1358" s="5" t="s">
        <v>4162</v>
      </c>
      <c r="E1358" s="5" t="s">
        <v>6080</v>
      </c>
      <c r="F1358" s="13">
        <f>""</f>
      </c>
      <c r="G1358" s="13">
        <f>""</f>
      </c>
      <c r="H1358" s="11">
        <v>0</v>
      </c>
      <c r="I1358" s="14">
        <v>4.11</v>
      </c>
      <c r="J1358" s="7" t="s">
        <v>1061</v>
      </c>
      <c r="K1358" s="5" t="s">
        <v>60</v>
      </c>
      <c r="L1358" s="11">
        <v>256</v>
      </c>
      <c r="M1358" s="11">
        <v>2013</v>
      </c>
      <c r="N1358" s="11">
        <v>1971</v>
      </c>
      <c r="O1358" s="15"/>
      <c r="P1358" s="8">
        <v>42816</v>
      </c>
      <c r="Q1358" s="8"/>
      <c r="R1358" s="8"/>
      <c r="S1358" s="8"/>
      <c r="T1358" s="8"/>
      <c r="U1358" s="8"/>
      <c r="V1358" s="8"/>
      <c r="W1358" s="8"/>
      <c r="X1358" s="8"/>
      <c r="Y1358" s="8"/>
      <c r="Z1358" s="8"/>
      <c r="AA1358" s="8"/>
      <c r="AB1358" s="8"/>
      <c r="AC1358" s="8"/>
      <c r="AD1358" s="8"/>
      <c r="AE1358" s="8"/>
      <c r="AF1358" s="8"/>
      <c r="AG1358" s="8"/>
      <c r="AH1358" s="8"/>
      <c r="AI1358" s="8"/>
      <c r="AJ1358" s="8"/>
      <c r="AK1358" s="8"/>
      <c r="AL1358" s="8"/>
      <c r="AM1358" s="8"/>
      <c r="AN1358" s="8"/>
      <c r="AO1358" s="8"/>
      <c r="AP1358" s="8"/>
      <c r="AQ1358" s="8"/>
      <c r="AR1358" s="8"/>
      <c r="AS1358" s="8"/>
      <c r="AT1358" s="8"/>
      <c r="AU1358" s="8"/>
      <c r="AV1358" s="8"/>
      <c r="AW1358" s="8"/>
      <c r="AX1358" s="4" t="s">
        <v>38</v>
      </c>
      <c r="AY1358" s="5" t="s">
        <v>6081</v>
      </c>
      <c r="AZ1358" s="5" t="s">
        <v>38</v>
      </c>
      <c r="BA1358" s="12"/>
      <c r="BB1358" s="12"/>
      <c r="BC1358" s="12"/>
      <c r="BD1358" s="11">
        <v>0</v>
      </c>
      <c r="BE1358" s="11">
        <v>0</v>
      </c>
    </row>
    <row x14ac:dyDescent="0.25" r="1359" customHeight="1" ht="17.25">
      <c r="A1359" s="11">
        <v>553874</v>
      </c>
      <c r="B1359" s="4" t="s">
        <v>6082</v>
      </c>
      <c r="C1359" s="5" t="s">
        <v>6083</v>
      </c>
      <c r="D1359" s="5" t="s">
        <v>6084</v>
      </c>
      <c r="E1359" s="12"/>
      <c r="F1359" s="13">
        <f>"0521000025"</f>
      </c>
      <c r="G1359" s="13">
        <f>"9780521000024"</f>
      </c>
      <c r="H1359" s="11">
        <v>0</v>
      </c>
      <c r="I1359" s="14">
        <v>4.19</v>
      </c>
      <c r="J1359" s="7" t="s">
        <v>636</v>
      </c>
      <c r="K1359" s="5" t="s">
        <v>60</v>
      </c>
      <c r="L1359" s="11">
        <v>274</v>
      </c>
      <c r="M1359" s="11">
        <v>2001</v>
      </c>
      <c r="N1359" s="11">
        <v>1999</v>
      </c>
      <c r="O1359" s="15"/>
      <c r="P1359" s="8">
        <v>44444</v>
      </c>
      <c r="Q1359" s="8"/>
      <c r="R1359" s="8"/>
      <c r="S1359" s="8"/>
      <c r="T1359" s="8"/>
      <c r="U1359" s="8"/>
      <c r="V1359" s="8"/>
      <c r="W1359" s="8"/>
      <c r="X1359" s="8"/>
      <c r="Y1359" s="8"/>
      <c r="Z1359" s="8"/>
      <c r="AA1359" s="8"/>
      <c r="AB1359" s="8"/>
      <c r="AC1359" s="8"/>
      <c r="AD1359" s="8"/>
      <c r="AE1359" s="8"/>
      <c r="AF1359" s="8"/>
      <c r="AG1359" s="8"/>
      <c r="AH1359" s="8"/>
      <c r="AI1359" s="8"/>
      <c r="AJ1359" s="8"/>
      <c r="AK1359" s="8"/>
      <c r="AL1359" s="8"/>
      <c r="AM1359" s="8"/>
      <c r="AN1359" s="8"/>
      <c r="AO1359" s="8"/>
      <c r="AP1359" s="8"/>
      <c r="AQ1359" s="8"/>
      <c r="AR1359" s="8"/>
      <c r="AS1359" s="8"/>
      <c r="AT1359" s="8"/>
      <c r="AU1359" s="8"/>
      <c r="AV1359" s="8"/>
      <c r="AW1359" s="8"/>
      <c r="AX1359" s="4" t="s">
        <v>2566</v>
      </c>
      <c r="AY1359" s="5" t="s">
        <v>6085</v>
      </c>
      <c r="AZ1359" s="5" t="s">
        <v>38</v>
      </c>
      <c r="BA1359" s="12"/>
      <c r="BB1359" s="12"/>
      <c r="BC1359" s="12"/>
      <c r="BD1359" s="11">
        <v>0</v>
      </c>
      <c r="BE1359" s="11">
        <v>0</v>
      </c>
    </row>
    <row x14ac:dyDescent="0.25" r="1360" customHeight="1" ht="17.25">
      <c r="A1360" s="11">
        <v>135448</v>
      </c>
      <c r="B1360" s="4" t="s">
        <v>6086</v>
      </c>
      <c r="C1360" s="5" t="s">
        <v>6087</v>
      </c>
      <c r="D1360" s="5" t="s">
        <v>6088</v>
      </c>
      <c r="E1360" s="5" t="s">
        <v>6089</v>
      </c>
      <c r="F1360" s="13">
        <f>"0631199594"</f>
      </c>
      <c r="G1360" s="13">
        <f>"9780631199595"</f>
      </c>
      <c r="H1360" s="11">
        <v>0</v>
      </c>
      <c r="I1360" s="14">
        <v>4.19</v>
      </c>
      <c r="J1360" s="7" t="s">
        <v>6090</v>
      </c>
      <c r="K1360" s="5" t="s">
        <v>60</v>
      </c>
      <c r="L1360" s="11">
        <v>364</v>
      </c>
      <c r="M1360" s="11">
        <v>1997</v>
      </c>
      <c r="N1360" s="11">
        <v>1997</v>
      </c>
      <c r="O1360" s="15"/>
      <c r="P1360" s="8">
        <v>45046</v>
      </c>
      <c r="Q1360" s="8"/>
      <c r="R1360" s="8"/>
      <c r="S1360" s="8"/>
      <c r="T1360" s="8"/>
      <c r="U1360" s="8"/>
      <c r="V1360" s="8"/>
      <c r="W1360" s="8"/>
      <c r="X1360" s="8"/>
      <c r="Y1360" s="8"/>
      <c r="Z1360" s="8"/>
      <c r="AA1360" s="8"/>
      <c r="AB1360" s="8"/>
      <c r="AC1360" s="8"/>
      <c r="AD1360" s="8"/>
      <c r="AE1360" s="8"/>
      <c r="AF1360" s="8"/>
      <c r="AG1360" s="8"/>
      <c r="AH1360" s="8"/>
      <c r="AI1360" s="8"/>
      <c r="AJ1360" s="8"/>
      <c r="AK1360" s="8"/>
      <c r="AL1360" s="8"/>
      <c r="AM1360" s="8"/>
      <c r="AN1360" s="8"/>
      <c r="AO1360" s="8"/>
      <c r="AP1360" s="8"/>
      <c r="AQ1360" s="8"/>
      <c r="AR1360" s="8"/>
      <c r="AS1360" s="8"/>
      <c r="AT1360" s="8"/>
      <c r="AU1360" s="8"/>
      <c r="AV1360" s="8"/>
      <c r="AW1360" s="8"/>
      <c r="AX1360" s="4" t="s">
        <v>38</v>
      </c>
      <c r="AY1360" s="5" t="s">
        <v>6091</v>
      </c>
      <c r="AZ1360" s="5" t="s">
        <v>38</v>
      </c>
      <c r="BA1360" s="12"/>
      <c r="BB1360" s="12"/>
      <c r="BC1360" s="12"/>
      <c r="BD1360" s="11">
        <v>0</v>
      </c>
      <c r="BE1360" s="11">
        <v>0</v>
      </c>
    </row>
    <row x14ac:dyDescent="0.25" r="1361" customHeight="1" ht="17.25">
      <c r="A1361" s="11">
        <v>5904852</v>
      </c>
      <c r="B1361" s="4" t="s">
        <v>6092</v>
      </c>
      <c r="C1361" s="5" t="s">
        <v>6093</v>
      </c>
      <c r="D1361" s="5" t="s">
        <v>6094</v>
      </c>
      <c r="E1361" s="12"/>
      <c r="F1361" s="13">
        <f>"0806529776"</f>
      </c>
      <c r="G1361" s="13">
        <f>"9780806529776"</f>
      </c>
      <c r="H1361" s="11">
        <v>0</v>
      </c>
      <c r="I1361" s="14">
        <v>3.62</v>
      </c>
      <c r="J1361" s="7" t="s">
        <v>4344</v>
      </c>
      <c r="K1361" s="5" t="s">
        <v>60</v>
      </c>
      <c r="L1361" s="11">
        <v>356</v>
      </c>
      <c r="M1361" s="11">
        <v>1972</v>
      </c>
      <c r="N1361" s="11">
        <v>1972</v>
      </c>
      <c r="O1361" s="15"/>
      <c r="P1361" s="8">
        <v>44443</v>
      </c>
      <c r="Q1361" s="8"/>
      <c r="R1361" s="8"/>
      <c r="S1361" s="8"/>
      <c r="T1361" s="8"/>
      <c r="U1361" s="8"/>
      <c r="V1361" s="8"/>
      <c r="W1361" s="8"/>
      <c r="X1361" s="8"/>
      <c r="Y1361" s="8"/>
      <c r="Z1361" s="8"/>
      <c r="AA1361" s="8"/>
      <c r="AB1361" s="8"/>
      <c r="AC1361" s="8"/>
      <c r="AD1361" s="8"/>
      <c r="AE1361" s="8"/>
      <c r="AF1361" s="8"/>
      <c r="AG1361" s="8"/>
      <c r="AH1361" s="8"/>
      <c r="AI1361" s="8"/>
      <c r="AJ1361" s="8"/>
      <c r="AK1361" s="8"/>
      <c r="AL1361" s="8"/>
      <c r="AM1361" s="8"/>
      <c r="AN1361" s="8"/>
      <c r="AO1361" s="8"/>
      <c r="AP1361" s="8"/>
      <c r="AQ1361" s="8"/>
      <c r="AR1361" s="8"/>
      <c r="AS1361" s="8"/>
      <c r="AT1361" s="8"/>
      <c r="AU1361" s="8"/>
      <c r="AV1361" s="8"/>
      <c r="AW1361" s="8"/>
      <c r="AX1361" s="4" t="s">
        <v>2566</v>
      </c>
      <c r="AY1361" s="5" t="s">
        <v>6095</v>
      </c>
      <c r="AZ1361" s="5" t="s">
        <v>38</v>
      </c>
      <c r="BA1361" s="12"/>
      <c r="BB1361" s="12"/>
      <c r="BC1361" s="12"/>
      <c r="BD1361" s="11">
        <v>0</v>
      </c>
      <c r="BE1361" s="11">
        <v>0</v>
      </c>
    </row>
    <row x14ac:dyDescent="0.25" r="1362" customHeight="1" ht="17.25">
      <c r="A1362" s="11">
        <v>2023127</v>
      </c>
      <c r="B1362" s="4" t="s">
        <v>6096</v>
      </c>
      <c r="C1362" s="5" t="s">
        <v>6097</v>
      </c>
      <c r="D1362" s="5" t="s">
        <v>6098</v>
      </c>
      <c r="E1362" s="12"/>
      <c r="F1362" s="13">
        <f>"0631232478"</f>
      </c>
      <c r="G1362" s="13">
        <f>"9780631232476"</f>
      </c>
      <c r="H1362" s="11">
        <v>0</v>
      </c>
      <c r="I1362" s="14">
        <v>3.85</v>
      </c>
      <c r="J1362" s="7" t="s">
        <v>1344</v>
      </c>
      <c r="K1362" s="5" t="s">
        <v>72</v>
      </c>
      <c r="L1362" s="11">
        <v>356</v>
      </c>
      <c r="M1362" s="11">
        <v>2005</v>
      </c>
      <c r="N1362" s="11">
        <v>2005</v>
      </c>
      <c r="O1362" s="15"/>
      <c r="P1362" s="8">
        <v>45120</v>
      </c>
      <c r="Q1362" s="8"/>
      <c r="R1362" s="8"/>
      <c r="S1362" s="8"/>
      <c r="T1362" s="8"/>
      <c r="U1362" s="8"/>
      <c r="V1362" s="8"/>
      <c r="W1362" s="8"/>
      <c r="X1362" s="8"/>
      <c r="Y1362" s="8"/>
      <c r="Z1362" s="8"/>
      <c r="AA1362" s="8"/>
      <c r="AB1362" s="8"/>
      <c r="AC1362" s="8"/>
      <c r="AD1362" s="8"/>
      <c r="AE1362" s="8"/>
      <c r="AF1362" s="8"/>
      <c r="AG1362" s="8"/>
      <c r="AH1362" s="8"/>
      <c r="AI1362" s="8"/>
      <c r="AJ1362" s="8"/>
      <c r="AK1362" s="8"/>
      <c r="AL1362" s="8"/>
      <c r="AM1362" s="8"/>
      <c r="AN1362" s="8"/>
      <c r="AO1362" s="8"/>
      <c r="AP1362" s="8"/>
      <c r="AQ1362" s="8"/>
      <c r="AR1362" s="8"/>
      <c r="AS1362" s="8"/>
      <c r="AT1362" s="8"/>
      <c r="AU1362" s="8"/>
      <c r="AV1362" s="8"/>
      <c r="AW1362" s="8"/>
      <c r="AX1362" s="4" t="s">
        <v>38</v>
      </c>
      <c r="AY1362" s="5" t="s">
        <v>6099</v>
      </c>
      <c r="AZ1362" s="5" t="s">
        <v>38</v>
      </c>
      <c r="BA1362" s="12"/>
      <c r="BB1362" s="12"/>
      <c r="BC1362" s="12"/>
      <c r="BD1362" s="11">
        <v>0</v>
      </c>
      <c r="BE1362" s="11">
        <v>0</v>
      </c>
    </row>
    <row x14ac:dyDescent="0.25" r="1363" customHeight="1" ht="17.25">
      <c r="A1363" s="11">
        <v>437556</v>
      </c>
      <c r="B1363" s="4" t="s">
        <v>6100</v>
      </c>
      <c r="C1363" s="5" t="s">
        <v>633</v>
      </c>
      <c r="D1363" s="5" t="s">
        <v>634</v>
      </c>
      <c r="E1363" s="5" t="s">
        <v>6101</v>
      </c>
      <c r="F1363" s="13">
        <f>"0195070097"</f>
      </c>
      <c r="G1363" s="13">
        <f>"9780195070095"</f>
      </c>
      <c r="H1363" s="11">
        <v>0</v>
      </c>
      <c r="I1363" s="14">
        <v>3.83</v>
      </c>
      <c r="J1363" s="7" t="s">
        <v>245</v>
      </c>
      <c r="K1363" s="5" t="s">
        <v>60</v>
      </c>
      <c r="L1363" s="11">
        <v>112</v>
      </c>
      <c r="M1363" s="11">
        <v>1991</v>
      </c>
      <c r="N1363" s="11">
        <v>-450</v>
      </c>
      <c r="O1363" s="15"/>
      <c r="P1363" s="8">
        <v>45120</v>
      </c>
      <c r="Q1363" s="8"/>
      <c r="R1363" s="8"/>
      <c r="S1363" s="8"/>
      <c r="T1363" s="8"/>
      <c r="U1363" s="8"/>
      <c r="V1363" s="8"/>
      <c r="W1363" s="8"/>
      <c r="X1363" s="8"/>
      <c r="Y1363" s="8"/>
      <c r="Z1363" s="8"/>
      <c r="AA1363" s="8"/>
      <c r="AB1363" s="8"/>
      <c r="AC1363" s="8"/>
      <c r="AD1363" s="8"/>
      <c r="AE1363" s="8"/>
      <c r="AF1363" s="8"/>
      <c r="AG1363" s="8"/>
      <c r="AH1363" s="8"/>
      <c r="AI1363" s="8"/>
      <c r="AJ1363" s="8"/>
      <c r="AK1363" s="8"/>
      <c r="AL1363" s="8"/>
      <c r="AM1363" s="8"/>
      <c r="AN1363" s="8"/>
      <c r="AO1363" s="8"/>
      <c r="AP1363" s="8"/>
      <c r="AQ1363" s="8"/>
      <c r="AR1363" s="8"/>
      <c r="AS1363" s="8"/>
      <c r="AT1363" s="8"/>
      <c r="AU1363" s="8"/>
      <c r="AV1363" s="8"/>
      <c r="AW1363" s="8"/>
      <c r="AX1363" s="4" t="s">
        <v>38</v>
      </c>
      <c r="AY1363" s="5" t="s">
        <v>6102</v>
      </c>
      <c r="AZ1363" s="5" t="s">
        <v>38</v>
      </c>
      <c r="BA1363" s="12"/>
      <c r="BB1363" s="12"/>
      <c r="BC1363" s="12"/>
      <c r="BD1363" s="11">
        <v>0</v>
      </c>
      <c r="BE1363" s="11">
        <v>0</v>
      </c>
    </row>
    <row x14ac:dyDescent="0.25" r="1364" customHeight="1" ht="17.25">
      <c r="A1364" s="11">
        <v>120992630</v>
      </c>
      <c r="B1364" s="4" t="s">
        <v>6103</v>
      </c>
      <c r="C1364" s="5" t="s">
        <v>6104</v>
      </c>
      <c r="D1364" s="5" t="s">
        <v>6105</v>
      </c>
      <c r="E1364" s="12"/>
      <c r="F1364" s="13">
        <f>"1804290203"</f>
      </c>
      <c r="G1364" s="13">
        <f>"9781804290200"</f>
      </c>
      <c r="H1364" s="11">
        <v>0</v>
      </c>
      <c r="I1364" s="14">
        <v>4.06</v>
      </c>
      <c r="J1364" s="7" t="s">
        <v>2001</v>
      </c>
      <c r="K1364" s="5" t="s">
        <v>96</v>
      </c>
      <c r="L1364" s="11">
        <v>331</v>
      </c>
      <c r="M1364" s="11">
        <v>2023</v>
      </c>
      <c r="N1364" s="16"/>
      <c r="O1364" s="15"/>
      <c r="P1364" s="8">
        <v>45119</v>
      </c>
      <c r="Q1364" s="8"/>
      <c r="R1364" s="8"/>
      <c r="S1364" s="8"/>
      <c r="T1364" s="8"/>
      <c r="U1364" s="8"/>
      <c r="V1364" s="8"/>
      <c r="W1364" s="8"/>
      <c r="X1364" s="8"/>
      <c r="Y1364" s="8"/>
      <c r="Z1364" s="8"/>
      <c r="AA1364" s="8"/>
      <c r="AB1364" s="8"/>
      <c r="AC1364" s="8"/>
      <c r="AD1364" s="8"/>
      <c r="AE1364" s="8"/>
      <c r="AF1364" s="8"/>
      <c r="AG1364" s="8"/>
      <c r="AH1364" s="8"/>
      <c r="AI1364" s="8"/>
      <c r="AJ1364" s="8"/>
      <c r="AK1364" s="8"/>
      <c r="AL1364" s="8"/>
      <c r="AM1364" s="8"/>
      <c r="AN1364" s="8"/>
      <c r="AO1364" s="8"/>
      <c r="AP1364" s="8"/>
      <c r="AQ1364" s="8"/>
      <c r="AR1364" s="8"/>
      <c r="AS1364" s="8"/>
      <c r="AT1364" s="8"/>
      <c r="AU1364" s="8"/>
      <c r="AV1364" s="8"/>
      <c r="AW1364" s="8"/>
      <c r="AX1364" s="4" t="s">
        <v>38</v>
      </c>
      <c r="AY1364" s="5" t="s">
        <v>6106</v>
      </c>
      <c r="AZ1364" s="5" t="s">
        <v>38</v>
      </c>
      <c r="BA1364" s="12"/>
      <c r="BB1364" s="12"/>
      <c r="BC1364" s="12"/>
      <c r="BD1364" s="11">
        <v>0</v>
      </c>
      <c r="BE1364" s="11">
        <v>0</v>
      </c>
    </row>
    <row x14ac:dyDescent="0.25" r="1365" customHeight="1" ht="17.25">
      <c r="A1365" s="11">
        <v>144870</v>
      </c>
      <c r="B1365" s="4" t="s">
        <v>6107</v>
      </c>
      <c r="C1365" s="5" t="s">
        <v>6108</v>
      </c>
      <c r="D1365" s="5" t="s">
        <v>6109</v>
      </c>
      <c r="E1365" s="5" t="s">
        <v>6110</v>
      </c>
      <c r="F1365" s="13">
        <f>"0140444343"</f>
      </c>
      <c r="G1365" s="13">
        <f>"9780140444346"</f>
      </c>
      <c r="H1365" s="11">
        <v>0</v>
      </c>
      <c r="I1365" s="14">
        <v>4.24</v>
      </c>
      <c r="J1365" s="7" t="s">
        <v>263</v>
      </c>
      <c r="K1365" s="5" t="s">
        <v>60</v>
      </c>
      <c r="L1365" s="11">
        <v>278</v>
      </c>
      <c r="M1365" s="11">
        <v>1984</v>
      </c>
      <c r="N1365" s="11">
        <v>1177</v>
      </c>
      <c r="O1365" s="15"/>
      <c r="P1365" s="8">
        <v>45117</v>
      </c>
      <c r="Q1365" s="8"/>
      <c r="R1365" s="8"/>
      <c r="S1365" s="8"/>
      <c r="T1365" s="8"/>
      <c r="U1365" s="8"/>
      <c r="V1365" s="8"/>
      <c r="W1365" s="8"/>
      <c r="X1365" s="8"/>
      <c r="Y1365" s="8"/>
      <c r="Z1365" s="8"/>
      <c r="AA1365" s="8"/>
      <c r="AB1365" s="8"/>
      <c r="AC1365" s="8"/>
      <c r="AD1365" s="8"/>
      <c r="AE1365" s="8"/>
      <c r="AF1365" s="8"/>
      <c r="AG1365" s="8"/>
      <c r="AH1365" s="8"/>
      <c r="AI1365" s="8"/>
      <c r="AJ1365" s="8"/>
      <c r="AK1365" s="8"/>
      <c r="AL1365" s="8"/>
      <c r="AM1365" s="8"/>
      <c r="AN1365" s="8"/>
      <c r="AO1365" s="8"/>
      <c r="AP1365" s="8"/>
      <c r="AQ1365" s="8"/>
      <c r="AR1365" s="8"/>
      <c r="AS1365" s="8"/>
      <c r="AT1365" s="8"/>
      <c r="AU1365" s="8"/>
      <c r="AV1365" s="8"/>
      <c r="AW1365" s="8"/>
      <c r="AX1365" s="4" t="s">
        <v>38</v>
      </c>
      <c r="AY1365" s="5" t="s">
        <v>6111</v>
      </c>
      <c r="AZ1365" s="5" t="s">
        <v>38</v>
      </c>
      <c r="BA1365" s="12"/>
      <c r="BB1365" s="12"/>
      <c r="BC1365" s="12"/>
      <c r="BD1365" s="11">
        <v>0</v>
      </c>
      <c r="BE1365" s="11">
        <v>0</v>
      </c>
    </row>
    <row x14ac:dyDescent="0.25" r="1366" customHeight="1" ht="17.25">
      <c r="A1366" s="11">
        <v>865408</v>
      </c>
      <c r="B1366" s="4" t="s">
        <v>6112</v>
      </c>
      <c r="C1366" s="5" t="s">
        <v>6113</v>
      </c>
      <c r="D1366" s="5" t="s">
        <v>6114</v>
      </c>
      <c r="E1366" s="12"/>
      <c r="F1366" s="13">
        <f>"0198661215"</f>
      </c>
      <c r="G1366" s="13">
        <f>"9780198661214"</f>
      </c>
      <c r="H1366" s="11">
        <v>0</v>
      </c>
      <c r="I1366" s="14">
        <v>4.24</v>
      </c>
      <c r="J1366" s="7" t="s">
        <v>245</v>
      </c>
      <c r="K1366" s="5" t="s">
        <v>72</v>
      </c>
      <c r="L1366" s="11">
        <v>615</v>
      </c>
      <c r="M1366" s="11">
        <v>1989</v>
      </c>
      <c r="N1366" s="11">
        <v>1989</v>
      </c>
      <c r="O1366" s="15"/>
      <c r="P1366" s="8">
        <v>45116</v>
      </c>
      <c r="Q1366" s="8"/>
      <c r="R1366" s="8"/>
      <c r="S1366" s="8"/>
      <c r="T1366" s="8"/>
      <c r="U1366" s="8"/>
      <c r="V1366" s="8"/>
      <c r="W1366" s="8"/>
      <c r="X1366" s="8"/>
      <c r="Y1366" s="8"/>
      <c r="Z1366" s="8"/>
      <c r="AA1366" s="8"/>
      <c r="AB1366" s="8"/>
      <c r="AC1366" s="8"/>
      <c r="AD1366" s="8"/>
      <c r="AE1366" s="8"/>
      <c r="AF1366" s="8"/>
      <c r="AG1366" s="8"/>
      <c r="AH1366" s="8"/>
      <c r="AI1366" s="8"/>
      <c r="AJ1366" s="8"/>
      <c r="AK1366" s="8"/>
      <c r="AL1366" s="8"/>
      <c r="AM1366" s="8"/>
      <c r="AN1366" s="8"/>
      <c r="AO1366" s="8"/>
      <c r="AP1366" s="8"/>
      <c r="AQ1366" s="8"/>
      <c r="AR1366" s="8"/>
      <c r="AS1366" s="8"/>
      <c r="AT1366" s="8"/>
      <c r="AU1366" s="8"/>
      <c r="AV1366" s="8"/>
      <c r="AW1366" s="8"/>
      <c r="AX1366" s="4" t="s">
        <v>38</v>
      </c>
      <c r="AY1366" s="5" t="s">
        <v>6115</v>
      </c>
      <c r="AZ1366" s="5" t="s">
        <v>38</v>
      </c>
      <c r="BA1366" s="12"/>
      <c r="BB1366" s="12"/>
      <c r="BC1366" s="12"/>
      <c r="BD1366" s="11">
        <v>0</v>
      </c>
      <c r="BE1366" s="11">
        <v>0</v>
      </c>
    </row>
    <row x14ac:dyDescent="0.25" r="1367" customHeight="1" ht="17.25">
      <c r="A1367" s="11">
        <v>565355</v>
      </c>
      <c r="B1367" s="4" t="s">
        <v>6116</v>
      </c>
      <c r="C1367" s="5" t="s">
        <v>6117</v>
      </c>
      <c r="D1367" s="5" t="s">
        <v>6118</v>
      </c>
      <c r="E1367" s="12"/>
      <c r="F1367" s="13">
        <f>"0253208912"</f>
      </c>
      <c r="G1367" s="13">
        <f>"9780253208910"</f>
      </c>
      <c r="H1367" s="11">
        <v>0</v>
      </c>
      <c r="I1367" s="14">
        <v>4.15</v>
      </c>
      <c r="J1367" s="7" t="s">
        <v>6119</v>
      </c>
      <c r="K1367" s="5" t="s">
        <v>60</v>
      </c>
      <c r="L1367" s="11">
        <v>288</v>
      </c>
      <c r="M1367" s="11">
        <v>1995</v>
      </c>
      <c r="N1367" s="11">
        <v>1933</v>
      </c>
      <c r="O1367" s="15"/>
      <c r="P1367" s="8">
        <v>45115</v>
      </c>
      <c r="Q1367" s="8"/>
      <c r="R1367" s="8"/>
      <c r="S1367" s="8"/>
      <c r="T1367" s="8"/>
      <c r="U1367" s="8"/>
      <c r="V1367" s="8"/>
      <c r="W1367" s="8"/>
      <c r="X1367" s="8"/>
      <c r="Y1367" s="8"/>
      <c r="Z1367" s="8"/>
      <c r="AA1367" s="8"/>
      <c r="AB1367" s="8"/>
      <c r="AC1367" s="8"/>
      <c r="AD1367" s="8"/>
      <c r="AE1367" s="8"/>
      <c r="AF1367" s="8"/>
      <c r="AG1367" s="8"/>
      <c r="AH1367" s="8"/>
      <c r="AI1367" s="8"/>
      <c r="AJ1367" s="8"/>
      <c r="AK1367" s="8"/>
      <c r="AL1367" s="8"/>
      <c r="AM1367" s="8"/>
      <c r="AN1367" s="8"/>
      <c r="AO1367" s="8"/>
      <c r="AP1367" s="8"/>
      <c r="AQ1367" s="8"/>
      <c r="AR1367" s="8"/>
      <c r="AS1367" s="8"/>
      <c r="AT1367" s="8"/>
      <c r="AU1367" s="8"/>
      <c r="AV1367" s="8"/>
      <c r="AW1367" s="8"/>
      <c r="AX1367" s="4" t="s">
        <v>38</v>
      </c>
      <c r="AY1367" s="5" t="s">
        <v>6120</v>
      </c>
      <c r="AZ1367" s="5" t="s">
        <v>38</v>
      </c>
      <c r="BA1367" s="12"/>
      <c r="BB1367" s="12"/>
      <c r="BC1367" s="12"/>
      <c r="BD1367" s="11">
        <v>0</v>
      </c>
      <c r="BE1367" s="11">
        <v>0</v>
      </c>
    </row>
    <row x14ac:dyDescent="0.25" r="1368" customHeight="1" ht="17.25">
      <c r="A1368" s="11">
        <v>6460814</v>
      </c>
      <c r="B1368" s="4" t="s">
        <v>6121</v>
      </c>
      <c r="C1368" s="5" t="s">
        <v>1644</v>
      </c>
      <c r="D1368" s="5" t="s">
        <v>6122</v>
      </c>
      <c r="E1368" s="12"/>
      <c r="F1368" s="13">
        <f>"1741668379"</f>
      </c>
      <c r="G1368" s="13">
        <f>"9781741668377"</f>
      </c>
      <c r="H1368" s="11">
        <v>0</v>
      </c>
      <c r="I1368" s="14">
        <v>3.7</v>
      </c>
      <c r="J1368" s="7" t="s">
        <v>2577</v>
      </c>
      <c r="K1368" s="5" t="s">
        <v>72</v>
      </c>
      <c r="L1368" s="11">
        <v>224</v>
      </c>
      <c r="M1368" s="16"/>
      <c r="N1368" s="11">
        <v>2009</v>
      </c>
      <c r="O1368" s="15"/>
      <c r="P1368" s="8">
        <v>45115</v>
      </c>
      <c r="Q1368" s="8"/>
      <c r="R1368" s="8"/>
      <c r="S1368" s="8"/>
      <c r="T1368" s="8"/>
      <c r="U1368" s="8"/>
      <c r="V1368" s="8"/>
      <c r="W1368" s="8"/>
      <c r="X1368" s="8"/>
      <c r="Y1368" s="8"/>
      <c r="Z1368" s="8"/>
      <c r="AA1368" s="8"/>
      <c r="AB1368" s="8"/>
      <c r="AC1368" s="8"/>
      <c r="AD1368" s="8"/>
      <c r="AE1368" s="8"/>
      <c r="AF1368" s="8"/>
      <c r="AG1368" s="8"/>
      <c r="AH1368" s="8"/>
      <c r="AI1368" s="8"/>
      <c r="AJ1368" s="8"/>
      <c r="AK1368" s="8"/>
      <c r="AL1368" s="8"/>
      <c r="AM1368" s="8"/>
      <c r="AN1368" s="8"/>
      <c r="AO1368" s="8"/>
      <c r="AP1368" s="8"/>
      <c r="AQ1368" s="8"/>
      <c r="AR1368" s="8"/>
      <c r="AS1368" s="8"/>
      <c r="AT1368" s="8"/>
      <c r="AU1368" s="8"/>
      <c r="AV1368" s="8"/>
      <c r="AW1368" s="8"/>
      <c r="AX1368" s="4" t="s">
        <v>38</v>
      </c>
      <c r="AY1368" s="5" t="s">
        <v>6123</v>
      </c>
      <c r="AZ1368" s="5" t="s">
        <v>38</v>
      </c>
      <c r="BA1368" s="12"/>
      <c r="BB1368" s="12"/>
      <c r="BC1368" s="12"/>
      <c r="BD1368" s="11">
        <v>0</v>
      </c>
      <c r="BE1368" s="11">
        <v>0</v>
      </c>
    </row>
    <row x14ac:dyDescent="0.25" r="1369" customHeight="1" ht="17.25">
      <c r="A1369" s="11">
        <v>18077789</v>
      </c>
      <c r="B1369" s="4" t="s">
        <v>6124</v>
      </c>
      <c r="C1369" s="5" t="s">
        <v>6125</v>
      </c>
      <c r="D1369" s="5" t="s">
        <v>6126</v>
      </c>
      <c r="E1369" s="12"/>
      <c r="F1369" s="13">
        <f>"0307596877"</f>
      </c>
      <c r="G1369" s="13">
        <f>"9780307596871"</f>
      </c>
      <c r="H1369" s="11">
        <v>0</v>
      </c>
      <c r="I1369" s="14">
        <v>4.13</v>
      </c>
      <c r="J1369" s="7" t="s">
        <v>6127</v>
      </c>
      <c r="K1369" s="5" t="s">
        <v>72</v>
      </c>
      <c r="L1369" s="11">
        <v>290</v>
      </c>
      <c r="M1369" s="11">
        <v>2014</v>
      </c>
      <c r="N1369" s="11">
        <v>2014</v>
      </c>
      <c r="O1369" s="15"/>
      <c r="P1369" s="8">
        <v>45115</v>
      </c>
      <c r="Q1369" s="8"/>
      <c r="R1369" s="8"/>
      <c r="S1369" s="8"/>
      <c r="T1369" s="8"/>
      <c r="U1369" s="8"/>
      <c r="V1369" s="8"/>
      <c r="W1369" s="8"/>
      <c r="X1369" s="8"/>
      <c r="Y1369" s="8"/>
      <c r="Z1369" s="8"/>
      <c r="AA1369" s="8"/>
      <c r="AB1369" s="8"/>
      <c r="AC1369" s="8"/>
      <c r="AD1369" s="8"/>
      <c r="AE1369" s="8"/>
      <c r="AF1369" s="8"/>
      <c r="AG1369" s="8"/>
      <c r="AH1369" s="8"/>
      <c r="AI1369" s="8"/>
      <c r="AJ1369" s="8"/>
      <c r="AK1369" s="8"/>
      <c r="AL1369" s="8"/>
      <c r="AM1369" s="8"/>
      <c r="AN1369" s="8"/>
      <c r="AO1369" s="8"/>
      <c r="AP1369" s="8"/>
      <c r="AQ1369" s="8"/>
      <c r="AR1369" s="8"/>
      <c r="AS1369" s="8"/>
      <c r="AT1369" s="8"/>
      <c r="AU1369" s="8"/>
      <c r="AV1369" s="8"/>
      <c r="AW1369" s="8"/>
      <c r="AX1369" s="4" t="s">
        <v>38</v>
      </c>
      <c r="AY1369" s="5" t="s">
        <v>6128</v>
      </c>
      <c r="AZ1369" s="5" t="s">
        <v>38</v>
      </c>
      <c r="BA1369" s="12"/>
      <c r="BB1369" s="12"/>
      <c r="BC1369" s="12"/>
      <c r="BD1369" s="11">
        <v>0</v>
      </c>
      <c r="BE1369" s="11">
        <v>0</v>
      </c>
    </row>
    <row x14ac:dyDescent="0.25" r="1370" customHeight="1" ht="17.25">
      <c r="A1370" s="11">
        <v>1505138</v>
      </c>
      <c r="B1370" s="4" t="s">
        <v>6129</v>
      </c>
      <c r="C1370" s="5" t="s">
        <v>6130</v>
      </c>
      <c r="D1370" s="5" t="s">
        <v>6131</v>
      </c>
      <c r="E1370" s="12"/>
      <c r="F1370" s="13">
        <f>"0486425002"</f>
      </c>
      <c r="G1370" s="13">
        <f>"9780486425009"</f>
      </c>
      <c r="H1370" s="11">
        <v>0</v>
      </c>
      <c r="I1370" s="11">
        <v>4</v>
      </c>
      <c r="J1370" s="7" t="s">
        <v>571</v>
      </c>
      <c r="K1370" s="5" t="s">
        <v>60</v>
      </c>
      <c r="L1370" s="11">
        <v>240</v>
      </c>
      <c r="M1370" s="11">
        <v>2003</v>
      </c>
      <c r="N1370" s="11">
        <v>1914</v>
      </c>
      <c r="O1370" s="15"/>
      <c r="P1370" s="8">
        <v>45115</v>
      </c>
      <c r="Q1370" s="8"/>
      <c r="R1370" s="8"/>
      <c r="S1370" s="8"/>
      <c r="T1370" s="8"/>
      <c r="U1370" s="8"/>
      <c r="V1370" s="8"/>
      <c r="W1370" s="8"/>
      <c r="X1370" s="8"/>
      <c r="Y1370" s="8"/>
      <c r="Z1370" s="8"/>
      <c r="AA1370" s="8"/>
      <c r="AB1370" s="8"/>
      <c r="AC1370" s="8"/>
      <c r="AD1370" s="8"/>
      <c r="AE1370" s="8"/>
      <c r="AF1370" s="8"/>
      <c r="AG1370" s="8"/>
      <c r="AH1370" s="8"/>
      <c r="AI1370" s="8"/>
      <c r="AJ1370" s="8"/>
      <c r="AK1370" s="8"/>
      <c r="AL1370" s="8"/>
      <c r="AM1370" s="8"/>
      <c r="AN1370" s="8"/>
      <c r="AO1370" s="8"/>
      <c r="AP1370" s="8"/>
      <c r="AQ1370" s="8"/>
      <c r="AR1370" s="8"/>
      <c r="AS1370" s="8"/>
      <c r="AT1370" s="8"/>
      <c r="AU1370" s="8"/>
      <c r="AV1370" s="8"/>
      <c r="AW1370" s="8"/>
      <c r="AX1370" s="4" t="s">
        <v>38</v>
      </c>
      <c r="AY1370" s="5" t="s">
        <v>6132</v>
      </c>
      <c r="AZ1370" s="5" t="s">
        <v>38</v>
      </c>
      <c r="BA1370" s="12"/>
      <c r="BB1370" s="12"/>
      <c r="BC1370" s="12"/>
      <c r="BD1370" s="11">
        <v>0</v>
      </c>
      <c r="BE1370" s="11">
        <v>0</v>
      </c>
    </row>
    <row x14ac:dyDescent="0.25" r="1371" customHeight="1" ht="17.25">
      <c r="A1371" s="11">
        <v>621939</v>
      </c>
      <c r="B1371" s="4" t="s">
        <v>6133</v>
      </c>
      <c r="C1371" s="5" t="s">
        <v>1456</v>
      </c>
      <c r="D1371" s="5" t="s">
        <v>1457</v>
      </c>
      <c r="E1371" s="12"/>
      <c r="F1371" s="13">
        <f>"0807057932"</f>
      </c>
      <c r="G1371" s="13">
        <f>"9780807057933"</f>
      </c>
      <c r="H1371" s="11">
        <v>0</v>
      </c>
      <c r="I1371" s="14">
        <v>3.72</v>
      </c>
      <c r="J1371" s="7" t="s">
        <v>6134</v>
      </c>
      <c r="K1371" s="5" t="s">
        <v>60</v>
      </c>
      <c r="L1371" s="11">
        <v>404</v>
      </c>
      <c r="M1371" s="11">
        <v>1971</v>
      </c>
      <c r="N1371" s="11">
        <v>1950</v>
      </c>
      <c r="O1371" s="15"/>
      <c r="P1371" s="8">
        <v>45115</v>
      </c>
      <c r="Q1371" s="8"/>
      <c r="R1371" s="8"/>
      <c r="S1371" s="8"/>
      <c r="T1371" s="8"/>
      <c r="U1371" s="8"/>
      <c r="V1371" s="8"/>
      <c r="W1371" s="8"/>
      <c r="X1371" s="8"/>
      <c r="Y1371" s="8"/>
      <c r="Z1371" s="8"/>
      <c r="AA1371" s="8"/>
      <c r="AB1371" s="8"/>
      <c r="AC1371" s="8"/>
      <c r="AD1371" s="8"/>
      <c r="AE1371" s="8"/>
      <c r="AF1371" s="8"/>
      <c r="AG1371" s="8"/>
      <c r="AH1371" s="8"/>
      <c r="AI1371" s="8"/>
      <c r="AJ1371" s="8"/>
      <c r="AK1371" s="8"/>
      <c r="AL1371" s="8"/>
      <c r="AM1371" s="8"/>
      <c r="AN1371" s="8"/>
      <c r="AO1371" s="8"/>
      <c r="AP1371" s="8"/>
      <c r="AQ1371" s="8"/>
      <c r="AR1371" s="8"/>
      <c r="AS1371" s="8"/>
      <c r="AT1371" s="8"/>
      <c r="AU1371" s="8"/>
      <c r="AV1371" s="8"/>
      <c r="AW1371" s="8"/>
      <c r="AX1371" s="4" t="s">
        <v>38</v>
      </c>
      <c r="AY1371" s="5" t="s">
        <v>6135</v>
      </c>
      <c r="AZ1371" s="5" t="s">
        <v>38</v>
      </c>
      <c r="BA1371" s="12"/>
      <c r="BB1371" s="12"/>
      <c r="BC1371" s="12"/>
      <c r="BD1371" s="11">
        <v>0</v>
      </c>
      <c r="BE1371" s="11">
        <v>0</v>
      </c>
    </row>
    <row x14ac:dyDescent="0.25" r="1372" customHeight="1" ht="17.25">
      <c r="A1372" s="11">
        <v>5047676</v>
      </c>
      <c r="B1372" s="4" t="s">
        <v>6136</v>
      </c>
      <c r="C1372" s="5" t="s">
        <v>6137</v>
      </c>
      <c r="D1372" s="5" t="s">
        <v>6138</v>
      </c>
      <c r="E1372" s="12"/>
      <c r="F1372" s="13">
        <f>"0520040910"</f>
      </c>
      <c r="G1372" s="13">
        <f>"9780520040915"</f>
      </c>
      <c r="H1372" s="11">
        <v>0</v>
      </c>
      <c r="I1372" s="14">
        <v>3.75</v>
      </c>
      <c r="J1372" s="7" t="s">
        <v>6139</v>
      </c>
      <c r="K1372" s="5" t="s">
        <v>60</v>
      </c>
      <c r="L1372" s="11">
        <v>637</v>
      </c>
      <c r="M1372" s="11">
        <v>1980</v>
      </c>
      <c r="N1372" s="11">
        <v>1959</v>
      </c>
      <c r="O1372" s="15"/>
      <c r="P1372" s="8">
        <v>45115</v>
      </c>
      <c r="Q1372" s="8"/>
      <c r="R1372" s="8"/>
      <c r="S1372" s="8"/>
      <c r="T1372" s="8"/>
      <c r="U1372" s="8"/>
      <c r="V1372" s="8"/>
      <c r="W1372" s="8"/>
      <c r="X1372" s="8"/>
      <c r="Y1372" s="8"/>
      <c r="Z1372" s="8"/>
      <c r="AA1372" s="8"/>
      <c r="AB1372" s="8"/>
      <c r="AC1372" s="8"/>
      <c r="AD1372" s="8"/>
      <c r="AE1372" s="8"/>
      <c r="AF1372" s="8"/>
      <c r="AG1372" s="8"/>
      <c r="AH1372" s="8"/>
      <c r="AI1372" s="8"/>
      <c r="AJ1372" s="8"/>
      <c r="AK1372" s="8"/>
      <c r="AL1372" s="8"/>
      <c r="AM1372" s="8"/>
      <c r="AN1372" s="8"/>
      <c r="AO1372" s="8"/>
      <c r="AP1372" s="8"/>
      <c r="AQ1372" s="8"/>
      <c r="AR1372" s="8"/>
      <c r="AS1372" s="8"/>
      <c r="AT1372" s="8"/>
      <c r="AU1372" s="8"/>
      <c r="AV1372" s="8"/>
      <c r="AW1372" s="8"/>
      <c r="AX1372" s="4" t="s">
        <v>38</v>
      </c>
      <c r="AY1372" s="5" t="s">
        <v>6140</v>
      </c>
      <c r="AZ1372" s="5" t="s">
        <v>38</v>
      </c>
      <c r="BA1372" s="12"/>
      <c r="BB1372" s="12"/>
      <c r="BC1372" s="12"/>
      <c r="BD1372" s="11">
        <v>0</v>
      </c>
      <c r="BE1372" s="11">
        <v>0</v>
      </c>
    </row>
    <row x14ac:dyDescent="0.25" r="1373" customHeight="1" ht="17.25">
      <c r="A1373" s="11">
        <v>2041759</v>
      </c>
      <c r="B1373" s="4" t="s">
        <v>6141</v>
      </c>
      <c r="C1373" s="5" t="s">
        <v>6142</v>
      </c>
      <c r="D1373" s="5" t="s">
        <v>6143</v>
      </c>
      <c r="E1373" s="12"/>
      <c r="F1373" s="13">
        <f>"0801480000"</f>
      </c>
      <c r="G1373" s="13">
        <f>"9780801480003"</f>
      </c>
      <c r="H1373" s="11">
        <v>0</v>
      </c>
      <c r="I1373" s="14">
        <v>3.67</v>
      </c>
      <c r="J1373" s="7" t="s">
        <v>2560</v>
      </c>
      <c r="K1373" s="5" t="s">
        <v>60</v>
      </c>
      <c r="L1373" s="11">
        <v>355</v>
      </c>
      <c r="M1373" s="11">
        <v>1992</v>
      </c>
      <c r="N1373" s="11">
        <v>1990</v>
      </c>
      <c r="O1373" s="15"/>
      <c r="P1373" s="8">
        <v>45115</v>
      </c>
      <c r="Q1373" s="8"/>
      <c r="R1373" s="8"/>
      <c r="S1373" s="8"/>
      <c r="T1373" s="8"/>
      <c r="U1373" s="8"/>
      <c r="V1373" s="8"/>
      <c r="W1373" s="8"/>
      <c r="X1373" s="8"/>
      <c r="Y1373" s="8"/>
      <c r="Z1373" s="8"/>
      <c r="AA1373" s="8"/>
      <c r="AB1373" s="8"/>
      <c r="AC1373" s="8"/>
      <c r="AD1373" s="8"/>
      <c r="AE1373" s="8"/>
      <c r="AF1373" s="8"/>
      <c r="AG1373" s="8"/>
      <c r="AH1373" s="8"/>
      <c r="AI1373" s="8"/>
      <c r="AJ1373" s="8"/>
      <c r="AK1373" s="8"/>
      <c r="AL1373" s="8"/>
      <c r="AM1373" s="8"/>
      <c r="AN1373" s="8"/>
      <c r="AO1373" s="8"/>
      <c r="AP1373" s="8"/>
      <c r="AQ1373" s="8"/>
      <c r="AR1373" s="8"/>
      <c r="AS1373" s="8"/>
      <c r="AT1373" s="8"/>
      <c r="AU1373" s="8"/>
      <c r="AV1373" s="8"/>
      <c r="AW1373" s="8"/>
      <c r="AX1373" s="4" t="s">
        <v>38</v>
      </c>
      <c r="AY1373" s="5" t="s">
        <v>6144</v>
      </c>
      <c r="AZ1373" s="5" t="s">
        <v>38</v>
      </c>
      <c r="BA1373" s="12"/>
      <c r="BB1373" s="12"/>
      <c r="BC1373" s="12"/>
      <c r="BD1373" s="11">
        <v>0</v>
      </c>
      <c r="BE1373" s="11">
        <v>0</v>
      </c>
    </row>
    <row x14ac:dyDescent="0.25" r="1374" customHeight="1" ht="17.25">
      <c r="A1374" s="11">
        <v>779822</v>
      </c>
      <c r="B1374" s="4" t="s">
        <v>6145</v>
      </c>
      <c r="C1374" s="5" t="s">
        <v>6146</v>
      </c>
      <c r="D1374" s="5" t="s">
        <v>6147</v>
      </c>
      <c r="E1374" s="12"/>
      <c r="F1374" s="13">
        <f>"0801825482"</f>
      </c>
      <c r="G1374" s="13">
        <f>"9780801825484"</f>
      </c>
      <c r="H1374" s="11">
        <v>0</v>
      </c>
      <c r="I1374" s="14">
        <v>3.98</v>
      </c>
      <c r="J1374" s="7" t="s">
        <v>1324</v>
      </c>
      <c r="K1374" s="5" t="s">
        <v>60</v>
      </c>
      <c r="L1374" s="11">
        <v>416</v>
      </c>
      <c r="M1374" s="11">
        <v>1985</v>
      </c>
      <c r="N1374" s="11">
        <v>1985</v>
      </c>
      <c r="O1374" s="15"/>
      <c r="P1374" s="8">
        <v>45115</v>
      </c>
      <c r="Q1374" s="8"/>
      <c r="R1374" s="8"/>
      <c r="S1374" s="8"/>
      <c r="T1374" s="8"/>
      <c r="U1374" s="8"/>
      <c r="V1374" s="8"/>
      <c r="W1374" s="8"/>
      <c r="X1374" s="8"/>
      <c r="Y1374" s="8"/>
      <c r="Z1374" s="8"/>
      <c r="AA1374" s="8"/>
      <c r="AB1374" s="8"/>
      <c r="AC1374" s="8"/>
      <c r="AD1374" s="8"/>
      <c r="AE1374" s="8"/>
      <c r="AF1374" s="8"/>
      <c r="AG1374" s="8"/>
      <c r="AH1374" s="8"/>
      <c r="AI1374" s="8"/>
      <c r="AJ1374" s="8"/>
      <c r="AK1374" s="8"/>
      <c r="AL1374" s="8"/>
      <c r="AM1374" s="8"/>
      <c r="AN1374" s="8"/>
      <c r="AO1374" s="8"/>
      <c r="AP1374" s="8"/>
      <c r="AQ1374" s="8"/>
      <c r="AR1374" s="8"/>
      <c r="AS1374" s="8"/>
      <c r="AT1374" s="8"/>
      <c r="AU1374" s="8"/>
      <c r="AV1374" s="8"/>
      <c r="AW1374" s="8"/>
      <c r="AX1374" s="4" t="s">
        <v>38</v>
      </c>
      <c r="AY1374" s="5" t="s">
        <v>6148</v>
      </c>
      <c r="AZ1374" s="5" t="s">
        <v>38</v>
      </c>
      <c r="BA1374" s="12"/>
      <c r="BB1374" s="12"/>
      <c r="BC1374" s="12"/>
      <c r="BD1374" s="11">
        <v>0</v>
      </c>
      <c r="BE1374" s="11">
        <v>0</v>
      </c>
    </row>
    <row x14ac:dyDescent="0.25" r="1375" customHeight="1" ht="17.25">
      <c r="A1375" s="11">
        <v>1042903</v>
      </c>
      <c r="B1375" s="4" t="s">
        <v>6149</v>
      </c>
      <c r="C1375" s="5" t="s">
        <v>6150</v>
      </c>
      <c r="D1375" s="5" t="s">
        <v>6151</v>
      </c>
      <c r="E1375" s="5" t="s">
        <v>6152</v>
      </c>
      <c r="F1375" s="13">
        <f>"0713650605"</f>
      </c>
      <c r="G1375" s="13">
        <f>"9780713650600"</f>
      </c>
      <c r="H1375" s="11">
        <v>0</v>
      </c>
      <c r="I1375" s="14">
        <v>3.69</v>
      </c>
      <c r="J1375" s="7" t="s">
        <v>6153</v>
      </c>
      <c r="K1375" s="5" t="s">
        <v>60</v>
      </c>
      <c r="L1375" s="11">
        <v>176</v>
      </c>
      <c r="M1375" s="11">
        <v>2008</v>
      </c>
      <c r="N1375" s="11">
        <v>1633</v>
      </c>
      <c r="O1375" s="15"/>
      <c r="P1375" s="8">
        <v>45115</v>
      </c>
      <c r="Q1375" s="8"/>
      <c r="R1375" s="8"/>
      <c r="S1375" s="8"/>
      <c r="T1375" s="8"/>
      <c r="U1375" s="8"/>
      <c r="V1375" s="8"/>
      <c r="W1375" s="8"/>
      <c r="X1375" s="8"/>
      <c r="Y1375" s="8"/>
      <c r="Z1375" s="8"/>
      <c r="AA1375" s="8"/>
      <c r="AB1375" s="8"/>
      <c r="AC1375" s="8"/>
      <c r="AD1375" s="8"/>
      <c r="AE1375" s="8"/>
      <c r="AF1375" s="8"/>
      <c r="AG1375" s="8"/>
      <c r="AH1375" s="8"/>
      <c r="AI1375" s="8"/>
      <c r="AJ1375" s="8"/>
      <c r="AK1375" s="8"/>
      <c r="AL1375" s="8"/>
      <c r="AM1375" s="8"/>
      <c r="AN1375" s="8"/>
      <c r="AO1375" s="8"/>
      <c r="AP1375" s="8"/>
      <c r="AQ1375" s="8"/>
      <c r="AR1375" s="8"/>
      <c r="AS1375" s="8"/>
      <c r="AT1375" s="8"/>
      <c r="AU1375" s="8"/>
      <c r="AV1375" s="8"/>
      <c r="AW1375" s="8"/>
      <c r="AX1375" s="4" t="s">
        <v>38</v>
      </c>
      <c r="AY1375" s="5" t="s">
        <v>6154</v>
      </c>
      <c r="AZ1375" s="5" t="s">
        <v>38</v>
      </c>
      <c r="BA1375" s="12"/>
      <c r="BB1375" s="12"/>
      <c r="BC1375" s="12"/>
      <c r="BD1375" s="11">
        <v>0</v>
      </c>
      <c r="BE1375" s="11">
        <v>0</v>
      </c>
    </row>
    <row x14ac:dyDescent="0.25" r="1376" customHeight="1" ht="17.25">
      <c r="A1376" s="11">
        <v>123091</v>
      </c>
      <c r="B1376" s="4" t="s">
        <v>6155</v>
      </c>
      <c r="C1376" s="5" t="s">
        <v>6156</v>
      </c>
      <c r="D1376" s="5" t="s">
        <v>6157</v>
      </c>
      <c r="E1376" s="12"/>
      <c r="F1376" s="13">
        <f>"089733356X"</f>
      </c>
      <c r="G1376" s="13">
        <f>"9780897333566"</f>
      </c>
      <c r="H1376" s="11">
        <v>0</v>
      </c>
      <c r="I1376" s="14">
        <v>4.09</v>
      </c>
      <c r="J1376" s="7" t="s">
        <v>6158</v>
      </c>
      <c r="K1376" s="5" t="s">
        <v>60</v>
      </c>
      <c r="L1376" s="11">
        <v>592</v>
      </c>
      <c r="M1376" s="11">
        <v>2005</v>
      </c>
      <c r="N1376" s="11">
        <v>1949</v>
      </c>
      <c r="O1376" s="15"/>
      <c r="P1376" s="8">
        <v>45115</v>
      </c>
      <c r="Q1376" s="8"/>
      <c r="R1376" s="8"/>
      <c r="S1376" s="8"/>
      <c r="T1376" s="8"/>
      <c r="U1376" s="8"/>
      <c r="V1376" s="8"/>
      <c r="W1376" s="8"/>
      <c r="X1376" s="8"/>
      <c r="Y1376" s="8"/>
      <c r="Z1376" s="8"/>
      <c r="AA1376" s="8"/>
      <c r="AB1376" s="8"/>
      <c r="AC1376" s="8"/>
      <c r="AD1376" s="8"/>
      <c r="AE1376" s="8"/>
      <c r="AF1376" s="8"/>
      <c r="AG1376" s="8"/>
      <c r="AH1376" s="8"/>
      <c r="AI1376" s="8"/>
      <c r="AJ1376" s="8"/>
      <c r="AK1376" s="8"/>
      <c r="AL1376" s="8"/>
      <c r="AM1376" s="8"/>
      <c r="AN1376" s="8"/>
      <c r="AO1376" s="8"/>
      <c r="AP1376" s="8"/>
      <c r="AQ1376" s="8"/>
      <c r="AR1376" s="8"/>
      <c r="AS1376" s="8"/>
      <c r="AT1376" s="8"/>
      <c r="AU1376" s="8"/>
      <c r="AV1376" s="8"/>
      <c r="AW1376" s="8"/>
      <c r="AX1376" s="4" t="s">
        <v>38</v>
      </c>
      <c r="AY1376" s="5" t="s">
        <v>6159</v>
      </c>
      <c r="AZ1376" s="5" t="s">
        <v>38</v>
      </c>
      <c r="BA1376" s="12"/>
      <c r="BB1376" s="12"/>
      <c r="BC1376" s="12"/>
      <c r="BD1376" s="11">
        <v>0</v>
      </c>
      <c r="BE1376" s="11">
        <v>0</v>
      </c>
    </row>
    <row x14ac:dyDescent="0.25" r="1377" customHeight="1" ht="17.25">
      <c r="A1377" s="11">
        <v>6087120</v>
      </c>
      <c r="B1377" s="4" t="s">
        <v>6160</v>
      </c>
      <c r="C1377" s="5" t="s">
        <v>6161</v>
      </c>
      <c r="D1377" s="5" t="s">
        <v>6162</v>
      </c>
      <c r="E1377" s="5" t="s">
        <v>6163</v>
      </c>
      <c r="F1377" s="13">
        <f>"1879923025"</f>
      </c>
      <c r="G1377" s="13">
        <f>"9781879923027"</f>
      </c>
      <c r="H1377" s="11">
        <v>0</v>
      </c>
      <c r="I1377" s="14">
        <v>3.6</v>
      </c>
      <c r="J1377" s="7" t="s">
        <v>6164</v>
      </c>
      <c r="K1377" s="5" t="s">
        <v>60</v>
      </c>
      <c r="L1377" s="11">
        <v>240</v>
      </c>
      <c r="M1377" s="11">
        <v>1993</v>
      </c>
      <c r="N1377" s="11">
        <v>1919</v>
      </c>
      <c r="O1377" s="15"/>
      <c r="P1377" s="8">
        <v>45115</v>
      </c>
      <c r="Q1377" s="8"/>
      <c r="R1377" s="8"/>
      <c r="S1377" s="8"/>
      <c r="T1377" s="8"/>
      <c r="U1377" s="8"/>
      <c r="V1377" s="8"/>
      <c r="W1377" s="8"/>
      <c r="X1377" s="8"/>
      <c r="Y1377" s="8"/>
      <c r="Z1377" s="8"/>
      <c r="AA1377" s="8"/>
      <c r="AB1377" s="8"/>
      <c r="AC1377" s="8"/>
      <c r="AD1377" s="8"/>
      <c r="AE1377" s="8"/>
      <c r="AF1377" s="8"/>
      <c r="AG1377" s="8"/>
      <c r="AH1377" s="8"/>
      <c r="AI1377" s="8"/>
      <c r="AJ1377" s="8"/>
      <c r="AK1377" s="8"/>
      <c r="AL1377" s="8"/>
      <c r="AM1377" s="8"/>
      <c r="AN1377" s="8"/>
      <c r="AO1377" s="8"/>
      <c r="AP1377" s="8"/>
      <c r="AQ1377" s="8"/>
      <c r="AR1377" s="8"/>
      <c r="AS1377" s="8"/>
      <c r="AT1377" s="8"/>
      <c r="AU1377" s="8"/>
      <c r="AV1377" s="8"/>
      <c r="AW1377" s="8"/>
      <c r="AX1377" s="4" t="s">
        <v>38</v>
      </c>
      <c r="AY1377" s="5" t="s">
        <v>6165</v>
      </c>
      <c r="AZ1377" s="5" t="s">
        <v>38</v>
      </c>
      <c r="BA1377" s="12"/>
      <c r="BB1377" s="12"/>
      <c r="BC1377" s="12"/>
      <c r="BD1377" s="11">
        <v>0</v>
      </c>
      <c r="BE1377" s="11">
        <v>0</v>
      </c>
    </row>
    <row x14ac:dyDescent="0.25" r="1378" customHeight="1" ht="17.25">
      <c r="A1378" s="11">
        <v>129223</v>
      </c>
      <c r="B1378" s="4" t="s">
        <v>6166</v>
      </c>
      <c r="C1378" s="5" t="s">
        <v>6167</v>
      </c>
      <c r="D1378" s="5" t="s">
        <v>6168</v>
      </c>
      <c r="E1378" s="12"/>
      <c r="F1378" s="13">
        <f>"184022455X"</f>
      </c>
      <c r="G1378" s="13">
        <f>"9781840224559"</f>
      </c>
      <c r="H1378" s="11">
        <v>0</v>
      </c>
      <c r="I1378" s="14">
        <v>3.73</v>
      </c>
      <c r="J1378" s="7" t="s">
        <v>6169</v>
      </c>
      <c r="K1378" s="5" t="s">
        <v>60</v>
      </c>
      <c r="L1378" s="11">
        <v>448</v>
      </c>
      <c r="M1378" s="11">
        <v>2014</v>
      </c>
      <c r="N1378" s="11">
        <v>1928</v>
      </c>
      <c r="O1378" s="15"/>
      <c r="P1378" s="8">
        <v>45115</v>
      </c>
      <c r="Q1378" s="8"/>
      <c r="R1378" s="8"/>
      <c r="S1378" s="8"/>
      <c r="T1378" s="8"/>
      <c r="U1378" s="8"/>
      <c r="V1378" s="8"/>
      <c r="W1378" s="8"/>
      <c r="X1378" s="8"/>
      <c r="Y1378" s="8"/>
      <c r="Z1378" s="8"/>
      <c r="AA1378" s="8"/>
      <c r="AB1378" s="8"/>
      <c r="AC1378" s="8"/>
      <c r="AD1378" s="8"/>
      <c r="AE1378" s="8"/>
      <c r="AF1378" s="8"/>
      <c r="AG1378" s="8"/>
      <c r="AH1378" s="8"/>
      <c r="AI1378" s="8"/>
      <c r="AJ1378" s="8"/>
      <c r="AK1378" s="8"/>
      <c r="AL1378" s="8"/>
      <c r="AM1378" s="8"/>
      <c r="AN1378" s="8"/>
      <c r="AO1378" s="8"/>
      <c r="AP1378" s="8"/>
      <c r="AQ1378" s="8"/>
      <c r="AR1378" s="8"/>
      <c r="AS1378" s="8"/>
      <c r="AT1378" s="8"/>
      <c r="AU1378" s="8"/>
      <c r="AV1378" s="8"/>
      <c r="AW1378" s="8"/>
      <c r="AX1378" s="4" t="s">
        <v>38</v>
      </c>
      <c r="AY1378" s="5" t="s">
        <v>6170</v>
      </c>
      <c r="AZ1378" s="5" t="s">
        <v>38</v>
      </c>
      <c r="BA1378" s="12"/>
      <c r="BB1378" s="12"/>
      <c r="BC1378" s="12"/>
      <c r="BD1378" s="11">
        <v>0</v>
      </c>
      <c r="BE1378" s="11">
        <v>0</v>
      </c>
    </row>
    <row x14ac:dyDescent="0.25" r="1379" customHeight="1" ht="17.25">
      <c r="A1379" s="11">
        <v>286957</v>
      </c>
      <c r="B1379" s="4" t="s">
        <v>6171</v>
      </c>
      <c r="C1379" s="5" t="s">
        <v>6172</v>
      </c>
      <c r="D1379" s="5" t="s">
        <v>6173</v>
      </c>
      <c r="E1379" s="5" t="s">
        <v>6174</v>
      </c>
      <c r="F1379" s="13">
        <f>"1558611584"</f>
      </c>
      <c r="G1379" s="13">
        <f>"9781558611580"</f>
      </c>
      <c r="H1379" s="11">
        <v>0</v>
      </c>
      <c r="I1379" s="14">
        <v>4.1</v>
      </c>
      <c r="J1379" s="7" t="s">
        <v>2147</v>
      </c>
      <c r="K1379" s="5" t="s">
        <v>60</v>
      </c>
      <c r="L1379" s="11">
        <v>64</v>
      </c>
      <c r="M1379" s="11">
        <v>1996</v>
      </c>
      <c r="N1379" s="11">
        <v>1892</v>
      </c>
      <c r="O1379" s="15"/>
      <c r="P1379" s="8">
        <v>45115</v>
      </c>
      <c r="Q1379" s="8"/>
      <c r="R1379" s="8"/>
      <c r="S1379" s="8"/>
      <c r="T1379" s="8"/>
      <c r="U1379" s="8"/>
      <c r="V1379" s="8"/>
      <c r="W1379" s="8"/>
      <c r="X1379" s="8"/>
      <c r="Y1379" s="8"/>
      <c r="Z1379" s="8"/>
      <c r="AA1379" s="8"/>
      <c r="AB1379" s="8"/>
      <c r="AC1379" s="8"/>
      <c r="AD1379" s="8"/>
      <c r="AE1379" s="8"/>
      <c r="AF1379" s="8"/>
      <c r="AG1379" s="8"/>
      <c r="AH1379" s="8"/>
      <c r="AI1379" s="8"/>
      <c r="AJ1379" s="8"/>
      <c r="AK1379" s="8"/>
      <c r="AL1379" s="8"/>
      <c r="AM1379" s="8"/>
      <c r="AN1379" s="8"/>
      <c r="AO1379" s="8"/>
      <c r="AP1379" s="8"/>
      <c r="AQ1379" s="8"/>
      <c r="AR1379" s="8"/>
      <c r="AS1379" s="8"/>
      <c r="AT1379" s="8"/>
      <c r="AU1379" s="8"/>
      <c r="AV1379" s="8"/>
      <c r="AW1379" s="8"/>
      <c r="AX1379" s="4" t="s">
        <v>38</v>
      </c>
      <c r="AY1379" s="5" t="s">
        <v>6175</v>
      </c>
      <c r="AZ1379" s="5" t="s">
        <v>38</v>
      </c>
      <c r="BA1379" s="12"/>
      <c r="BB1379" s="12"/>
      <c r="BC1379" s="12"/>
      <c r="BD1379" s="11">
        <v>0</v>
      </c>
      <c r="BE1379" s="11">
        <v>0</v>
      </c>
    </row>
    <row x14ac:dyDescent="0.25" r="1380" customHeight="1" ht="17.25">
      <c r="A1380" s="11">
        <v>253</v>
      </c>
      <c r="B1380" s="4" t="s">
        <v>6176</v>
      </c>
      <c r="C1380" s="5" t="s">
        <v>4100</v>
      </c>
      <c r="D1380" s="5" t="s">
        <v>4101</v>
      </c>
      <c r="E1380" s="12"/>
      <c r="F1380" s="13">
        <f>"0811201066"</f>
      </c>
      <c r="G1380" s="13">
        <f>"9780811201063"</f>
      </c>
      <c r="H1380" s="11">
        <v>0</v>
      </c>
      <c r="I1380" s="14">
        <v>3.82</v>
      </c>
      <c r="J1380" s="7" t="s">
        <v>126</v>
      </c>
      <c r="K1380" s="5" t="s">
        <v>60</v>
      </c>
      <c r="L1380" s="11">
        <v>292</v>
      </c>
      <c r="M1380" s="11">
        <v>1970</v>
      </c>
      <c r="N1380" s="11">
        <v>1945</v>
      </c>
      <c r="O1380" s="15"/>
      <c r="P1380" s="8">
        <v>45115</v>
      </c>
      <c r="Q1380" s="8"/>
      <c r="R1380" s="8"/>
      <c r="S1380" s="8"/>
      <c r="T1380" s="8"/>
      <c r="U1380" s="8"/>
      <c r="V1380" s="8"/>
      <c r="W1380" s="8"/>
      <c r="X1380" s="8"/>
      <c r="Y1380" s="8"/>
      <c r="Z1380" s="8"/>
      <c r="AA1380" s="8"/>
      <c r="AB1380" s="8"/>
      <c r="AC1380" s="8"/>
      <c r="AD1380" s="8"/>
      <c r="AE1380" s="8"/>
      <c r="AF1380" s="8"/>
      <c r="AG1380" s="8"/>
      <c r="AH1380" s="8"/>
      <c r="AI1380" s="8"/>
      <c r="AJ1380" s="8"/>
      <c r="AK1380" s="8"/>
      <c r="AL1380" s="8"/>
      <c r="AM1380" s="8"/>
      <c r="AN1380" s="8"/>
      <c r="AO1380" s="8"/>
      <c r="AP1380" s="8"/>
      <c r="AQ1380" s="8"/>
      <c r="AR1380" s="8"/>
      <c r="AS1380" s="8"/>
      <c r="AT1380" s="8"/>
      <c r="AU1380" s="8"/>
      <c r="AV1380" s="8"/>
      <c r="AW1380" s="8"/>
      <c r="AX1380" s="4" t="s">
        <v>38</v>
      </c>
      <c r="AY1380" s="5" t="s">
        <v>6177</v>
      </c>
      <c r="AZ1380" s="5" t="s">
        <v>38</v>
      </c>
      <c r="BA1380" s="12"/>
      <c r="BB1380" s="12"/>
      <c r="BC1380" s="12"/>
      <c r="BD1380" s="11">
        <v>0</v>
      </c>
      <c r="BE1380" s="11">
        <v>0</v>
      </c>
    </row>
    <row x14ac:dyDescent="0.25" r="1381" customHeight="1" ht="17.25">
      <c r="A1381" s="11">
        <v>1382866</v>
      </c>
      <c r="B1381" s="4" t="s">
        <v>6178</v>
      </c>
      <c r="C1381" s="5" t="s">
        <v>5341</v>
      </c>
      <c r="D1381" s="5" t="s">
        <v>5342</v>
      </c>
      <c r="E1381" s="5" t="s">
        <v>6179</v>
      </c>
      <c r="F1381" s="13">
        <f>"0850362296"</f>
      </c>
      <c r="G1381" s="13">
        <f>"9780850362299"</f>
      </c>
      <c r="H1381" s="11">
        <v>0</v>
      </c>
      <c r="I1381" s="14">
        <v>4.39</v>
      </c>
      <c r="J1381" s="7" t="s">
        <v>6180</v>
      </c>
      <c r="K1381" s="5" t="s">
        <v>60</v>
      </c>
      <c r="L1381" s="11">
        <v>559</v>
      </c>
      <c r="M1381" s="11">
        <v>1977</v>
      </c>
      <c r="N1381" s="11">
        <v>1963</v>
      </c>
      <c r="O1381" s="15"/>
      <c r="P1381" s="8">
        <v>45115</v>
      </c>
      <c r="Q1381" s="8"/>
      <c r="R1381" s="8"/>
      <c r="S1381" s="8"/>
      <c r="T1381" s="8"/>
      <c r="U1381" s="8"/>
      <c r="V1381" s="8"/>
      <c r="W1381" s="8"/>
      <c r="X1381" s="8"/>
      <c r="Y1381" s="8"/>
      <c r="Z1381" s="8"/>
      <c r="AA1381" s="8"/>
      <c r="AB1381" s="8"/>
      <c r="AC1381" s="8"/>
      <c r="AD1381" s="8"/>
      <c r="AE1381" s="8"/>
      <c r="AF1381" s="8"/>
      <c r="AG1381" s="8"/>
      <c r="AH1381" s="8"/>
      <c r="AI1381" s="8"/>
      <c r="AJ1381" s="8"/>
      <c r="AK1381" s="8"/>
      <c r="AL1381" s="8"/>
      <c r="AM1381" s="8"/>
      <c r="AN1381" s="8"/>
      <c r="AO1381" s="8"/>
      <c r="AP1381" s="8"/>
      <c r="AQ1381" s="8"/>
      <c r="AR1381" s="8"/>
      <c r="AS1381" s="8"/>
      <c r="AT1381" s="8"/>
      <c r="AU1381" s="8"/>
      <c r="AV1381" s="8"/>
      <c r="AW1381" s="8"/>
      <c r="AX1381" s="4" t="s">
        <v>38</v>
      </c>
      <c r="AY1381" s="5" t="s">
        <v>6181</v>
      </c>
      <c r="AZ1381" s="5" t="s">
        <v>38</v>
      </c>
      <c r="BA1381" s="12"/>
      <c r="BB1381" s="12"/>
      <c r="BC1381" s="12"/>
      <c r="BD1381" s="11">
        <v>0</v>
      </c>
      <c r="BE1381" s="11">
        <v>0</v>
      </c>
    </row>
    <row x14ac:dyDescent="0.25" r="1382" customHeight="1" ht="17.25">
      <c r="A1382" s="11">
        <v>54218</v>
      </c>
      <c r="B1382" s="4" t="s">
        <v>6182</v>
      </c>
      <c r="C1382" s="5" t="s">
        <v>6183</v>
      </c>
      <c r="D1382" s="5" t="s">
        <v>6184</v>
      </c>
      <c r="E1382" s="12"/>
      <c r="F1382" s="13">
        <f>"0393314251"</f>
      </c>
      <c r="G1382" s="13">
        <f>"9780393314250"</f>
      </c>
      <c r="H1382" s="11">
        <v>0</v>
      </c>
      <c r="I1382" s="14">
        <v>4.05</v>
      </c>
      <c r="J1382" s="7" t="s">
        <v>144</v>
      </c>
      <c r="K1382" s="5" t="s">
        <v>60</v>
      </c>
      <c r="L1382" s="11">
        <v>446</v>
      </c>
      <c r="M1382" s="11">
        <v>1996</v>
      </c>
      <c r="N1382" s="11">
        <v>1982</v>
      </c>
      <c r="O1382" s="15"/>
      <c r="P1382" s="8">
        <v>45115</v>
      </c>
      <c r="Q1382" s="8"/>
      <c r="R1382" s="8"/>
      <c r="S1382" s="8"/>
      <c r="T1382" s="8"/>
      <c r="U1382" s="8"/>
      <c r="V1382" s="8"/>
      <c r="W1382" s="8"/>
      <c r="X1382" s="8"/>
      <c r="Y1382" s="8"/>
      <c r="Z1382" s="8"/>
      <c r="AA1382" s="8"/>
      <c r="AB1382" s="8"/>
      <c r="AC1382" s="8"/>
      <c r="AD1382" s="8"/>
      <c r="AE1382" s="8"/>
      <c r="AF1382" s="8"/>
      <c r="AG1382" s="8"/>
      <c r="AH1382" s="8"/>
      <c r="AI1382" s="8"/>
      <c r="AJ1382" s="8"/>
      <c r="AK1382" s="8"/>
      <c r="AL1382" s="8"/>
      <c r="AM1382" s="8"/>
      <c r="AN1382" s="8"/>
      <c r="AO1382" s="8"/>
      <c r="AP1382" s="8"/>
      <c r="AQ1382" s="8"/>
      <c r="AR1382" s="8"/>
      <c r="AS1382" s="8"/>
      <c r="AT1382" s="8"/>
      <c r="AU1382" s="8"/>
      <c r="AV1382" s="8"/>
      <c r="AW1382" s="8"/>
      <c r="AX1382" s="4" t="s">
        <v>38</v>
      </c>
      <c r="AY1382" s="5" t="s">
        <v>6185</v>
      </c>
      <c r="AZ1382" s="5" t="s">
        <v>38</v>
      </c>
      <c r="BA1382" s="12"/>
      <c r="BB1382" s="12"/>
      <c r="BC1382" s="12"/>
      <c r="BD1382" s="11">
        <v>0</v>
      </c>
      <c r="BE1382" s="11">
        <v>0</v>
      </c>
    </row>
    <row x14ac:dyDescent="0.25" r="1383" customHeight="1" ht="17.25">
      <c r="A1383" s="11">
        <v>250693</v>
      </c>
      <c r="B1383" s="4" t="s">
        <v>6186</v>
      </c>
      <c r="C1383" s="5" t="s">
        <v>6187</v>
      </c>
      <c r="D1383" s="5" t="s">
        <v>6188</v>
      </c>
      <c r="E1383" s="12"/>
      <c r="F1383" s="13">
        <f>"0865473366"</f>
      </c>
      <c r="G1383" s="13">
        <f>"9780865473362"</f>
      </c>
      <c r="H1383" s="11">
        <v>0</v>
      </c>
      <c r="I1383" s="14">
        <v>4.16</v>
      </c>
      <c r="J1383" s="7" t="s">
        <v>6189</v>
      </c>
      <c r="K1383" s="5" t="s">
        <v>60</v>
      </c>
      <c r="L1383" s="11">
        <v>202</v>
      </c>
      <c r="M1383" s="11">
        <v>1988</v>
      </c>
      <c r="N1383" s="11">
        <v>1942</v>
      </c>
      <c r="O1383" s="15"/>
      <c r="P1383" s="8">
        <v>45115</v>
      </c>
      <c r="Q1383" s="8"/>
      <c r="R1383" s="8"/>
      <c r="S1383" s="8"/>
      <c r="T1383" s="8"/>
      <c r="U1383" s="8"/>
      <c r="V1383" s="8"/>
      <c r="W1383" s="8"/>
      <c r="X1383" s="8"/>
      <c r="Y1383" s="8"/>
      <c r="Z1383" s="8"/>
      <c r="AA1383" s="8"/>
      <c r="AB1383" s="8"/>
      <c r="AC1383" s="8"/>
      <c r="AD1383" s="8"/>
      <c r="AE1383" s="8"/>
      <c r="AF1383" s="8"/>
      <c r="AG1383" s="8"/>
      <c r="AH1383" s="8"/>
      <c r="AI1383" s="8"/>
      <c r="AJ1383" s="8"/>
      <c r="AK1383" s="8"/>
      <c r="AL1383" s="8"/>
      <c r="AM1383" s="8"/>
      <c r="AN1383" s="8"/>
      <c r="AO1383" s="8"/>
      <c r="AP1383" s="8"/>
      <c r="AQ1383" s="8"/>
      <c r="AR1383" s="8"/>
      <c r="AS1383" s="8"/>
      <c r="AT1383" s="8"/>
      <c r="AU1383" s="8"/>
      <c r="AV1383" s="8"/>
      <c r="AW1383" s="8"/>
      <c r="AX1383" s="4" t="s">
        <v>38</v>
      </c>
      <c r="AY1383" s="5" t="s">
        <v>6190</v>
      </c>
      <c r="AZ1383" s="5" t="s">
        <v>38</v>
      </c>
      <c r="BA1383" s="12"/>
      <c r="BB1383" s="12"/>
      <c r="BC1383" s="12"/>
      <c r="BD1383" s="11">
        <v>0</v>
      </c>
      <c r="BE1383" s="11">
        <v>0</v>
      </c>
    </row>
    <row x14ac:dyDescent="0.25" r="1384" customHeight="1" ht="17.25">
      <c r="A1384" s="11">
        <v>765167</v>
      </c>
      <c r="B1384" s="4" t="s">
        <v>6191</v>
      </c>
      <c r="C1384" s="5" t="s">
        <v>6192</v>
      </c>
      <c r="D1384" s="5" t="s">
        <v>6193</v>
      </c>
      <c r="E1384" s="12"/>
      <c r="F1384" s="13">
        <f>"081120037X"</f>
      </c>
      <c r="G1384" s="13">
        <f>"9780811200370"</f>
      </c>
      <c r="H1384" s="11">
        <v>0</v>
      </c>
      <c r="I1384" s="14">
        <v>3.82</v>
      </c>
      <c r="J1384" s="7" t="s">
        <v>126</v>
      </c>
      <c r="K1384" s="5" t="s">
        <v>60</v>
      </c>
      <c r="L1384" s="11">
        <v>256</v>
      </c>
      <c r="M1384" s="11">
        <v>1966</v>
      </c>
      <c r="N1384" s="11">
        <v>1930</v>
      </c>
      <c r="O1384" s="15"/>
      <c r="P1384" s="8">
        <v>45115</v>
      </c>
      <c r="Q1384" s="8"/>
      <c r="R1384" s="8"/>
      <c r="S1384" s="8"/>
      <c r="T1384" s="8"/>
      <c r="U1384" s="8"/>
      <c r="V1384" s="8"/>
      <c r="W1384" s="8"/>
      <c r="X1384" s="8"/>
      <c r="Y1384" s="8"/>
      <c r="Z1384" s="8"/>
      <c r="AA1384" s="8"/>
      <c r="AB1384" s="8"/>
      <c r="AC1384" s="8"/>
      <c r="AD1384" s="8"/>
      <c r="AE1384" s="8"/>
      <c r="AF1384" s="8"/>
      <c r="AG1384" s="8"/>
      <c r="AH1384" s="8"/>
      <c r="AI1384" s="8"/>
      <c r="AJ1384" s="8"/>
      <c r="AK1384" s="8"/>
      <c r="AL1384" s="8"/>
      <c r="AM1384" s="8"/>
      <c r="AN1384" s="8"/>
      <c r="AO1384" s="8"/>
      <c r="AP1384" s="8"/>
      <c r="AQ1384" s="8"/>
      <c r="AR1384" s="8"/>
      <c r="AS1384" s="8"/>
      <c r="AT1384" s="8"/>
      <c r="AU1384" s="8"/>
      <c r="AV1384" s="8"/>
      <c r="AW1384" s="8"/>
      <c r="AX1384" s="4" t="s">
        <v>38</v>
      </c>
      <c r="AY1384" s="5" t="s">
        <v>6194</v>
      </c>
      <c r="AZ1384" s="5" t="s">
        <v>38</v>
      </c>
      <c r="BA1384" s="12"/>
      <c r="BB1384" s="12"/>
      <c r="BC1384" s="12"/>
      <c r="BD1384" s="11">
        <v>0</v>
      </c>
      <c r="BE1384" s="11">
        <v>0</v>
      </c>
    </row>
    <row x14ac:dyDescent="0.25" r="1385" customHeight="1" ht="17.25">
      <c r="A1385" s="11">
        <v>245831</v>
      </c>
      <c r="B1385" s="4" t="s">
        <v>6195</v>
      </c>
      <c r="C1385" s="5" t="s">
        <v>6196</v>
      </c>
      <c r="D1385" s="5" t="s">
        <v>6197</v>
      </c>
      <c r="E1385" s="12"/>
      <c r="F1385" s="13">
        <f>"0226950018"</f>
      </c>
      <c r="G1385" s="13">
        <f>"9780226950013"</f>
      </c>
      <c r="H1385" s="11">
        <v>0</v>
      </c>
      <c r="I1385" s="14">
        <v>4.16</v>
      </c>
      <c r="J1385" s="7" t="s">
        <v>255</v>
      </c>
      <c r="K1385" s="5" t="s">
        <v>60</v>
      </c>
      <c r="L1385" s="11">
        <v>400</v>
      </c>
      <c r="M1385" s="11">
        <v>2001</v>
      </c>
      <c r="N1385" s="11">
        <v>1966</v>
      </c>
      <c r="O1385" s="15"/>
      <c r="P1385" s="8">
        <v>45115</v>
      </c>
      <c r="Q1385" s="8"/>
      <c r="R1385" s="8"/>
      <c r="S1385" s="8"/>
      <c r="T1385" s="8"/>
      <c r="U1385" s="8"/>
      <c r="V1385" s="8"/>
      <c r="W1385" s="8"/>
      <c r="X1385" s="8"/>
      <c r="Y1385" s="8"/>
      <c r="Z1385" s="8"/>
      <c r="AA1385" s="8"/>
      <c r="AB1385" s="8"/>
      <c r="AC1385" s="8"/>
      <c r="AD1385" s="8"/>
      <c r="AE1385" s="8"/>
      <c r="AF1385" s="8"/>
      <c r="AG1385" s="8"/>
      <c r="AH1385" s="8"/>
      <c r="AI1385" s="8"/>
      <c r="AJ1385" s="8"/>
      <c r="AK1385" s="8"/>
      <c r="AL1385" s="8"/>
      <c r="AM1385" s="8"/>
      <c r="AN1385" s="8"/>
      <c r="AO1385" s="8"/>
      <c r="AP1385" s="8"/>
      <c r="AQ1385" s="8"/>
      <c r="AR1385" s="8"/>
      <c r="AS1385" s="8"/>
      <c r="AT1385" s="8"/>
      <c r="AU1385" s="8"/>
      <c r="AV1385" s="8"/>
      <c r="AW1385" s="8"/>
      <c r="AX1385" s="4" t="s">
        <v>38</v>
      </c>
      <c r="AY1385" s="5" t="s">
        <v>6198</v>
      </c>
      <c r="AZ1385" s="5" t="s">
        <v>38</v>
      </c>
      <c r="BA1385" s="12"/>
      <c r="BB1385" s="12"/>
      <c r="BC1385" s="12"/>
      <c r="BD1385" s="11">
        <v>0</v>
      </c>
      <c r="BE1385" s="11">
        <v>0</v>
      </c>
    </row>
    <row x14ac:dyDescent="0.25" r="1386" customHeight="1" ht="17.25">
      <c r="A1386" s="11">
        <v>862835</v>
      </c>
      <c r="B1386" s="4" t="s">
        <v>6199</v>
      </c>
      <c r="C1386" s="5" t="s">
        <v>6200</v>
      </c>
      <c r="D1386" s="5" t="s">
        <v>6201</v>
      </c>
      <c r="E1386" s="12"/>
      <c r="F1386" s="13">
        <f>"0520003276"</f>
      </c>
      <c r="G1386" s="13">
        <f>"9780520003279"</f>
      </c>
      <c r="H1386" s="11">
        <v>0</v>
      </c>
      <c r="I1386" s="14">
        <v>4.2</v>
      </c>
      <c r="J1386" s="7" t="s">
        <v>1335</v>
      </c>
      <c r="K1386" s="5" t="s">
        <v>60</v>
      </c>
      <c r="L1386" s="11">
        <v>327</v>
      </c>
      <c r="M1386" s="11">
        <v>1962</v>
      </c>
      <c r="N1386" s="11">
        <v>1951</v>
      </c>
      <c r="O1386" s="15"/>
      <c r="P1386" s="8">
        <v>45115</v>
      </c>
      <c r="Q1386" s="8"/>
      <c r="R1386" s="8"/>
      <c r="S1386" s="8"/>
      <c r="T1386" s="8"/>
      <c r="U1386" s="8"/>
      <c r="V1386" s="8"/>
      <c r="W1386" s="8"/>
      <c r="X1386" s="8"/>
      <c r="Y1386" s="8"/>
      <c r="Z1386" s="8"/>
      <c r="AA1386" s="8"/>
      <c r="AB1386" s="8"/>
      <c r="AC1386" s="8"/>
      <c r="AD1386" s="8"/>
      <c r="AE1386" s="8"/>
      <c r="AF1386" s="8"/>
      <c r="AG1386" s="8"/>
      <c r="AH1386" s="8"/>
      <c r="AI1386" s="8"/>
      <c r="AJ1386" s="8"/>
      <c r="AK1386" s="8"/>
      <c r="AL1386" s="8"/>
      <c r="AM1386" s="8"/>
      <c r="AN1386" s="8"/>
      <c r="AO1386" s="8"/>
      <c r="AP1386" s="8"/>
      <c r="AQ1386" s="8"/>
      <c r="AR1386" s="8"/>
      <c r="AS1386" s="8"/>
      <c r="AT1386" s="8"/>
      <c r="AU1386" s="8"/>
      <c r="AV1386" s="8"/>
      <c r="AW1386" s="8"/>
      <c r="AX1386" s="4" t="s">
        <v>38</v>
      </c>
      <c r="AY1386" s="5" t="s">
        <v>6202</v>
      </c>
      <c r="AZ1386" s="5" t="s">
        <v>38</v>
      </c>
      <c r="BA1386" s="12"/>
      <c r="BB1386" s="12"/>
      <c r="BC1386" s="12"/>
      <c r="BD1386" s="11">
        <v>0</v>
      </c>
      <c r="BE1386" s="11">
        <v>0</v>
      </c>
    </row>
    <row x14ac:dyDescent="0.25" r="1387" customHeight="1" ht="17.25">
      <c r="A1387" s="11">
        <v>76485</v>
      </c>
      <c r="B1387" s="4" t="s">
        <v>6203</v>
      </c>
      <c r="C1387" s="5" t="s">
        <v>6204</v>
      </c>
      <c r="D1387" s="5" t="s">
        <v>6205</v>
      </c>
      <c r="E1387" s="12"/>
      <c r="F1387" s="13">
        <f>"0316735051"</f>
      </c>
      <c r="G1387" s="13">
        <f>"9780316735056"</f>
      </c>
      <c r="H1387" s="11">
        <v>0</v>
      </c>
      <c r="I1387" s="14">
        <v>3.24</v>
      </c>
      <c r="J1387" s="7" t="s">
        <v>1746</v>
      </c>
      <c r="K1387" s="5" t="s">
        <v>60</v>
      </c>
      <c r="L1387" s="11">
        <v>192</v>
      </c>
      <c r="M1387" s="11">
        <v>2003</v>
      </c>
      <c r="N1387" s="11">
        <v>1998</v>
      </c>
      <c r="O1387" s="15"/>
      <c r="P1387" s="8">
        <v>45115</v>
      </c>
      <c r="Q1387" s="8"/>
      <c r="R1387" s="8"/>
      <c r="S1387" s="8"/>
      <c r="T1387" s="8"/>
      <c r="U1387" s="8"/>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8"/>
      <c r="AW1387" s="8"/>
      <c r="AX1387" s="4" t="s">
        <v>38</v>
      </c>
      <c r="AY1387" s="5" t="s">
        <v>6206</v>
      </c>
      <c r="AZ1387" s="5" t="s">
        <v>38</v>
      </c>
      <c r="BA1387" s="12"/>
      <c r="BB1387" s="12"/>
      <c r="BC1387" s="12"/>
      <c r="BD1387" s="11">
        <v>0</v>
      </c>
      <c r="BE1387" s="11">
        <v>0</v>
      </c>
    </row>
    <row x14ac:dyDescent="0.25" r="1388" customHeight="1" ht="17.25">
      <c r="A1388" s="11">
        <v>1787444</v>
      </c>
      <c r="B1388" s="4" t="s">
        <v>6207</v>
      </c>
      <c r="C1388" s="5" t="s">
        <v>6208</v>
      </c>
      <c r="D1388" s="5" t="s">
        <v>6209</v>
      </c>
      <c r="E1388" s="12"/>
      <c r="F1388" s="13">
        <f>"0140036164"</f>
      </c>
      <c r="G1388" s="13">
        <f>"9780140036169"</f>
      </c>
      <c r="H1388" s="11">
        <v>0</v>
      </c>
      <c r="I1388" s="14">
        <v>4.09</v>
      </c>
      <c r="J1388" s="7" t="s">
        <v>6210</v>
      </c>
      <c r="K1388" s="5" t="s">
        <v>60</v>
      </c>
      <c r="L1388" s="11">
        <v>576</v>
      </c>
      <c r="M1388" s="11">
        <v>1973</v>
      </c>
      <c r="N1388" s="11">
        <v>1960</v>
      </c>
      <c r="O1388" s="15"/>
      <c r="P1388" s="8">
        <v>45115</v>
      </c>
      <c r="Q1388" s="8"/>
      <c r="R1388" s="8"/>
      <c r="S1388" s="8"/>
      <c r="T1388" s="8"/>
      <c r="U1388" s="8"/>
      <c r="V1388" s="8"/>
      <c r="W1388" s="8"/>
      <c r="X1388" s="8"/>
      <c r="Y1388" s="8"/>
      <c r="Z1388" s="8"/>
      <c r="AA1388" s="8"/>
      <c r="AB1388" s="8"/>
      <c r="AC1388" s="8"/>
      <c r="AD1388" s="8"/>
      <c r="AE1388" s="8"/>
      <c r="AF1388" s="8"/>
      <c r="AG1388" s="8"/>
      <c r="AH1388" s="8"/>
      <c r="AI1388" s="8"/>
      <c r="AJ1388" s="8"/>
      <c r="AK1388" s="8"/>
      <c r="AL1388" s="8"/>
      <c r="AM1388" s="8"/>
      <c r="AN1388" s="8"/>
      <c r="AO1388" s="8"/>
      <c r="AP1388" s="8"/>
      <c r="AQ1388" s="8"/>
      <c r="AR1388" s="8"/>
      <c r="AS1388" s="8"/>
      <c r="AT1388" s="8"/>
      <c r="AU1388" s="8"/>
      <c r="AV1388" s="8"/>
      <c r="AW1388" s="8"/>
      <c r="AX1388" s="4" t="s">
        <v>38</v>
      </c>
      <c r="AY1388" s="5" t="s">
        <v>6211</v>
      </c>
      <c r="AZ1388" s="5" t="s">
        <v>38</v>
      </c>
      <c r="BA1388" s="12"/>
      <c r="BB1388" s="12"/>
      <c r="BC1388" s="12"/>
      <c r="BD1388" s="11">
        <v>0</v>
      </c>
      <c r="BE1388" s="11">
        <v>0</v>
      </c>
    </row>
    <row x14ac:dyDescent="0.25" r="1389" customHeight="1" ht="17.25">
      <c r="A1389" s="11">
        <v>775939</v>
      </c>
      <c r="B1389" s="4" t="s">
        <v>6212</v>
      </c>
      <c r="C1389" s="5" t="s">
        <v>6213</v>
      </c>
      <c r="D1389" s="5" t="s">
        <v>6214</v>
      </c>
      <c r="E1389" s="12"/>
      <c r="F1389" s="13">
        <f>"0262581833"</f>
      </c>
      <c r="G1389" s="13">
        <f>"9780262581837"</f>
      </c>
      <c r="H1389" s="11">
        <v>0</v>
      </c>
      <c r="I1389" s="14">
        <v>4.15</v>
      </c>
      <c r="J1389" s="7" t="s">
        <v>2393</v>
      </c>
      <c r="K1389" s="5" t="s">
        <v>60</v>
      </c>
      <c r="L1389" s="11">
        <v>192</v>
      </c>
      <c r="M1389" s="11">
        <v>2000</v>
      </c>
      <c r="N1389" s="11">
        <v>1977</v>
      </c>
      <c r="O1389" s="15"/>
      <c r="P1389" s="8">
        <v>45115</v>
      </c>
      <c r="Q1389" s="8"/>
      <c r="R1389" s="8"/>
      <c r="S1389" s="8"/>
      <c r="T1389" s="8"/>
      <c r="U1389" s="8"/>
      <c r="V1389" s="8"/>
      <c r="W1389" s="8"/>
      <c r="X1389" s="8"/>
      <c r="Y1389" s="8"/>
      <c r="Z1389" s="8"/>
      <c r="AA1389" s="8"/>
      <c r="AB1389" s="8"/>
      <c r="AC1389" s="8"/>
      <c r="AD1389" s="8"/>
      <c r="AE1389" s="8"/>
      <c r="AF1389" s="8"/>
      <c r="AG1389" s="8"/>
      <c r="AH1389" s="8"/>
      <c r="AI1389" s="8"/>
      <c r="AJ1389" s="8"/>
      <c r="AK1389" s="8"/>
      <c r="AL1389" s="8"/>
      <c r="AM1389" s="8"/>
      <c r="AN1389" s="8"/>
      <c r="AO1389" s="8"/>
      <c r="AP1389" s="8"/>
      <c r="AQ1389" s="8"/>
      <c r="AR1389" s="8"/>
      <c r="AS1389" s="8"/>
      <c r="AT1389" s="8"/>
      <c r="AU1389" s="8"/>
      <c r="AV1389" s="8"/>
      <c r="AW1389" s="8"/>
      <c r="AX1389" s="4" t="s">
        <v>38</v>
      </c>
      <c r="AY1389" s="5" t="s">
        <v>6215</v>
      </c>
      <c r="AZ1389" s="5" t="s">
        <v>38</v>
      </c>
      <c r="BA1389" s="12"/>
      <c r="BB1389" s="12"/>
      <c r="BC1389" s="12"/>
      <c r="BD1389" s="11">
        <v>0</v>
      </c>
      <c r="BE1389" s="11">
        <v>0</v>
      </c>
    </row>
    <row x14ac:dyDescent="0.25" r="1390" customHeight="1" ht="17.25">
      <c r="A1390" s="11">
        <v>219601</v>
      </c>
      <c r="B1390" s="4" t="s">
        <v>6216</v>
      </c>
      <c r="C1390" s="5" t="s">
        <v>6217</v>
      </c>
      <c r="D1390" s="5" t="s">
        <v>6218</v>
      </c>
      <c r="E1390" s="5" t="s">
        <v>6219</v>
      </c>
      <c r="F1390" s="13">
        <f>"193361806X"</f>
      </c>
      <c r="G1390" s="13">
        <f>"9781933618067"</f>
      </c>
      <c r="H1390" s="11">
        <v>0</v>
      </c>
      <c r="I1390" s="14">
        <v>4.09</v>
      </c>
      <c r="J1390" s="7" t="s">
        <v>6220</v>
      </c>
      <c r="K1390" s="5" t="s">
        <v>60</v>
      </c>
      <c r="L1390" s="11">
        <v>224</v>
      </c>
      <c r="M1390" s="11">
        <v>2006</v>
      </c>
      <c r="N1390" s="11">
        <v>1964</v>
      </c>
      <c r="O1390" s="15"/>
      <c r="P1390" s="8">
        <v>45115</v>
      </c>
      <c r="Q1390" s="8"/>
      <c r="R1390" s="8"/>
      <c r="S1390" s="8"/>
      <c r="T1390" s="8"/>
      <c r="U1390" s="8"/>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8"/>
      <c r="AW1390" s="8"/>
      <c r="AX1390" s="4" t="s">
        <v>38</v>
      </c>
      <c r="AY1390" s="5" t="s">
        <v>6221</v>
      </c>
      <c r="AZ1390" s="5" t="s">
        <v>38</v>
      </c>
      <c r="BA1390" s="12"/>
      <c r="BB1390" s="12"/>
      <c r="BC1390" s="12"/>
      <c r="BD1390" s="11">
        <v>0</v>
      </c>
      <c r="BE1390" s="11">
        <v>0</v>
      </c>
    </row>
    <row x14ac:dyDescent="0.25" r="1391" customHeight="1" ht="17.25">
      <c r="A1391" s="11">
        <v>48037</v>
      </c>
      <c r="B1391" s="4" t="s">
        <v>6222</v>
      </c>
      <c r="C1391" s="5" t="s">
        <v>6223</v>
      </c>
      <c r="D1391" s="5" t="s">
        <v>6224</v>
      </c>
      <c r="E1391" s="5" t="s">
        <v>6225</v>
      </c>
      <c r="F1391" s="13">
        <f>"0809510839"</f>
      </c>
      <c r="G1391" s="13">
        <f>"9780809510832"</f>
      </c>
      <c r="H1391" s="11">
        <v>0</v>
      </c>
      <c r="I1391" s="14">
        <v>3.85</v>
      </c>
      <c r="J1391" s="7" t="s">
        <v>6226</v>
      </c>
      <c r="K1391" s="5" t="s">
        <v>60</v>
      </c>
      <c r="L1391" s="11">
        <v>108</v>
      </c>
      <c r="M1391" s="11">
        <v>2000</v>
      </c>
      <c r="N1391" s="11">
        <v>1872</v>
      </c>
      <c r="O1391" s="15"/>
      <c r="P1391" s="8">
        <v>45115</v>
      </c>
      <c r="Q1391" s="8"/>
      <c r="R1391" s="8"/>
      <c r="S1391" s="8"/>
      <c r="T1391" s="8"/>
      <c r="U1391" s="8"/>
      <c r="V1391" s="8"/>
      <c r="W1391" s="8"/>
      <c r="X1391" s="8"/>
      <c r="Y1391" s="8"/>
      <c r="Z1391" s="8"/>
      <c r="AA1391" s="8"/>
      <c r="AB1391" s="8"/>
      <c r="AC1391" s="8"/>
      <c r="AD1391" s="8"/>
      <c r="AE1391" s="8"/>
      <c r="AF1391" s="8"/>
      <c r="AG1391" s="8"/>
      <c r="AH1391" s="8"/>
      <c r="AI1391" s="8"/>
      <c r="AJ1391" s="8"/>
      <c r="AK1391" s="8"/>
      <c r="AL1391" s="8"/>
      <c r="AM1391" s="8"/>
      <c r="AN1391" s="8"/>
      <c r="AO1391" s="8"/>
      <c r="AP1391" s="8"/>
      <c r="AQ1391" s="8"/>
      <c r="AR1391" s="8"/>
      <c r="AS1391" s="8"/>
      <c r="AT1391" s="8"/>
      <c r="AU1391" s="8"/>
      <c r="AV1391" s="8"/>
      <c r="AW1391" s="8"/>
      <c r="AX1391" s="4" t="s">
        <v>38</v>
      </c>
      <c r="AY1391" s="5" t="s">
        <v>6227</v>
      </c>
      <c r="AZ1391" s="5" t="s">
        <v>38</v>
      </c>
      <c r="BA1391" s="12"/>
      <c r="BB1391" s="12"/>
      <c r="BC1391" s="12"/>
      <c r="BD1391" s="11">
        <v>0</v>
      </c>
      <c r="BE1391" s="11">
        <v>0</v>
      </c>
    </row>
    <row x14ac:dyDescent="0.25" r="1392" customHeight="1" ht="17.25">
      <c r="A1392" s="11">
        <v>12390139</v>
      </c>
      <c r="B1392" s="4" t="s">
        <v>6228</v>
      </c>
      <c r="C1392" s="5" t="s">
        <v>6229</v>
      </c>
      <c r="D1392" s="5" t="s">
        <v>6230</v>
      </c>
      <c r="E1392" s="12"/>
      <c r="F1392" s="13">
        <f>"6077646083"</f>
      </c>
      <c r="G1392" s="13">
        <f>"9786077646082"</f>
      </c>
      <c r="H1392" s="11">
        <v>0</v>
      </c>
      <c r="I1392" s="14">
        <v>4.05</v>
      </c>
      <c r="J1392" s="7" t="s">
        <v>6231</v>
      </c>
      <c r="K1392" s="5" t="s">
        <v>60</v>
      </c>
      <c r="L1392" s="16"/>
      <c r="M1392" s="11">
        <v>2009</v>
      </c>
      <c r="N1392" s="16"/>
      <c r="O1392" s="15"/>
      <c r="P1392" s="8">
        <v>45115</v>
      </c>
      <c r="Q1392" s="8"/>
      <c r="R1392" s="8"/>
      <c r="S1392" s="8"/>
      <c r="T1392" s="8"/>
      <c r="U1392" s="8"/>
      <c r="V1392" s="8"/>
      <c r="W1392" s="8"/>
      <c r="X1392" s="8"/>
      <c r="Y1392" s="8"/>
      <c r="Z1392" s="8"/>
      <c r="AA1392" s="8"/>
      <c r="AB1392" s="8"/>
      <c r="AC1392" s="8"/>
      <c r="AD1392" s="8"/>
      <c r="AE1392" s="8"/>
      <c r="AF1392" s="8"/>
      <c r="AG1392" s="8"/>
      <c r="AH1392" s="8"/>
      <c r="AI1392" s="8"/>
      <c r="AJ1392" s="8"/>
      <c r="AK1392" s="8"/>
      <c r="AL1392" s="8"/>
      <c r="AM1392" s="8"/>
      <c r="AN1392" s="8"/>
      <c r="AO1392" s="8"/>
      <c r="AP1392" s="8"/>
      <c r="AQ1392" s="8"/>
      <c r="AR1392" s="8"/>
      <c r="AS1392" s="8"/>
      <c r="AT1392" s="8"/>
      <c r="AU1392" s="8"/>
      <c r="AV1392" s="8"/>
      <c r="AW1392" s="8"/>
      <c r="AX1392" s="4" t="s">
        <v>38</v>
      </c>
      <c r="AY1392" s="5" t="s">
        <v>6232</v>
      </c>
      <c r="AZ1392" s="5" t="s">
        <v>38</v>
      </c>
      <c r="BA1392" s="12"/>
      <c r="BB1392" s="12"/>
      <c r="BC1392" s="12"/>
      <c r="BD1392" s="11">
        <v>0</v>
      </c>
      <c r="BE1392" s="11">
        <v>0</v>
      </c>
    </row>
    <row x14ac:dyDescent="0.25" r="1393" customHeight="1" ht="17.25">
      <c r="A1393" s="11">
        <v>259655</v>
      </c>
      <c r="B1393" s="4" t="s">
        <v>6233</v>
      </c>
      <c r="C1393" s="5" t="s">
        <v>6234</v>
      </c>
      <c r="D1393" s="5" t="s">
        <v>6235</v>
      </c>
      <c r="E1393" s="5" t="s">
        <v>1921</v>
      </c>
      <c r="F1393" s="13">
        <f>"081011514X"</f>
      </c>
      <c r="G1393" s="13">
        <f>"9780810115149"</f>
      </c>
      <c r="H1393" s="11">
        <v>0</v>
      </c>
      <c r="I1393" s="14">
        <v>4.08</v>
      </c>
      <c r="J1393" s="7" t="s">
        <v>1922</v>
      </c>
      <c r="K1393" s="5" t="s">
        <v>60</v>
      </c>
      <c r="L1393" s="11">
        <v>199</v>
      </c>
      <c r="M1393" s="11">
        <v>1998</v>
      </c>
      <c r="N1393" s="11">
        <v>1983</v>
      </c>
      <c r="O1393" s="15"/>
      <c r="P1393" s="8">
        <v>45115</v>
      </c>
      <c r="Q1393" s="8"/>
      <c r="R1393" s="8"/>
      <c r="S1393" s="8"/>
      <c r="T1393" s="8"/>
      <c r="U1393" s="8"/>
      <c r="V1393" s="8"/>
      <c r="W1393" s="8"/>
      <c r="X1393" s="8"/>
      <c r="Y1393" s="8"/>
      <c r="Z1393" s="8"/>
      <c r="AA1393" s="8"/>
      <c r="AB1393" s="8"/>
      <c r="AC1393" s="8"/>
      <c r="AD1393" s="8"/>
      <c r="AE1393" s="8"/>
      <c r="AF1393" s="8"/>
      <c r="AG1393" s="8"/>
      <c r="AH1393" s="8"/>
      <c r="AI1393" s="8"/>
      <c r="AJ1393" s="8"/>
      <c r="AK1393" s="8"/>
      <c r="AL1393" s="8"/>
      <c r="AM1393" s="8"/>
      <c r="AN1393" s="8"/>
      <c r="AO1393" s="8"/>
      <c r="AP1393" s="8"/>
      <c r="AQ1393" s="8"/>
      <c r="AR1393" s="8"/>
      <c r="AS1393" s="8"/>
      <c r="AT1393" s="8"/>
      <c r="AU1393" s="8"/>
      <c r="AV1393" s="8"/>
      <c r="AW1393" s="8"/>
      <c r="AX1393" s="4" t="s">
        <v>38</v>
      </c>
      <c r="AY1393" s="5" t="s">
        <v>6236</v>
      </c>
      <c r="AZ1393" s="5" t="s">
        <v>38</v>
      </c>
      <c r="BA1393" s="12"/>
      <c r="BB1393" s="12"/>
      <c r="BC1393" s="12"/>
      <c r="BD1393" s="11">
        <v>0</v>
      </c>
      <c r="BE1393" s="11">
        <v>0</v>
      </c>
    </row>
    <row x14ac:dyDescent="0.25" r="1394" customHeight="1" ht="17.25">
      <c r="A1394" s="11">
        <v>59561</v>
      </c>
      <c r="B1394" s="4" t="s">
        <v>6237</v>
      </c>
      <c r="C1394" s="5" t="s">
        <v>6238</v>
      </c>
      <c r="D1394" s="5" t="s">
        <v>6239</v>
      </c>
      <c r="E1394" s="5" t="s">
        <v>6240</v>
      </c>
      <c r="F1394" s="13">
        <f>"1933693002"</f>
      </c>
      <c r="G1394" s="13">
        <f>"9781933693002"</f>
      </c>
      <c r="H1394" s="11">
        <v>0</v>
      </c>
      <c r="I1394" s="14">
        <v>3.89</v>
      </c>
      <c r="J1394" s="7" t="s">
        <v>6241</v>
      </c>
      <c r="K1394" s="5" t="s">
        <v>60</v>
      </c>
      <c r="L1394" s="11">
        <v>240</v>
      </c>
      <c r="M1394" s="11">
        <v>2006</v>
      </c>
      <c r="N1394" s="11">
        <v>1986</v>
      </c>
      <c r="O1394" s="15"/>
      <c r="P1394" s="8">
        <v>45115</v>
      </c>
      <c r="Q1394" s="8"/>
      <c r="R1394" s="8"/>
      <c r="S1394" s="8"/>
      <c r="T1394" s="8"/>
      <c r="U1394" s="8"/>
      <c r="V1394" s="8"/>
      <c r="W1394" s="8"/>
      <c r="X1394" s="8"/>
      <c r="Y1394" s="8"/>
      <c r="Z1394" s="8"/>
      <c r="AA1394" s="8"/>
      <c r="AB1394" s="8"/>
      <c r="AC1394" s="8"/>
      <c r="AD1394" s="8"/>
      <c r="AE1394" s="8"/>
      <c r="AF1394" s="8"/>
      <c r="AG1394" s="8"/>
      <c r="AH1394" s="8"/>
      <c r="AI1394" s="8"/>
      <c r="AJ1394" s="8"/>
      <c r="AK1394" s="8"/>
      <c r="AL1394" s="8"/>
      <c r="AM1394" s="8"/>
      <c r="AN1394" s="8"/>
      <c r="AO1394" s="8"/>
      <c r="AP1394" s="8"/>
      <c r="AQ1394" s="8"/>
      <c r="AR1394" s="8"/>
      <c r="AS1394" s="8"/>
      <c r="AT1394" s="8"/>
      <c r="AU1394" s="8"/>
      <c r="AV1394" s="8"/>
      <c r="AW1394" s="8"/>
      <c r="AX1394" s="4" t="s">
        <v>38</v>
      </c>
      <c r="AY1394" s="5" t="s">
        <v>6242</v>
      </c>
      <c r="AZ1394" s="5" t="s">
        <v>38</v>
      </c>
      <c r="BA1394" s="12"/>
      <c r="BB1394" s="12"/>
      <c r="BC1394" s="12"/>
      <c r="BD1394" s="11">
        <v>0</v>
      </c>
      <c r="BE1394" s="11">
        <v>0</v>
      </c>
    </row>
    <row x14ac:dyDescent="0.25" r="1395" customHeight="1" ht="17.25">
      <c r="A1395" s="11">
        <v>9632051</v>
      </c>
      <c r="B1395" s="4" t="s">
        <v>6243</v>
      </c>
      <c r="C1395" s="5" t="s">
        <v>6244</v>
      </c>
      <c r="D1395" s="5" t="s">
        <v>6245</v>
      </c>
      <c r="E1395" s="5" t="s">
        <v>6246</v>
      </c>
      <c r="F1395" s="13">
        <f>"1564786277"</f>
      </c>
      <c r="G1395" s="13">
        <f>"9781564786272"</f>
      </c>
      <c r="H1395" s="11">
        <v>0</v>
      </c>
      <c r="I1395" s="14">
        <v>4.1</v>
      </c>
      <c r="J1395" s="7" t="s">
        <v>59</v>
      </c>
      <c r="K1395" s="5" t="s">
        <v>60</v>
      </c>
      <c r="L1395" s="11">
        <v>342</v>
      </c>
      <c r="M1395" s="11">
        <v>2011</v>
      </c>
      <c r="N1395" s="11">
        <v>2007</v>
      </c>
      <c r="O1395" s="15"/>
      <c r="P1395" s="8">
        <v>45115</v>
      </c>
      <c r="Q1395" s="8"/>
      <c r="R1395" s="8"/>
      <c r="S1395" s="8"/>
      <c r="T1395" s="8"/>
      <c r="U1395" s="8"/>
      <c r="V1395" s="8"/>
      <c r="W1395" s="8"/>
      <c r="X1395" s="8"/>
      <c r="Y1395" s="8"/>
      <c r="Z1395" s="8"/>
      <c r="AA1395" s="8"/>
      <c r="AB1395" s="8"/>
      <c r="AC1395" s="8"/>
      <c r="AD1395" s="8"/>
      <c r="AE1395" s="8"/>
      <c r="AF1395" s="8"/>
      <c r="AG1395" s="8"/>
      <c r="AH1395" s="8"/>
      <c r="AI1395" s="8"/>
      <c r="AJ1395" s="8"/>
      <c r="AK1395" s="8"/>
      <c r="AL1395" s="8"/>
      <c r="AM1395" s="8"/>
      <c r="AN1395" s="8"/>
      <c r="AO1395" s="8"/>
      <c r="AP1395" s="8"/>
      <c r="AQ1395" s="8"/>
      <c r="AR1395" s="8"/>
      <c r="AS1395" s="8"/>
      <c r="AT1395" s="8"/>
      <c r="AU1395" s="8"/>
      <c r="AV1395" s="8"/>
      <c r="AW1395" s="8"/>
      <c r="AX1395" s="4" t="s">
        <v>38</v>
      </c>
      <c r="AY1395" s="5" t="s">
        <v>6247</v>
      </c>
      <c r="AZ1395" s="5" t="s">
        <v>38</v>
      </c>
      <c r="BA1395" s="12"/>
      <c r="BB1395" s="12"/>
      <c r="BC1395" s="12"/>
      <c r="BD1395" s="11">
        <v>0</v>
      </c>
      <c r="BE1395" s="11">
        <v>0</v>
      </c>
    </row>
    <row x14ac:dyDescent="0.25" r="1396" customHeight="1" ht="17.25">
      <c r="A1396" s="11">
        <v>38496507</v>
      </c>
      <c r="B1396" s="4" t="s">
        <v>6248</v>
      </c>
      <c r="C1396" s="5" t="s">
        <v>6249</v>
      </c>
      <c r="D1396" s="5" t="s">
        <v>6250</v>
      </c>
      <c r="E1396" s="12"/>
      <c r="F1396" s="13">
        <f>"0143131621"</f>
      </c>
      <c r="G1396" s="13">
        <f>"9780143131625"</f>
      </c>
      <c r="H1396" s="11">
        <v>0</v>
      </c>
      <c r="I1396" s="14">
        <v>3.64</v>
      </c>
      <c r="J1396" s="7" t="s">
        <v>263</v>
      </c>
      <c r="K1396" s="5" t="s">
        <v>60</v>
      </c>
      <c r="L1396" s="11">
        <v>304</v>
      </c>
      <c r="M1396" s="11">
        <v>2018</v>
      </c>
      <c r="N1396" s="11">
        <v>2018</v>
      </c>
      <c r="O1396" s="15"/>
      <c r="P1396" s="8">
        <v>45114</v>
      </c>
      <c r="Q1396" s="8"/>
      <c r="R1396" s="8"/>
      <c r="S1396" s="8"/>
      <c r="T1396" s="8"/>
      <c r="U1396" s="8"/>
      <c r="V1396" s="8"/>
      <c r="W1396" s="8"/>
      <c r="X1396" s="8"/>
      <c r="Y1396" s="8"/>
      <c r="Z1396" s="8"/>
      <c r="AA1396" s="8"/>
      <c r="AB1396" s="8"/>
      <c r="AC1396" s="8"/>
      <c r="AD1396" s="8"/>
      <c r="AE1396" s="8"/>
      <c r="AF1396" s="8"/>
      <c r="AG1396" s="8"/>
      <c r="AH1396" s="8"/>
      <c r="AI1396" s="8"/>
      <c r="AJ1396" s="8"/>
      <c r="AK1396" s="8"/>
      <c r="AL1396" s="8"/>
      <c r="AM1396" s="8"/>
      <c r="AN1396" s="8"/>
      <c r="AO1396" s="8"/>
      <c r="AP1396" s="8"/>
      <c r="AQ1396" s="8"/>
      <c r="AR1396" s="8"/>
      <c r="AS1396" s="8"/>
      <c r="AT1396" s="8"/>
      <c r="AU1396" s="8"/>
      <c r="AV1396" s="8"/>
      <c r="AW1396" s="8"/>
      <c r="AX1396" s="4" t="s">
        <v>38</v>
      </c>
      <c r="AY1396" s="5" t="s">
        <v>6251</v>
      </c>
      <c r="AZ1396" s="5" t="s">
        <v>38</v>
      </c>
      <c r="BA1396" s="12"/>
      <c r="BB1396" s="12"/>
      <c r="BC1396" s="12"/>
      <c r="BD1396" s="11">
        <v>0</v>
      </c>
      <c r="BE1396" s="11">
        <v>0</v>
      </c>
    </row>
    <row x14ac:dyDescent="0.25" r="1397" customHeight="1" ht="17.25">
      <c r="A1397" s="11">
        <v>51704141</v>
      </c>
      <c r="B1397" s="4" t="s">
        <v>6252</v>
      </c>
      <c r="C1397" s="5" t="s">
        <v>6253</v>
      </c>
      <c r="D1397" s="5" t="s">
        <v>6254</v>
      </c>
      <c r="E1397" s="12"/>
      <c r="F1397" s="13">
        <f>"0143135473"</f>
      </c>
      <c r="G1397" s="13">
        <f>"9780143135470"</f>
      </c>
      <c r="H1397" s="11">
        <v>0</v>
      </c>
      <c r="I1397" s="14">
        <v>3.44</v>
      </c>
      <c r="J1397" s="7" t="s">
        <v>263</v>
      </c>
      <c r="K1397" s="5" t="s">
        <v>60</v>
      </c>
      <c r="L1397" s="11">
        <v>336</v>
      </c>
      <c r="M1397" s="11">
        <v>2020</v>
      </c>
      <c r="N1397" s="11">
        <v>2020</v>
      </c>
      <c r="O1397" s="15"/>
      <c r="P1397" s="8">
        <v>45114</v>
      </c>
      <c r="Q1397" s="8"/>
      <c r="R1397" s="8"/>
      <c r="S1397" s="8"/>
      <c r="T1397" s="8"/>
      <c r="U1397" s="8"/>
      <c r="V1397" s="8"/>
      <c r="W1397" s="8"/>
      <c r="X1397" s="8"/>
      <c r="Y1397" s="8"/>
      <c r="Z1397" s="8"/>
      <c r="AA1397" s="8"/>
      <c r="AB1397" s="8"/>
      <c r="AC1397" s="8"/>
      <c r="AD1397" s="8"/>
      <c r="AE1397" s="8"/>
      <c r="AF1397" s="8"/>
      <c r="AG1397" s="8"/>
      <c r="AH1397" s="8"/>
      <c r="AI1397" s="8"/>
      <c r="AJ1397" s="8"/>
      <c r="AK1397" s="8"/>
      <c r="AL1397" s="8"/>
      <c r="AM1397" s="8"/>
      <c r="AN1397" s="8"/>
      <c r="AO1397" s="8"/>
      <c r="AP1397" s="8"/>
      <c r="AQ1397" s="8"/>
      <c r="AR1397" s="8"/>
      <c r="AS1397" s="8"/>
      <c r="AT1397" s="8"/>
      <c r="AU1397" s="8"/>
      <c r="AV1397" s="8"/>
      <c r="AW1397" s="8"/>
      <c r="AX1397" s="4" t="s">
        <v>38</v>
      </c>
      <c r="AY1397" s="5" t="s">
        <v>6255</v>
      </c>
      <c r="AZ1397" s="5" t="s">
        <v>38</v>
      </c>
      <c r="BA1397" s="12"/>
      <c r="BB1397" s="12"/>
      <c r="BC1397" s="12"/>
      <c r="BD1397" s="11">
        <v>0</v>
      </c>
      <c r="BE1397" s="11">
        <v>0</v>
      </c>
    </row>
    <row x14ac:dyDescent="0.25" r="1398" customHeight="1" ht="17.25">
      <c r="A1398" s="11">
        <v>21535268</v>
      </c>
      <c r="B1398" s="4" t="s">
        <v>6256</v>
      </c>
      <c r="C1398" s="5" t="s">
        <v>6257</v>
      </c>
      <c r="D1398" s="5" t="s">
        <v>6258</v>
      </c>
      <c r="E1398" s="12"/>
      <c r="F1398" s="13">
        <f>"014310618X"</f>
      </c>
      <c r="G1398" s="13">
        <f>"9780143106180"</f>
      </c>
      <c r="H1398" s="11">
        <v>0</v>
      </c>
      <c r="I1398" s="14">
        <v>3.53</v>
      </c>
      <c r="J1398" s="7" t="s">
        <v>263</v>
      </c>
      <c r="K1398" s="5" t="s">
        <v>60</v>
      </c>
      <c r="L1398" s="11">
        <v>319</v>
      </c>
      <c r="M1398" s="11">
        <v>2014</v>
      </c>
      <c r="N1398" s="11">
        <v>2014</v>
      </c>
      <c r="O1398" s="15"/>
      <c r="P1398" s="8">
        <v>45114</v>
      </c>
      <c r="Q1398" s="8"/>
      <c r="R1398" s="8"/>
      <c r="S1398" s="8"/>
      <c r="T1398" s="8"/>
      <c r="U1398" s="8"/>
      <c r="V1398" s="8"/>
      <c r="W1398" s="8"/>
      <c r="X1398" s="8"/>
      <c r="Y1398" s="8"/>
      <c r="Z1398" s="8"/>
      <c r="AA1398" s="8"/>
      <c r="AB1398" s="8"/>
      <c r="AC1398" s="8"/>
      <c r="AD1398" s="8"/>
      <c r="AE1398" s="8"/>
      <c r="AF1398" s="8"/>
      <c r="AG1398" s="8"/>
      <c r="AH1398" s="8"/>
      <c r="AI1398" s="8"/>
      <c r="AJ1398" s="8"/>
      <c r="AK1398" s="8"/>
      <c r="AL1398" s="8"/>
      <c r="AM1398" s="8"/>
      <c r="AN1398" s="8"/>
      <c r="AO1398" s="8"/>
      <c r="AP1398" s="8"/>
      <c r="AQ1398" s="8"/>
      <c r="AR1398" s="8"/>
      <c r="AS1398" s="8"/>
      <c r="AT1398" s="8"/>
      <c r="AU1398" s="8"/>
      <c r="AV1398" s="8"/>
      <c r="AW1398" s="8"/>
      <c r="AX1398" s="4" t="s">
        <v>38</v>
      </c>
      <c r="AY1398" s="5" t="s">
        <v>6259</v>
      </c>
      <c r="AZ1398" s="5" t="s">
        <v>38</v>
      </c>
      <c r="BA1398" s="12"/>
      <c r="BB1398" s="12"/>
      <c r="BC1398" s="12"/>
      <c r="BD1398" s="11">
        <v>0</v>
      </c>
      <c r="BE1398" s="11">
        <v>0</v>
      </c>
    </row>
    <row x14ac:dyDescent="0.25" r="1399" customHeight="1" ht="17.25">
      <c r="A1399" s="11">
        <v>9814</v>
      </c>
      <c r="B1399" s="4" t="s">
        <v>6260</v>
      </c>
      <c r="C1399" s="5" t="s">
        <v>5750</v>
      </c>
      <c r="D1399" s="5" t="s">
        <v>5751</v>
      </c>
      <c r="E1399" s="12"/>
      <c r="F1399" s="13">
        <f>"0679743499"</f>
      </c>
      <c r="G1399" s="13">
        <f>"9780679743491"</f>
      </c>
      <c r="H1399" s="11">
        <v>0</v>
      </c>
      <c r="I1399" s="14">
        <v>3.84</v>
      </c>
      <c r="J1399" s="7" t="s">
        <v>114</v>
      </c>
      <c r="K1399" s="5" t="s">
        <v>60</v>
      </c>
      <c r="L1399" s="11">
        <v>288</v>
      </c>
      <c r="M1399" s="11">
        <v>2001</v>
      </c>
      <c r="N1399" s="11">
        <v>1991</v>
      </c>
      <c r="O1399" s="15"/>
      <c r="P1399" s="8">
        <v>45114</v>
      </c>
      <c r="Q1399" s="8"/>
      <c r="R1399" s="8"/>
      <c r="S1399" s="8"/>
      <c r="T1399" s="8"/>
      <c r="U1399" s="8"/>
      <c r="V1399" s="8"/>
      <c r="W1399" s="8"/>
      <c r="X1399" s="8"/>
      <c r="Y1399" s="8"/>
      <c r="Z1399" s="8"/>
      <c r="AA1399" s="8"/>
      <c r="AB1399" s="8"/>
      <c r="AC1399" s="8"/>
      <c r="AD1399" s="8"/>
      <c r="AE1399" s="8"/>
      <c r="AF1399" s="8"/>
      <c r="AG1399" s="8"/>
      <c r="AH1399" s="8"/>
      <c r="AI1399" s="8"/>
      <c r="AJ1399" s="8"/>
      <c r="AK1399" s="8"/>
      <c r="AL1399" s="8"/>
      <c r="AM1399" s="8"/>
      <c r="AN1399" s="8"/>
      <c r="AO1399" s="8"/>
      <c r="AP1399" s="8"/>
      <c r="AQ1399" s="8"/>
      <c r="AR1399" s="8"/>
      <c r="AS1399" s="8"/>
      <c r="AT1399" s="8"/>
      <c r="AU1399" s="8"/>
      <c r="AV1399" s="8"/>
      <c r="AW1399" s="8"/>
      <c r="AX1399" s="4" t="s">
        <v>38</v>
      </c>
      <c r="AY1399" s="5" t="s">
        <v>6261</v>
      </c>
      <c r="AZ1399" s="5" t="s">
        <v>38</v>
      </c>
      <c r="BA1399" s="12"/>
      <c r="BB1399" s="12"/>
      <c r="BC1399" s="12"/>
      <c r="BD1399" s="11">
        <v>0</v>
      </c>
      <c r="BE1399" s="11">
        <v>0</v>
      </c>
    </row>
    <row x14ac:dyDescent="0.25" r="1400" customHeight="1" ht="17.25">
      <c r="A1400" s="11">
        <v>984015</v>
      </c>
      <c r="B1400" s="4" t="s">
        <v>6262</v>
      </c>
      <c r="C1400" s="5" t="s">
        <v>6263</v>
      </c>
      <c r="D1400" s="5" t="s">
        <v>6264</v>
      </c>
      <c r="E1400" s="5" t="s">
        <v>2667</v>
      </c>
      <c r="F1400" s="13">
        <f>"0940322501"</f>
      </c>
      <c r="G1400" s="13">
        <f>"9780940322509"</f>
      </c>
      <c r="H1400" s="11">
        <v>0</v>
      </c>
      <c r="I1400" s="14">
        <v>4.18</v>
      </c>
      <c r="J1400" s="7" t="s">
        <v>108</v>
      </c>
      <c r="K1400" s="5" t="s">
        <v>60</v>
      </c>
      <c r="L1400" s="11">
        <v>264</v>
      </c>
      <c r="M1400" s="11">
        <v>2000</v>
      </c>
      <c r="N1400" s="11">
        <v>1799</v>
      </c>
      <c r="O1400" s="15"/>
      <c r="P1400" s="8">
        <v>45114</v>
      </c>
      <c r="Q1400" s="8"/>
      <c r="R1400" s="8"/>
      <c r="S1400" s="8"/>
      <c r="T1400" s="8"/>
      <c r="U1400" s="8"/>
      <c r="V1400" s="8"/>
      <c r="W1400" s="8"/>
      <c r="X1400" s="8"/>
      <c r="Y1400" s="8"/>
      <c r="Z1400" s="8"/>
      <c r="AA1400" s="8"/>
      <c r="AB1400" s="8"/>
      <c r="AC1400" s="8"/>
      <c r="AD1400" s="8"/>
      <c r="AE1400" s="8"/>
      <c r="AF1400" s="8"/>
      <c r="AG1400" s="8"/>
      <c r="AH1400" s="8"/>
      <c r="AI1400" s="8"/>
      <c r="AJ1400" s="8"/>
      <c r="AK1400" s="8"/>
      <c r="AL1400" s="8"/>
      <c r="AM1400" s="8"/>
      <c r="AN1400" s="8"/>
      <c r="AO1400" s="8"/>
      <c r="AP1400" s="8"/>
      <c r="AQ1400" s="8"/>
      <c r="AR1400" s="8"/>
      <c r="AS1400" s="8"/>
      <c r="AT1400" s="8"/>
      <c r="AU1400" s="8"/>
      <c r="AV1400" s="8"/>
      <c r="AW1400" s="8"/>
      <c r="AX1400" s="4" t="s">
        <v>38</v>
      </c>
      <c r="AY1400" s="5" t="s">
        <v>6265</v>
      </c>
      <c r="AZ1400" s="5" t="s">
        <v>38</v>
      </c>
      <c r="BA1400" s="12"/>
      <c r="BB1400" s="12"/>
      <c r="BC1400" s="12"/>
      <c r="BD1400" s="11">
        <v>0</v>
      </c>
      <c r="BE1400" s="11">
        <v>0</v>
      </c>
    </row>
    <row x14ac:dyDescent="0.25" r="1401" customHeight="1" ht="17.25">
      <c r="A1401" s="11">
        <v>1704206</v>
      </c>
      <c r="B1401" s="4" t="s">
        <v>6266</v>
      </c>
      <c r="C1401" s="5" t="s">
        <v>6267</v>
      </c>
      <c r="D1401" s="5" t="s">
        <v>6268</v>
      </c>
      <c r="E1401" s="5" t="s">
        <v>6269</v>
      </c>
      <c r="F1401" s="13">
        <f>"0821210920"</f>
      </c>
      <c r="G1401" s="13">
        <f>"9780821210925"</f>
      </c>
      <c r="H1401" s="11">
        <v>0</v>
      </c>
      <c r="I1401" s="14">
        <v>4.18</v>
      </c>
      <c r="J1401" s="7" t="s">
        <v>6270</v>
      </c>
      <c r="K1401" s="5" t="s">
        <v>72</v>
      </c>
      <c r="L1401" s="11">
        <v>203</v>
      </c>
      <c r="M1401" s="11">
        <v>1980</v>
      </c>
      <c r="N1401" s="11">
        <v>1980</v>
      </c>
      <c r="O1401" s="15"/>
      <c r="P1401" s="8">
        <v>44018</v>
      </c>
      <c r="Q1401" s="8"/>
      <c r="R1401" s="8"/>
      <c r="S1401" s="8"/>
      <c r="T1401" s="8"/>
      <c r="U1401" s="8"/>
      <c r="V1401" s="8"/>
      <c r="W1401" s="8"/>
      <c r="X1401" s="8"/>
      <c r="Y1401" s="8"/>
      <c r="Z1401" s="8"/>
      <c r="AA1401" s="8"/>
      <c r="AB1401" s="8"/>
      <c r="AC1401" s="8"/>
      <c r="AD1401" s="8"/>
      <c r="AE1401" s="8"/>
      <c r="AF1401" s="8"/>
      <c r="AG1401" s="8"/>
      <c r="AH1401" s="8"/>
      <c r="AI1401" s="8"/>
      <c r="AJ1401" s="8"/>
      <c r="AK1401" s="8"/>
      <c r="AL1401" s="8"/>
      <c r="AM1401" s="8"/>
      <c r="AN1401" s="8"/>
      <c r="AO1401" s="8"/>
      <c r="AP1401" s="8"/>
      <c r="AQ1401" s="8"/>
      <c r="AR1401" s="8"/>
      <c r="AS1401" s="8"/>
      <c r="AT1401" s="8"/>
      <c r="AU1401" s="8"/>
      <c r="AV1401" s="8"/>
      <c r="AW1401" s="8"/>
      <c r="AX1401" s="4" t="s">
        <v>6271</v>
      </c>
      <c r="AY1401" s="5" t="s">
        <v>6272</v>
      </c>
      <c r="AZ1401" s="5" t="s">
        <v>38</v>
      </c>
      <c r="BA1401" s="12"/>
      <c r="BB1401" s="12"/>
      <c r="BC1401" s="12"/>
      <c r="BD1401" s="11">
        <v>0</v>
      </c>
      <c r="BE1401" s="11">
        <v>0</v>
      </c>
    </row>
    <row x14ac:dyDescent="0.25" r="1402" customHeight="1" ht="17.25">
      <c r="A1402" s="11">
        <v>43666740</v>
      </c>
      <c r="B1402" s="4" t="s">
        <v>6273</v>
      </c>
      <c r="C1402" s="5" t="s">
        <v>6274</v>
      </c>
      <c r="D1402" s="5" t="s">
        <v>6275</v>
      </c>
      <c r="E1402" s="5" t="s">
        <v>6276</v>
      </c>
      <c r="F1402" s="13">
        <f>""</f>
      </c>
      <c r="G1402" s="13">
        <f>""</f>
      </c>
      <c r="H1402" s="11">
        <v>0</v>
      </c>
      <c r="I1402" s="14">
        <v>4.51</v>
      </c>
      <c r="J1402" s="7" t="s">
        <v>6277</v>
      </c>
      <c r="K1402" s="5" t="s">
        <v>90</v>
      </c>
      <c r="L1402" s="11">
        <v>308</v>
      </c>
      <c r="M1402" s="11">
        <v>2019</v>
      </c>
      <c r="N1402" s="11">
        <v>2012</v>
      </c>
      <c r="O1402" s="15"/>
      <c r="P1402" s="8">
        <v>43934</v>
      </c>
      <c r="Q1402" s="8"/>
      <c r="R1402" s="8"/>
      <c r="S1402" s="8"/>
      <c r="T1402" s="8"/>
      <c r="U1402" s="8"/>
      <c r="V1402" s="8"/>
      <c r="W1402" s="8"/>
      <c r="X1402" s="8"/>
      <c r="Y1402" s="8"/>
      <c r="Z1402" s="8"/>
      <c r="AA1402" s="8"/>
      <c r="AB1402" s="8"/>
      <c r="AC1402" s="8"/>
      <c r="AD1402" s="8"/>
      <c r="AE1402" s="8"/>
      <c r="AF1402" s="8"/>
      <c r="AG1402" s="8"/>
      <c r="AH1402" s="8"/>
      <c r="AI1402" s="8"/>
      <c r="AJ1402" s="8"/>
      <c r="AK1402" s="8"/>
      <c r="AL1402" s="8"/>
      <c r="AM1402" s="8"/>
      <c r="AN1402" s="8"/>
      <c r="AO1402" s="8"/>
      <c r="AP1402" s="8"/>
      <c r="AQ1402" s="8"/>
      <c r="AR1402" s="8"/>
      <c r="AS1402" s="8"/>
      <c r="AT1402" s="8"/>
      <c r="AU1402" s="8"/>
      <c r="AV1402" s="8"/>
      <c r="AW1402" s="8"/>
      <c r="AX1402" s="4" t="s">
        <v>2566</v>
      </c>
      <c r="AY1402" s="5" t="s">
        <v>6278</v>
      </c>
      <c r="AZ1402" s="5" t="s">
        <v>38</v>
      </c>
      <c r="BA1402" s="12"/>
      <c r="BB1402" s="12"/>
      <c r="BC1402" s="12"/>
      <c r="BD1402" s="11">
        <v>0</v>
      </c>
      <c r="BE1402" s="11">
        <v>0</v>
      </c>
    </row>
    <row x14ac:dyDescent="0.25" r="1403" customHeight="1" ht="17.25">
      <c r="A1403" s="11">
        <v>382593</v>
      </c>
      <c r="B1403" s="4" t="s">
        <v>6279</v>
      </c>
      <c r="C1403" s="5" t="s">
        <v>6280</v>
      </c>
      <c r="D1403" s="5" t="s">
        <v>6281</v>
      </c>
      <c r="E1403" s="12"/>
      <c r="F1403" s="13">
        <f>"0806523263"</f>
      </c>
      <c r="G1403" s="13">
        <f>"9780806523262"</f>
      </c>
      <c r="H1403" s="11">
        <v>0</v>
      </c>
      <c r="I1403" s="14">
        <v>4.06</v>
      </c>
      <c r="J1403" s="7" t="s">
        <v>6282</v>
      </c>
      <c r="K1403" s="5" t="s">
        <v>60</v>
      </c>
      <c r="L1403" s="11">
        <v>256</v>
      </c>
      <c r="M1403" s="11">
        <v>2002</v>
      </c>
      <c r="N1403" s="11">
        <v>1934</v>
      </c>
      <c r="O1403" s="15"/>
      <c r="P1403" s="8">
        <v>45113</v>
      </c>
      <c r="Q1403" s="8"/>
      <c r="R1403" s="8"/>
      <c r="S1403" s="8"/>
      <c r="T1403" s="8"/>
      <c r="U1403" s="8"/>
      <c r="V1403" s="8"/>
      <c r="W1403" s="8"/>
      <c r="X1403" s="8"/>
      <c r="Y1403" s="8"/>
      <c r="Z1403" s="8"/>
      <c r="AA1403" s="8"/>
      <c r="AB1403" s="8"/>
      <c r="AC1403" s="8"/>
      <c r="AD1403" s="8"/>
      <c r="AE1403" s="8"/>
      <c r="AF1403" s="8"/>
      <c r="AG1403" s="8"/>
      <c r="AH1403" s="8"/>
      <c r="AI1403" s="8"/>
      <c r="AJ1403" s="8"/>
      <c r="AK1403" s="8"/>
      <c r="AL1403" s="8"/>
      <c r="AM1403" s="8"/>
      <c r="AN1403" s="8"/>
      <c r="AO1403" s="8"/>
      <c r="AP1403" s="8"/>
      <c r="AQ1403" s="8"/>
      <c r="AR1403" s="8"/>
      <c r="AS1403" s="8"/>
      <c r="AT1403" s="8"/>
      <c r="AU1403" s="8"/>
      <c r="AV1403" s="8"/>
      <c r="AW1403" s="8"/>
      <c r="AX1403" s="4" t="s">
        <v>38</v>
      </c>
      <c r="AY1403" s="5" t="s">
        <v>6283</v>
      </c>
      <c r="AZ1403" s="5" t="s">
        <v>38</v>
      </c>
      <c r="BA1403" s="12"/>
      <c r="BB1403" s="12"/>
      <c r="BC1403" s="12"/>
      <c r="BD1403" s="11">
        <v>0</v>
      </c>
      <c r="BE1403" s="11">
        <v>0</v>
      </c>
    </row>
    <row x14ac:dyDescent="0.25" r="1404" customHeight="1" ht="17.25">
      <c r="A1404" s="11">
        <v>37561945</v>
      </c>
      <c r="B1404" s="4" t="s">
        <v>3276</v>
      </c>
      <c r="C1404" s="5" t="s">
        <v>3277</v>
      </c>
      <c r="D1404" s="5" t="s">
        <v>3278</v>
      </c>
      <c r="E1404" s="12"/>
      <c r="F1404" s="13">
        <f>"0190675578"</f>
      </c>
      <c r="G1404" s="13">
        <f>"9780190675578"</f>
      </c>
      <c r="H1404" s="11">
        <v>0</v>
      </c>
      <c r="I1404" s="14">
        <v>4.41</v>
      </c>
      <c r="J1404" s="7" t="s">
        <v>245</v>
      </c>
      <c r="K1404" s="5" t="s">
        <v>90</v>
      </c>
      <c r="L1404" s="11">
        <v>270</v>
      </c>
      <c r="M1404" s="11">
        <v>2017</v>
      </c>
      <c r="N1404" s="11">
        <v>2017</v>
      </c>
      <c r="O1404" s="15"/>
      <c r="P1404" s="8">
        <v>45113</v>
      </c>
      <c r="Q1404" s="8"/>
      <c r="R1404" s="8"/>
      <c r="S1404" s="8"/>
      <c r="T1404" s="8"/>
      <c r="U1404" s="8"/>
      <c r="V1404" s="8"/>
      <c r="W1404" s="8"/>
      <c r="X1404" s="8"/>
      <c r="Y1404" s="8"/>
      <c r="Z1404" s="8"/>
      <c r="AA1404" s="8"/>
      <c r="AB1404" s="8"/>
      <c r="AC1404" s="8"/>
      <c r="AD1404" s="8"/>
      <c r="AE1404" s="8"/>
      <c r="AF1404" s="8"/>
      <c r="AG1404" s="8"/>
      <c r="AH1404" s="8"/>
      <c r="AI1404" s="8"/>
      <c r="AJ1404" s="8"/>
      <c r="AK1404" s="8"/>
      <c r="AL1404" s="8"/>
      <c r="AM1404" s="8"/>
      <c r="AN1404" s="8"/>
      <c r="AO1404" s="8"/>
      <c r="AP1404" s="8"/>
      <c r="AQ1404" s="8"/>
      <c r="AR1404" s="8"/>
      <c r="AS1404" s="8"/>
      <c r="AT1404" s="8"/>
      <c r="AU1404" s="8"/>
      <c r="AV1404" s="8"/>
      <c r="AW1404" s="8"/>
      <c r="AX1404" s="4" t="s">
        <v>38</v>
      </c>
      <c r="AY1404" s="5" t="s">
        <v>6284</v>
      </c>
      <c r="AZ1404" s="5" t="s">
        <v>38</v>
      </c>
      <c r="BA1404" s="12"/>
      <c r="BB1404" s="12"/>
      <c r="BC1404" s="12"/>
      <c r="BD1404" s="11">
        <v>0</v>
      </c>
      <c r="BE1404" s="11">
        <v>0</v>
      </c>
    </row>
    <row x14ac:dyDescent="0.25" r="1405" customHeight="1" ht="17.25">
      <c r="A1405" s="11">
        <v>75616707</v>
      </c>
      <c r="B1405" s="4" t="s">
        <v>6285</v>
      </c>
      <c r="C1405" s="5" t="s">
        <v>3545</v>
      </c>
      <c r="D1405" s="5" t="s">
        <v>6286</v>
      </c>
      <c r="E1405" s="12"/>
      <c r="F1405" s="13">
        <f>"1032131276"</f>
      </c>
      <c r="G1405" s="13">
        <f>"9781032131276"</f>
      </c>
      <c r="H1405" s="11">
        <v>0</v>
      </c>
      <c r="I1405" s="11">
        <v>5</v>
      </c>
      <c r="J1405" s="18"/>
      <c r="K1405" s="5" t="s">
        <v>60</v>
      </c>
      <c r="L1405" s="16"/>
      <c r="M1405" s="11">
        <v>2022</v>
      </c>
      <c r="N1405" s="16"/>
      <c r="O1405" s="15"/>
      <c r="P1405" s="8">
        <v>45113</v>
      </c>
      <c r="Q1405" s="8"/>
      <c r="R1405" s="8"/>
      <c r="S1405" s="8"/>
      <c r="T1405" s="8"/>
      <c r="U1405" s="8"/>
      <c r="V1405" s="8"/>
      <c r="W1405" s="8"/>
      <c r="X1405" s="8"/>
      <c r="Y1405" s="8"/>
      <c r="Z1405" s="8"/>
      <c r="AA1405" s="8"/>
      <c r="AB1405" s="8"/>
      <c r="AC1405" s="8"/>
      <c r="AD1405" s="8"/>
      <c r="AE1405" s="8"/>
      <c r="AF1405" s="8"/>
      <c r="AG1405" s="8"/>
      <c r="AH1405" s="8"/>
      <c r="AI1405" s="8"/>
      <c r="AJ1405" s="8"/>
      <c r="AK1405" s="8"/>
      <c r="AL1405" s="8"/>
      <c r="AM1405" s="8"/>
      <c r="AN1405" s="8"/>
      <c r="AO1405" s="8"/>
      <c r="AP1405" s="8"/>
      <c r="AQ1405" s="8"/>
      <c r="AR1405" s="8"/>
      <c r="AS1405" s="8"/>
      <c r="AT1405" s="8"/>
      <c r="AU1405" s="8"/>
      <c r="AV1405" s="8"/>
      <c r="AW1405" s="8"/>
      <c r="AX1405" s="4" t="s">
        <v>38</v>
      </c>
      <c r="AY1405" s="5" t="s">
        <v>6287</v>
      </c>
      <c r="AZ1405" s="5" t="s">
        <v>38</v>
      </c>
      <c r="BA1405" s="12"/>
      <c r="BB1405" s="12"/>
      <c r="BC1405" s="12"/>
      <c r="BD1405" s="11">
        <v>0</v>
      </c>
      <c r="BE1405" s="11">
        <v>0</v>
      </c>
    </row>
    <row x14ac:dyDescent="0.25" r="1406" customHeight="1" ht="17.25">
      <c r="A1406" s="11">
        <v>2098165</v>
      </c>
      <c r="B1406" s="4" t="s">
        <v>6288</v>
      </c>
      <c r="C1406" s="5" t="s">
        <v>6289</v>
      </c>
      <c r="D1406" s="5" t="s">
        <v>6290</v>
      </c>
      <c r="E1406" s="12"/>
      <c r="F1406" s="13">
        <f>"0486262987"</f>
      </c>
      <c r="G1406" s="13">
        <f>"9780486262987"</f>
      </c>
      <c r="H1406" s="11">
        <v>0</v>
      </c>
      <c r="I1406" s="14">
        <v>3.65</v>
      </c>
      <c r="J1406" s="7" t="s">
        <v>571</v>
      </c>
      <c r="K1406" s="5" t="s">
        <v>60</v>
      </c>
      <c r="L1406" s="11">
        <v>336</v>
      </c>
      <c r="M1406" s="11">
        <v>1990</v>
      </c>
      <c r="N1406" s="11">
        <v>1957</v>
      </c>
      <c r="O1406" s="15"/>
      <c r="P1406" s="8">
        <v>45113</v>
      </c>
      <c r="Q1406" s="8"/>
      <c r="R1406" s="8"/>
      <c r="S1406" s="8"/>
      <c r="T1406" s="8"/>
      <c r="U1406" s="8"/>
      <c r="V1406" s="8"/>
      <c r="W1406" s="8"/>
      <c r="X1406" s="8"/>
      <c r="Y1406" s="8"/>
      <c r="Z1406" s="8"/>
      <c r="AA1406" s="8"/>
      <c r="AB1406" s="8"/>
      <c r="AC1406" s="8"/>
      <c r="AD1406" s="8"/>
      <c r="AE1406" s="8"/>
      <c r="AF1406" s="8"/>
      <c r="AG1406" s="8"/>
      <c r="AH1406" s="8"/>
      <c r="AI1406" s="8"/>
      <c r="AJ1406" s="8"/>
      <c r="AK1406" s="8"/>
      <c r="AL1406" s="8"/>
      <c r="AM1406" s="8"/>
      <c r="AN1406" s="8"/>
      <c r="AO1406" s="8"/>
      <c r="AP1406" s="8"/>
      <c r="AQ1406" s="8"/>
      <c r="AR1406" s="8"/>
      <c r="AS1406" s="8"/>
      <c r="AT1406" s="8"/>
      <c r="AU1406" s="8"/>
      <c r="AV1406" s="8"/>
      <c r="AW1406" s="8"/>
      <c r="AX1406" s="4" t="s">
        <v>38</v>
      </c>
      <c r="AY1406" s="5" t="s">
        <v>6291</v>
      </c>
      <c r="AZ1406" s="5" t="s">
        <v>38</v>
      </c>
      <c r="BA1406" s="12"/>
      <c r="BB1406" s="12"/>
      <c r="BC1406" s="12"/>
      <c r="BD1406" s="11">
        <v>0</v>
      </c>
      <c r="BE1406" s="11">
        <v>0</v>
      </c>
    </row>
    <row x14ac:dyDescent="0.25" r="1407" customHeight="1" ht="17.25">
      <c r="A1407" s="11">
        <v>19924237</v>
      </c>
      <c r="B1407" s="4" t="s">
        <v>2304</v>
      </c>
      <c r="C1407" s="5" t="s">
        <v>2305</v>
      </c>
      <c r="D1407" s="5" t="s">
        <v>2306</v>
      </c>
      <c r="E1407" s="12"/>
      <c r="F1407" s="13">
        <f>""</f>
      </c>
      <c r="G1407" s="13">
        <f>"0971487555461"</f>
      </c>
      <c r="H1407" s="11">
        <v>0</v>
      </c>
      <c r="I1407" s="14">
        <v>4.06</v>
      </c>
      <c r="J1407" s="7" t="s">
        <v>2166</v>
      </c>
      <c r="K1407" s="5" t="s">
        <v>60</v>
      </c>
      <c r="L1407" s="11">
        <v>352</v>
      </c>
      <c r="M1407" s="11">
        <v>2010</v>
      </c>
      <c r="N1407" s="11">
        <v>1994</v>
      </c>
      <c r="O1407" s="15"/>
      <c r="P1407" s="8">
        <v>45113</v>
      </c>
      <c r="Q1407" s="8"/>
      <c r="R1407" s="8"/>
      <c r="S1407" s="8"/>
      <c r="T1407" s="8"/>
      <c r="U1407" s="8"/>
      <c r="V1407" s="8"/>
      <c r="W1407" s="8"/>
      <c r="X1407" s="8"/>
      <c r="Y1407" s="8"/>
      <c r="Z1407" s="8"/>
      <c r="AA1407" s="8"/>
      <c r="AB1407" s="8"/>
      <c r="AC1407" s="8"/>
      <c r="AD1407" s="8"/>
      <c r="AE1407" s="8"/>
      <c r="AF1407" s="8"/>
      <c r="AG1407" s="8"/>
      <c r="AH1407" s="8"/>
      <c r="AI1407" s="8"/>
      <c r="AJ1407" s="8"/>
      <c r="AK1407" s="8"/>
      <c r="AL1407" s="8"/>
      <c r="AM1407" s="8"/>
      <c r="AN1407" s="8"/>
      <c r="AO1407" s="8"/>
      <c r="AP1407" s="8"/>
      <c r="AQ1407" s="8"/>
      <c r="AR1407" s="8"/>
      <c r="AS1407" s="8"/>
      <c r="AT1407" s="8"/>
      <c r="AU1407" s="8"/>
      <c r="AV1407" s="8"/>
      <c r="AW1407" s="8"/>
      <c r="AX1407" s="4" t="s">
        <v>38</v>
      </c>
      <c r="AY1407" s="5" t="s">
        <v>6292</v>
      </c>
      <c r="AZ1407" s="5" t="s">
        <v>38</v>
      </c>
      <c r="BA1407" s="12"/>
      <c r="BB1407" s="12"/>
      <c r="BC1407" s="12"/>
      <c r="BD1407" s="11">
        <v>0</v>
      </c>
      <c r="BE1407" s="11">
        <v>0</v>
      </c>
    </row>
    <row x14ac:dyDescent="0.25" r="1408" customHeight="1" ht="17.25">
      <c r="A1408" s="11">
        <v>6568056</v>
      </c>
      <c r="B1408" s="4" t="s">
        <v>6293</v>
      </c>
      <c r="C1408" s="5" t="s">
        <v>4273</v>
      </c>
      <c r="D1408" s="5" t="s">
        <v>4274</v>
      </c>
      <c r="E1408" s="12"/>
      <c r="F1408" s="13">
        <f>""</f>
      </c>
      <c r="G1408" s="13">
        <f>""</f>
      </c>
      <c r="H1408" s="11">
        <v>0</v>
      </c>
      <c r="I1408" s="14">
        <v>4.21</v>
      </c>
      <c r="J1408" s="7" t="s">
        <v>2044</v>
      </c>
      <c r="K1408" s="5" t="s">
        <v>90</v>
      </c>
      <c r="L1408" s="11">
        <v>448</v>
      </c>
      <c r="M1408" s="11">
        <v>2006</v>
      </c>
      <c r="N1408" s="11">
        <v>2004</v>
      </c>
      <c r="O1408" s="15"/>
      <c r="P1408" s="8">
        <v>45113</v>
      </c>
      <c r="Q1408" s="8"/>
      <c r="R1408" s="8"/>
      <c r="S1408" s="8"/>
      <c r="T1408" s="8"/>
      <c r="U1408" s="8"/>
      <c r="V1408" s="8"/>
      <c r="W1408" s="8"/>
      <c r="X1408" s="8"/>
      <c r="Y1408" s="8"/>
      <c r="Z1408" s="8"/>
      <c r="AA1408" s="8"/>
      <c r="AB1408" s="8"/>
      <c r="AC1408" s="8"/>
      <c r="AD1408" s="8"/>
      <c r="AE1408" s="8"/>
      <c r="AF1408" s="8"/>
      <c r="AG1408" s="8"/>
      <c r="AH1408" s="8"/>
      <c r="AI1408" s="8"/>
      <c r="AJ1408" s="8"/>
      <c r="AK1408" s="8"/>
      <c r="AL1408" s="8"/>
      <c r="AM1408" s="8"/>
      <c r="AN1408" s="8"/>
      <c r="AO1408" s="8"/>
      <c r="AP1408" s="8"/>
      <c r="AQ1408" s="8"/>
      <c r="AR1408" s="8"/>
      <c r="AS1408" s="8"/>
      <c r="AT1408" s="8"/>
      <c r="AU1408" s="8"/>
      <c r="AV1408" s="8"/>
      <c r="AW1408" s="8"/>
      <c r="AX1408" s="4" t="s">
        <v>38</v>
      </c>
      <c r="AY1408" s="5" t="s">
        <v>6294</v>
      </c>
      <c r="AZ1408" s="5" t="s">
        <v>38</v>
      </c>
      <c r="BA1408" s="12"/>
      <c r="BB1408" s="12"/>
      <c r="BC1408" s="12"/>
      <c r="BD1408" s="11">
        <v>0</v>
      </c>
      <c r="BE1408" s="11">
        <v>0</v>
      </c>
    </row>
    <row x14ac:dyDescent="0.25" r="1409" customHeight="1" ht="17.25">
      <c r="A1409" s="11">
        <v>128409437</v>
      </c>
      <c r="B1409" s="4" t="s">
        <v>3539</v>
      </c>
      <c r="C1409" s="5" t="s">
        <v>3540</v>
      </c>
      <c r="D1409" s="5" t="s">
        <v>3541</v>
      </c>
      <c r="E1409" s="12"/>
      <c r="F1409" s="13">
        <f>""</f>
      </c>
      <c r="G1409" s="13">
        <f>""</f>
      </c>
      <c r="H1409" s="11">
        <v>0</v>
      </c>
      <c r="I1409" s="14">
        <v>4.18</v>
      </c>
      <c r="J1409" s="7" t="s">
        <v>6295</v>
      </c>
      <c r="K1409" s="5" t="s">
        <v>60</v>
      </c>
      <c r="L1409" s="16"/>
      <c r="M1409" s="11">
        <v>1961</v>
      </c>
      <c r="N1409" s="11">
        <v>1959</v>
      </c>
      <c r="O1409" s="15"/>
      <c r="P1409" s="8">
        <v>45113</v>
      </c>
      <c r="Q1409" s="8"/>
      <c r="R1409" s="8"/>
      <c r="S1409" s="8"/>
      <c r="T1409" s="8"/>
      <c r="U1409" s="8"/>
      <c r="V1409" s="8"/>
      <c r="W1409" s="8"/>
      <c r="X1409" s="8"/>
      <c r="Y1409" s="8"/>
      <c r="Z1409" s="8"/>
      <c r="AA1409" s="8"/>
      <c r="AB1409" s="8"/>
      <c r="AC1409" s="8"/>
      <c r="AD1409" s="8"/>
      <c r="AE1409" s="8"/>
      <c r="AF1409" s="8"/>
      <c r="AG1409" s="8"/>
      <c r="AH1409" s="8"/>
      <c r="AI1409" s="8"/>
      <c r="AJ1409" s="8"/>
      <c r="AK1409" s="8"/>
      <c r="AL1409" s="8"/>
      <c r="AM1409" s="8"/>
      <c r="AN1409" s="8"/>
      <c r="AO1409" s="8"/>
      <c r="AP1409" s="8"/>
      <c r="AQ1409" s="8"/>
      <c r="AR1409" s="8"/>
      <c r="AS1409" s="8"/>
      <c r="AT1409" s="8"/>
      <c r="AU1409" s="8"/>
      <c r="AV1409" s="8"/>
      <c r="AW1409" s="8"/>
      <c r="AX1409" s="4" t="s">
        <v>38</v>
      </c>
      <c r="AY1409" s="5" t="s">
        <v>6296</v>
      </c>
      <c r="AZ1409" s="5" t="s">
        <v>38</v>
      </c>
      <c r="BA1409" s="12"/>
      <c r="BB1409" s="12"/>
      <c r="BC1409" s="12"/>
      <c r="BD1409" s="11">
        <v>0</v>
      </c>
      <c r="BE1409" s="11">
        <v>0</v>
      </c>
    </row>
    <row x14ac:dyDescent="0.25" r="1410" customHeight="1" ht="17.25">
      <c r="A1410" s="11">
        <v>50092815</v>
      </c>
      <c r="B1410" s="4" t="s">
        <v>3622</v>
      </c>
      <c r="C1410" s="5" t="s">
        <v>3623</v>
      </c>
      <c r="D1410" s="5" t="s">
        <v>3624</v>
      </c>
      <c r="E1410" s="5" t="s">
        <v>3625</v>
      </c>
      <c r="F1410" s="13">
        <f>""</f>
      </c>
      <c r="G1410" s="13">
        <f>""</f>
      </c>
      <c r="H1410" s="11">
        <v>0</v>
      </c>
      <c r="I1410" s="14">
        <v>3.42</v>
      </c>
      <c r="J1410" s="7" t="s">
        <v>3626</v>
      </c>
      <c r="K1410" s="5" t="s">
        <v>90</v>
      </c>
      <c r="L1410" s="11">
        <v>160</v>
      </c>
      <c r="M1410" s="11">
        <v>2015</v>
      </c>
      <c r="N1410" s="11">
        <v>2015</v>
      </c>
      <c r="O1410" s="15"/>
      <c r="P1410" s="8">
        <v>45113</v>
      </c>
      <c r="Q1410" s="8"/>
      <c r="R1410" s="8"/>
      <c r="S1410" s="8"/>
      <c r="T1410" s="8"/>
      <c r="U1410" s="8"/>
      <c r="V1410" s="8"/>
      <c r="W1410" s="8"/>
      <c r="X1410" s="8"/>
      <c r="Y1410" s="8"/>
      <c r="Z1410" s="8"/>
      <c r="AA1410" s="8"/>
      <c r="AB1410" s="8"/>
      <c r="AC1410" s="8"/>
      <c r="AD1410" s="8"/>
      <c r="AE1410" s="8"/>
      <c r="AF1410" s="8"/>
      <c r="AG1410" s="8"/>
      <c r="AH1410" s="8"/>
      <c r="AI1410" s="8"/>
      <c r="AJ1410" s="8"/>
      <c r="AK1410" s="8"/>
      <c r="AL1410" s="8"/>
      <c r="AM1410" s="8"/>
      <c r="AN1410" s="8"/>
      <c r="AO1410" s="8"/>
      <c r="AP1410" s="8"/>
      <c r="AQ1410" s="8"/>
      <c r="AR1410" s="8"/>
      <c r="AS1410" s="8"/>
      <c r="AT1410" s="8"/>
      <c r="AU1410" s="8"/>
      <c r="AV1410" s="8"/>
      <c r="AW1410" s="8"/>
      <c r="AX1410" s="4" t="s">
        <v>38</v>
      </c>
      <c r="AY1410" s="5" t="s">
        <v>6297</v>
      </c>
      <c r="AZ1410" s="5" t="s">
        <v>38</v>
      </c>
      <c r="BA1410" s="12"/>
      <c r="BB1410" s="12"/>
      <c r="BC1410" s="12"/>
      <c r="BD1410" s="11">
        <v>0</v>
      </c>
      <c r="BE1410" s="11">
        <v>0</v>
      </c>
    </row>
    <row x14ac:dyDescent="0.25" r="1411" customHeight="1" ht="17.25">
      <c r="A1411" s="11">
        <v>119029471</v>
      </c>
      <c r="B1411" s="4" t="s">
        <v>3228</v>
      </c>
      <c r="C1411" s="5" t="s">
        <v>3229</v>
      </c>
      <c r="D1411" s="5" t="s">
        <v>3230</v>
      </c>
      <c r="E1411" s="5" t="s">
        <v>3231</v>
      </c>
      <c r="F1411" s="13">
        <f>"1681376954"</f>
      </c>
      <c r="G1411" s="13">
        <f>"9781681376950"</f>
      </c>
      <c r="H1411" s="11">
        <v>0</v>
      </c>
      <c r="I1411" s="14">
        <v>3.95</v>
      </c>
      <c r="J1411" s="7" t="s">
        <v>108</v>
      </c>
      <c r="K1411" s="5" t="s">
        <v>90</v>
      </c>
      <c r="L1411" s="11">
        <v>241</v>
      </c>
      <c r="M1411" s="11">
        <v>2023</v>
      </c>
      <c r="N1411" s="16"/>
      <c r="O1411" s="15"/>
      <c r="P1411" s="8">
        <v>45113</v>
      </c>
      <c r="Q1411" s="8"/>
      <c r="R1411" s="8"/>
      <c r="S1411" s="8"/>
      <c r="T1411" s="8"/>
      <c r="U1411" s="8"/>
      <c r="V1411" s="8"/>
      <c r="W1411" s="8"/>
      <c r="X1411" s="8"/>
      <c r="Y1411" s="8"/>
      <c r="Z1411" s="8"/>
      <c r="AA1411" s="8"/>
      <c r="AB1411" s="8"/>
      <c r="AC1411" s="8"/>
      <c r="AD1411" s="8"/>
      <c r="AE1411" s="8"/>
      <c r="AF1411" s="8"/>
      <c r="AG1411" s="8"/>
      <c r="AH1411" s="8"/>
      <c r="AI1411" s="8"/>
      <c r="AJ1411" s="8"/>
      <c r="AK1411" s="8"/>
      <c r="AL1411" s="8"/>
      <c r="AM1411" s="8"/>
      <c r="AN1411" s="8"/>
      <c r="AO1411" s="8"/>
      <c r="AP1411" s="8"/>
      <c r="AQ1411" s="8"/>
      <c r="AR1411" s="8"/>
      <c r="AS1411" s="8"/>
      <c r="AT1411" s="8"/>
      <c r="AU1411" s="8"/>
      <c r="AV1411" s="8"/>
      <c r="AW1411" s="8"/>
      <c r="AX1411" s="4" t="s">
        <v>38</v>
      </c>
      <c r="AY1411" s="5" t="s">
        <v>6298</v>
      </c>
      <c r="AZ1411" s="5" t="s">
        <v>38</v>
      </c>
      <c r="BA1411" s="12"/>
      <c r="BB1411" s="12"/>
      <c r="BC1411" s="12"/>
      <c r="BD1411" s="11">
        <v>0</v>
      </c>
      <c r="BE1411" s="11">
        <v>0</v>
      </c>
    </row>
    <row x14ac:dyDescent="0.25" r="1412" customHeight="1" ht="17.25">
      <c r="A1412" s="11">
        <v>2808188</v>
      </c>
      <c r="B1412" s="4" t="s">
        <v>6299</v>
      </c>
      <c r="C1412" s="5" t="s">
        <v>6300</v>
      </c>
      <c r="D1412" s="5" t="s">
        <v>6301</v>
      </c>
      <c r="E1412" s="12"/>
      <c r="F1412" s="13">
        <f>"0385084803"</f>
      </c>
      <c r="G1412" s="13">
        <f>"9780385084802"</f>
      </c>
      <c r="H1412" s="11">
        <v>0</v>
      </c>
      <c r="I1412" s="14">
        <v>3.69</v>
      </c>
      <c r="J1412" s="7" t="s">
        <v>4580</v>
      </c>
      <c r="K1412" s="5" t="s">
        <v>346</v>
      </c>
      <c r="L1412" s="11">
        <v>555</v>
      </c>
      <c r="M1412" s="11">
        <v>1967</v>
      </c>
      <c r="N1412" s="11">
        <v>1967</v>
      </c>
      <c r="O1412" s="15"/>
      <c r="P1412" s="8">
        <v>45113</v>
      </c>
      <c r="Q1412" s="8"/>
      <c r="R1412" s="8"/>
      <c r="S1412" s="8"/>
      <c r="T1412" s="8"/>
      <c r="U1412" s="8"/>
      <c r="V1412" s="8"/>
      <c r="W1412" s="8"/>
      <c r="X1412" s="8"/>
      <c r="Y1412" s="8"/>
      <c r="Z1412" s="8"/>
      <c r="AA1412" s="8"/>
      <c r="AB1412" s="8"/>
      <c r="AC1412" s="8"/>
      <c r="AD1412" s="8"/>
      <c r="AE1412" s="8"/>
      <c r="AF1412" s="8"/>
      <c r="AG1412" s="8"/>
      <c r="AH1412" s="8"/>
      <c r="AI1412" s="8"/>
      <c r="AJ1412" s="8"/>
      <c r="AK1412" s="8"/>
      <c r="AL1412" s="8"/>
      <c r="AM1412" s="8"/>
      <c r="AN1412" s="8"/>
      <c r="AO1412" s="8"/>
      <c r="AP1412" s="8"/>
      <c r="AQ1412" s="8"/>
      <c r="AR1412" s="8"/>
      <c r="AS1412" s="8"/>
      <c r="AT1412" s="8"/>
      <c r="AU1412" s="8"/>
      <c r="AV1412" s="8"/>
      <c r="AW1412" s="8"/>
      <c r="AX1412" s="4" t="s">
        <v>38</v>
      </c>
      <c r="AY1412" s="5" t="s">
        <v>6302</v>
      </c>
      <c r="AZ1412" s="5" t="s">
        <v>38</v>
      </c>
      <c r="BA1412" s="12"/>
      <c r="BB1412" s="12"/>
      <c r="BC1412" s="12"/>
      <c r="BD1412" s="11">
        <v>0</v>
      </c>
      <c r="BE1412" s="11">
        <v>0</v>
      </c>
    </row>
    <row x14ac:dyDescent="0.25" r="1413" customHeight="1" ht="17.25">
      <c r="A1413" s="11">
        <v>922024</v>
      </c>
      <c r="B1413" s="4" t="s">
        <v>6303</v>
      </c>
      <c r="C1413" s="5" t="s">
        <v>6304</v>
      </c>
      <c r="D1413" s="5" t="s">
        <v>6305</v>
      </c>
      <c r="E1413" s="5" t="s">
        <v>6306</v>
      </c>
      <c r="F1413" s="13">
        <f>"0764572032"</f>
      </c>
      <c r="G1413" s="13">
        <f>"9780764572036"</f>
      </c>
      <c r="H1413" s="11">
        <v>0</v>
      </c>
      <c r="I1413" s="14">
        <v>3.66</v>
      </c>
      <c r="J1413" s="7" t="s">
        <v>6307</v>
      </c>
      <c r="K1413" s="5" t="s">
        <v>60</v>
      </c>
      <c r="L1413" s="11">
        <v>224</v>
      </c>
      <c r="M1413" s="11">
        <v>2004</v>
      </c>
      <c r="N1413" s="11">
        <v>2004</v>
      </c>
      <c r="O1413" s="15"/>
      <c r="P1413" s="8">
        <v>45113</v>
      </c>
      <c r="Q1413" s="8"/>
      <c r="R1413" s="8"/>
      <c r="S1413" s="8"/>
      <c r="T1413" s="8"/>
      <c r="U1413" s="8"/>
      <c r="V1413" s="8"/>
      <c r="W1413" s="8"/>
      <c r="X1413" s="8"/>
      <c r="Y1413" s="8"/>
      <c r="Z1413" s="8"/>
      <c r="AA1413" s="8"/>
      <c r="AB1413" s="8"/>
      <c r="AC1413" s="8"/>
      <c r="AD1413" s="8"/>
      <c r="AE1413" s="8"/>
      <c r="AF1413" s="8"/>
      <c r="AG1413" s="8"/>
      <c r="AH1413" s="8"/>
      <c r="AI1413" s="8"/>
      <c r="AJ1413" s="8"/>
      <c r="AK1413" s="8"/>
      <c r="AL1413" s="8"/>
      <c r="AM1413" s="8"/>
      <c r="AN1413" s="8"/>
      <c r="AO1413" s="8"/>
      <c r="AP1413" s="8"/>
      <c r="AQ1413" s="8"/>
      <c r="AR1413" s="8"/>
      <c r="AS1413" s="8"/>
      <c r="AT1413" s="8"/>
      <c r="AU1413" s="8"/>
      <c r="AV1413" s="8"/>
      <c r="AW1413" s="8"/>
      <c r="AX1413" s="4" t="s">
        <v>38</v>
      </c>
      <c r="AY1413" s="5" t="s">
        <v>6308</v>
      </c>
      <c r="AZ1413" s="5" t="s">
        <v>38</v>
      </c>
      <c r="BA1413" s="12"/>
      <c r="BB1413" s="12"/>
      <c r="BC1413" s="12"/>
      <c r="BD1413" s="11">
        <v>0</v>
      </c>
      <c r="BE1413" s="11">
        <v>0</v>
      </c>
    </row>
    <row x14ac:dyDescent="0.25" r="1414" customHeight="1" ht="17.25">
      <c r="A1414" s="11">
        <v>320993</v>
      </c>
      <c r="B1414" s="4" t="s">
        <v>6309</v>
      </c>
      <c r="C1414" s="5" t="s">
        <v>3434</v>
      </c>
      <c r="D1414" s="5" t="s">
        <v>3435</v>
      </c>
      <c r="E1414" s="12"/>
      <c r="F1414" s="13">
        <f>"067401927X"</f>
      </c>
      <c r="G1414" s="13">
        <f>"9780674019270"</f>
      </c>
      <c r="H1414" s="11">
        <v>0</v>
      </c>
      <c r="I1414" s="14">
        <v>3.83</v>
      </c>
      <c r="J1414" s="7" t="s">
        <v>6310</v>
      </c>
      <c r="K1414" s="5" t="s">
        <v>72</v>
      </c>
      <c r="L1414" s="11">
        <v>176</v>
      </c>
      <c r="M1414" s="11">
        <v>2007</v>
      </c>
      <c r="N1414" s="11">
        <v>2007</v>
      </c>
      <c r="O1414" s="15"/>
      <c r="P1414" s="8">
        <v>45113</v>
      </c>
      <c r="Q1414" s="8"/>
      <c r="R1414" s="8"/>
      <c r="S1414" s="8"/>
      <c r="T1414" s="8"/>
      <c r="U1414" s="8"/>
      <c r="V1414" s="8"/>
      <c r="W1414" s="8"/>
      <c r="X1414" s="8"/>
      <c r="Y1414" s="8"/>
      <c r="Z1414" s="8"/>
      <c r="AA1414" s="8"/>
      <c r="AB1414" s="8"/>
      <c r="AC1414" s="8"/>
      <c r="AD1414" s="8"/>
      <c r="AE1414" s="8"/>
      <c r="AF1414" s="8"/>
      <c r="AG1414" s="8"/>
      <c r="AH1414" s="8"/>
      <c r="AI1414" s="8"/>
      <c r="AJ1414" s="8"/>
      <c r="AK1414" s="8"/>
      <c r="AL1414" s="8"/>
      <c r="AM1414" s="8"/>
      <c r="AN1414" s="8"/>
      <c r="AO1414" s="8"/>
      <c r="AP1414" s="8"/>
      <c r="AQ1414" s="8"/>
      <c r="AR1414" s="8"/>
      <c r="AS1414" s="8"/>
      <c r="AT1414" s="8"/>
      <c r="AU1414" s="8"/>
      <c r="AV1414" s="8"/>
      <c r="AW1414" s="8"/>
      <c r="AX1414" s="4" t="s">
        <v>38</v>
      </c>
      <c r="AY1414" s="5" t="s">
        <v>6311</v>
      </c>
      <c r="AZ1414" s="5" t="s">
        <v>38</v>
      </c>
      <c r="BA1414" s="12"/>
      <c r="BB1414" s="12"/>
      <c r="BC1414" s="12"/>
      <c r="BD1414" s="11">
        <v>0</v>
      </c>
      <c r="BE1414" s="11">
        <v>0</v>
      </c>
    </row>
    <row x14ac:dyDescent="0.25" r="1415" customHeight="1" ht="17.25">
      <c r="A1415" s="11">
        <v>8727129</v>
      </c>
      <c r="B1415" s="4" t="s">
        <v>6312</v>
      </c>
      <c r="C1415" s="5" t="s">
        <v>6313</v>
      </c>
      <c r="D1415" s="5" t="s">
        <v>6314</v>
      </c>
      <c r="E1415" s="5" t="s">
        <v>6315</v>
      </c>
      <c r="F1415" s="13">
        <f>"0982597711"</f>
      </c>
      <c r="G1415" s="13">
        <f>"9780982597712"</f>
      </c>
      <c r="H1415" s="11">
        <v>0</v>
      </c>
      <c r="I1415" s="14">
        <v>3.29</v>
      </c>
      <c r="J1415" s="7" t="s">
        <v>6316</v>
      </c>
      <c r="K1415" s="5" t="s">
        <v>60</v>
      </c>
      <c r="L1415" s="11">
        <v>200</v>
      </c>
      <c r="M1415" s="11">
        <v>2010</v>
      </c>
      <c r="N1415" s="11">
        <v>2010</v>
      </c>
      <c r="O1415" s="15"/>
      <c r="P1415" s="8">
        <v>45113</v>
      </c>
      <c r="Q1415" s="8"/>
      <c r="R1415" s="8"/>
      <c r="S1415" s="8"/>
      <c r="T1415" s="8"/>
      <c r="U1415" s="8"/>
      <c r="V1415" s="8"/>
      <c r="W1415" s="8"/>
      <c r="X1415" s="8"/>
      <c r="Y1415" s="8"/>
      <c r="Z1415" s="8"/>
      <c r="AA1415" s="8"/>
      <c r="AB1415" s="8"/>
      <c r="AC1415" s="8"/>
      <c r="AD1415" s="8"/>
      <c r="AE1415" s="8"/>
      <c r="AF1415" s="8"/>
      <c r="AG1415" s="8"/>
      <c r="AH1415" s="8"/>
      <c r="AI1415" s="8"/>
      <c r="AJ1415" s="8"/>
      <c r="AK1415" s="8"/>
      <c r="AL1415" s="8"/>
      <c r="AM1415" s="8"/>
      <c r="AN1415" s="8"/>
      <c r="AO1415" s="8"/>
      <c r="AP1415" s="8"/>
      <c r="AQ1415" s="8"/>
      <c r="AR1415" s="8"/>
      <c r="AS1415" s="8"/>
      <c r="AT1415" s="8"/>
      <c r="AU1415" s="8"/>
      <c r="AV1415" s="8"/>
      <c r="AW1415" s="8"/>
      <c r="AX1415" s="4" t="s">
        <v>38</v>
      </c>
      <c r="AY1415" s="5" t="s">
        <v>6317</v>
      </c>
      <c r="AZ1415" s="5" t="s">
        <v>38</v>
      </c>
      <c r="BA1415" s="12"/>
      <c r="BB1415" s="12"/>
      <c r="BC1415" s="12"/>
      <c r="BD1415" s="11">
        <v>0</v>
      </c>
      <c r="BE1415" s="11">
        <v>0</v>
      </c>
    </row>
    <row x14ac:dyDescent="0.25" r="1416" customHeight="1" ht="17.25">
      <c r="A1416" s="11">
        <v>61149811</v>
      </c>
      <c r="B1416" s="4" t="s">
        <v>6318</v>
      </c>
      <c r="C1416" s="5" t="s">
        <v>6319</v>
      </c>
      <c r="D1416" s="5" t="s">
        <v>6320</v>
      </c>
      <c r="E1416" s="5" t="s">
        <v>6321</v>
      </c>
      <c r="F1416" s="13">
        <f>"1681376253"</f>
      </c>
      <c r="G1416" s="13">
        <f>"9781681376257"</f>
      </c>
      <c r="H1416" s="11">
        <v>0</v>
      </c>
      <c r="I1416" s="14">
        <v>3.8</v>
      </c>
      <c r="J1416" s="7" t="s">
        <v>108</v>
      </c>
      <c r="K1416" s="5" t="s">
        <v>60</v>
      </c>
      <c r="L1416" s="11">
        <v>136</v>
      </c>
      <c r="M1416" s="11">
        <v>2023</v>
      </c>
      <c r="N1416" s="11">
        <v>1939</v>
      </c>
      <c r="O1416" s="15"/>
      <c r="P1416" s="8">
        <v>45102</v>
      </c>
      <c r="Q1416" s="8"/>
      <c r="R1416" s="8"/>
      <c r="S1416" s="8"/>
      <c r="T1416" s="8"/>
      <c r="U1416" s="8"/>
      <c r="V1416" s="8"/>
      <c r="W1416" s="8"/>
      <c r="X1416" s="8"/>
      <c r="Y1416" s="8"/>
      <c r="Z1416" s="8"/>
      <c r="AA1416" s="8"/>
      <c r="AB1416" s="8"/>
      <c r="AC1416" s="8"/>
      <c r="AD1416" s="8"/>
      <c r="AE1416" s="8"/>
      <c r="AF1416" s="8"/>
      <c r="AG1416" s="8"/>
      <c r="AH1416" s="8"/>
      <c r="AI1416" s="8"/>
      <c r="AJ1416" s="8"/>
      <c r="AK1416" s="8"/>
      <c r="AL1416" s="8"/>
      <c r="AM1416" s="8"/>
      <c r="AN1416" s="8"/>
      <c r="AO1416" s="8"/>
      <c r="AP1416" s="8"/>
      <c r="AQ1416" s="8"/>
      <c r="AR1416" s="8"/>
      <c r="AS1416" s="8"/>
      <c r="AT1416" s="8"/>
      <c r="AU1416" s="8"/>
      <c r="AV1416" s="8"/>
      <c r="AW1416" s="8"/>
      <c r="AX1416" s="4" t="s">
        <v>38</v>
      </c>
      <c r="AY1416" s="5" t="s">
        <v>6322</v>
      </c>
      <c r="AZ1416" s="5" t="s">
        <v>38</v>
      </c>
      <c r="BA1416" s="12"/>
      <c r="BB1416" s="12"/>
      <c r="BC1416" s="12"/>
      <c r="BD1416" s="11">
        <v>0</v>
      </c>
      <c r="BE1416" s="11">
        <v>0</v>
      </c>
    </row>
    <row x14ac:dyDescent="0.25" r="1417" customHeight="1" ht="17.25">
      <c r="A1417" s="11">
        <v>787565</v>
      </c>
      <c r="B1417" s="4" t="s">
        <v>6323</v>
      </c>
      <c r="C1417" s="5" t="s">
        <v>590</v>
      </c>
      <c r="D1417" s="5" t="s">
        <v>591</v>
      </c>
      <c r="E1417" s="12"/>
      <c r="F1417" s="13">
        <f>"0691018391"</f>
      </c>
      <c r="G1417" s="13">
        <f>"9780691018393"</f>
      </c>
      <c r="H1417" s="11">
        <v>0</v>
      </c>
      <c r="I1417" s="14">
        <v>4.39</v>
      </c>
      <c r="J1417" s="7" t="s">
        <v>172</v>
      </c>
      <c r="K1417" s="5" t="s">
        <v>60</v>
      </c>
      <c r="L1417" s="11">
        <v>564</v>
      </c>
      <c r="M1417" s="11">
        <v>1981</v>
      </c>
      <c r="N1417" s="11">
        <v>1974</v>
      </c>
      <c r="O1417" s="15"/>
      <c r="P1417" s="8">
        <v>45112</v>
      </c>
      <c r="Q1417" s="8"/>
      <c r="R1417" s="8"/>
      <c r="S1417" s="8"/>
      <c r="T1417" s="8"/>
      <c r="U1417" s="8"/>
      <c r="V1417" s="8"/>
      <c r="W1417" s="8"/>
      <c r="X1417" s="8"/>
      <c r="Y1417" s="8"/>
      <c r="Z1417" s="8"/>
      <c r="AA1417" s="8"/>
      <c r="AB1417" s="8"/>
      <c r="AC1417" s="8"/>
      <c r="AD1417" s="8"/>
      <c r="AE1417" s="8"/>
      <c r="AF1417" s="8"/>
      <c r="AG1417" s="8"/>
      <c r="AH1417" s="8"/>
      <c r="AI1417" s="8"/>
      <c r="AJ1417" s="8"/>
      <c r="AK1417" s="8"/>
      <c r="AL1417" s="8"/>
      <c r="AM1417" s="8"/>
      <c r="AN1417" s="8"/>
      <c r="AO1417" s="8"/>
      <c r="AP1417" s="8"/>
      <c r="AQ1417" s="8"/>
      <c r="AR1417" s="8"/>
      <c r="AS1417" s="8"/>
      <c r="AT1417" s="8"/>
      <c r="AU1417" s="8"/>
      <c r="AV1417" s="8"/>
      <c r="AW1417" s="8"/>
      <c r="AX1417" s="4" t="s">
        <v>38</v>
      </c>
      <c r="AY1417" s="5" t="s">
        <v>6324</v>
      </c>
      <c r="AZ1417" s="5" t="s">
        <v>38</v>
      </c>
      <c r="BA1417" s="12"/>
      <c r="BB1417" s="12"/>
      <c r="BC1417" s="12"/>
      <c r="BD1417" s="11">
        <v>0</v>
      </c>
      <c r="BE1417" s="11">
        <v>0</v>
      </c>
    </row>
    <row x14ac:dyDescent="0.25" r="1418" customHeight="1" ht="17.25">
      <c r="A1418" s="11">
        <v>130405</v>
      </c>
      <c r="B1418" s="4" t="s">
        <v>6325</v>
      </c>
      <c r="C1418" s="5" t="s">
        <v>6326</v>
      </c>
      <c r="D1418" s="5" t="s">
        <v>6327</v>
      </c>
      <c r="E1418" s="5" t="s">
        <v>633</v>
      </c>
      <c r="F1418" s="13">
        <f>"0374530076"</f>
      </c>
      <c r="G1418" s="13">
        <f>"9780374530075"</f>
      </c>
      <c r="H1418" s="11">
        <v>0</v>
      </c>
      <c r="I1418" s="14">
        <v>3.95</v>
      </c>
      <c r="J1418" s="7" t="s">
        <v>120</v>
      </c>
      <c r="K1418" s="5" t="s">
        <v>60</v>
      </c>
      <c r="L1418" s="11">
        <v>96</v>
      </c>
      <c r="M1418" s="11">
        <v>2005</v>
      </c>
      <c r="N1418" s="11">
        <v>2004</v>
      </c>
      <c r="O1418" s="15"/>
      <c r="P1418" s="8">
        <v>45112</v>
      </c>
      <c r="Q1418" s="8"/>
      <c r="R1418" s="8"/>
      <c r="S1418" s="8"/>
      <c r="T1418" s="8"/>
      <c r="U1418" s="8"/>
      <c r="V1418" s="8"/>
      <c r="W1418" s="8"/>
      <c r="X1418" s="8"/>
      <c r="Y1418" s="8"/>
      <c r="Z1418" s="8"/>
      <c r="AA1418" s="8"/>
      <c r="AB1418" s="8"/>
      <c r="AC1418" s="8"/>
      <c r="AD1418" s="8"/>
      <c r="AE1418" s="8"/>
      <c r="AF1418" s="8"/>
      <c r="AG1418" s="8"/>
      <c r="AH1418" s="8"/>
      <c r="AI1418" s="8"/>
      <c r="AJ1418" s="8"/>
      <c r="AK1418" s="8"/>
      <c r="AL1418" s="8"/>
      <c r="AM1418" s="8"/>
      <c r="AN1418" s="8"/>
      <c r="AO1418" s="8"/>
      <c r="AP1418" s="8"/>
      <c r="AQ1418" s="8"/>
      <c r="AR1418" s="8"/>
      <c r="AS1418" s="8"/>
      <c r="AT1418" s="8"/>
      <c r="AU1418" s="8"/>
      <c r="AV1418" s="8"/>
      <c r="AW1418" s="8"/>
      <c r="AX1418" s="4" t="s">
        <v>38</v>
      </c>
      <c r="AY1418" s="5" t="s">
        <v>6328</v>
      </c>
      <c r="AZ1418" s="5" t="s">
        <v>38</v>
      </c>
      <c r="BA1418" s="12"/>
      <c r="BB1418" s="12"/>
      <c r="BC1418" s="12"/>
      <c r="BD1418" s="11">
        <v>0</v>
      </c>
      <c r="BE1418" s="11">
        <v>0</v>
      </c>
    </row>
    <row x14ac:dyDescent="0.25" r="1419" customHeight="1" ht="17.25">
      <c r="A1419" s="11">
        <v>834694</v>
      </c>
      <c r="B1419" s="4" t="s">
        <v>6329</v>
      </c>
      <c r="C1419" s="5" t="s">
        <v>6326</v>
      </c>
      <c r="D1419" s="5" t="s">
        <v>6327</v>
      </c>
      <c r="E1419" s="5" t="s">
        <v>633</v>
      </c>
      <c r="F1419" s="13">
        <f>"0374522898"</f>
      </c>
      <c r="G1419" s="13">
        <f>"9780374522896"</f>
      </c>
      <c r="H1419" s="11">
        <v>0</v>
      </c>
      <c r="I1419" s="14">
        <v>4.16</v>
      </c>
      <c r="J1419" s="7" t="s">
        <v>120</v>
      </c>
      <c r="K1419" s="5" t="s">
        <v>60</v>
      </c>
      <c r="L1419" s="11">
        <v>96</v>
      </c>
      <c r="M1419" s="11">
        <v>1991</v>
      </c>
      <c r="N1419" s="11">
        <v>1990</v>
      </c>
      <c r="O1419" s="15"/>
      <c r="P1419" s="8">
        <v>45112</v>
      </c>
      <c r="Q1419" s="8"/>
      <c r="R1419" s="8"/>
      <c r="S1419" s="8"/>
      <c r="T1419" s="8"/>
      <c r="U1419" s="8"/>
      <c r="V1419" s="8"/>
      <c r="W1419" s="8"/>
      <c r="X1419" s="8"/>
      <c r="Y1419" s="8"/>
      <c r="Z1419" s="8"/>
      <c r="AA1419" s="8"/>
      <c r="AB1419" s="8"/>
      <c r="AC1419" s="8"/>
      <c r="AD1419" s="8"/>
      <c r="AE1419" s="8"/>
      <c r="AF1419" s="8"/>
      <c r="AG1419" s="8"/>
      <c r="AH1419" s="8"/>
      <c r="AI1419" s="8"/>
      <c r="AJ1419" s="8"/>
      <c r="AK1419" s="8"/>
      <c r="AL1419" s="8"/>
      <c r="AM1419" s="8"/>
      <c r="AN1419" s="8"/>
      <c r="AO1419" s="8"/>
      <c r="AP1419" s="8"/>
      <c r="AQ1419" s="8"/>
      <c r="AR1419" s="8"/>
      <c r="AS1419" s="8"/>
      <c r="AT1419" s="8"/>
      <c r="AU1419" s="8"/>
      <c r="AV1419" s="8"/>
      <c r="AW1419" s="8"/>
      <c r="AX1419" s="4" t="s">
        <v>38</v>
      </c>
      <c r="AY1419" s="5" t="s">
        <v>6330</v>
      </c>
      <c r="AZ1419" s="5" t="s">
        <v>38</v>
      </c>
      <c r="BA1419" s="12"/>
      <c r="BB1419" s="12"/>
      <c r="BC1419" s="12"/>
      <c r="BD1419" s="11">
        <v>0</v>
      </c>
      <c r="BE1419" s="11">
        <v>0</v>
      </c>
    </row>
    <row x14ac:dyDescent="0.25" r="1420" customHeight="1" ht="17.25">
      <c r="A1420" s="11">
        <v>2199365</v>
      </c>
      <c r="B1420" s="4" t="s">
        <v>6331</v>
      </c>
      <c r="C1420" s="5" t="s">
        <v>6332</v>
      </c>
      <c r="D1420" s="5" t="s">
        <v>6333</v>
      </c>
      <c r="E1420" s="12"/>
      <c r="F1420" s="13">
        <f>"097888115X"</f>
      </c>
      <c r="G1420" s="13">
        <f>"9780978881153"</f>
      </c>
      <c r="H1420" s="11">
        <v>0</v>
      </c>
      <c r="I1420" s="14">
        <v>3.93</v>
      </c>
      <c r="J1420" s="7" t="s">
        <v>6334</v>
      </c>
      <c r="K1420" s="5" t="s">
        <v>60</v>
      </c>
      <c r="L1420" s="11">
        <v>256</v>
      </c>
      <c r="M1420" s="11">
        <v>2008</v>
      </c>
      <c r="N1420" s="11">
        <v>2007</v>
      </c>
      <c r="O1420" s="15"/>
      <c r="P1420" s="8">
        <v>45112</v>
      </c>
      <c r="Q1420" s="8"/>
      <c r="R1420" s="8"/>
      <c r="S1420" s="8"/>
      <c r="T1420" s="8"/>
      <c r="U1420" s="8"/>
      <c r="V1420" s="8"/>
      <c r="W1420" s="8"/>
      <c r="X1420" s="8"/>
      <c r="Y1420" s="8"/>
      <c r="Z1420" s="8"/>
      <c r="AA1420" s="8"/>
      <c r="AB1420" s="8"/>
      <c r="AC1420" s="8"/>
      <c r="AD1420" s="8"/>
      <c r="AE1420" s="8"/>
      <c r="AF1420" s="8"/>
      <c r="AG1420" s="8"/>
      <c r="AH1420" s="8"/>
      <c r="AI1420" s="8"/>
      <c r="AJ1420" s="8"/>
      <c r="AK1420" s="8"/>
      <c r="AL1420" s="8"/>
      <c r="AM1420" s="8"/>
      <c r="AN1420" s="8"/>
      <c r="AO1420" s="8"/>
      <c r="AP1420" s="8"/>
      <c r="AQ1420" s="8"/>
      <c r="AR1420" s="8"/>
      <c r="AS1420" s="8"/>
      <c r="AT1420" s="8"/>
      <c r="AU1420" s="8"/>
      <c r="AV1420" s="8"/>
      <c r="AW1420" s="8"/>
      <c r="AX1420" s="4" t="s">
        <v>38</v>
      </c>
      <c r="AY1420" s="5" t="s">
        <v>6335</v>
      </c>
      <c r="AZ1420" s="5" t="s">
        <v>38</v>
      </c>
      <c r="BA1420" s="12"/>
      <c r="BB1420" s="12"/>
      <c r="BC1420" s="12"/>
      <c r="BD1420" s="11">
        <v>0</v>
      </c>
      <c r="BE1420" s="11">
        <v>0</v>
      </c>
    </row>
    <row x14ac:dyDescent="0.25" r="1421" customHeight="1" ht="17.25">
      <c r="A1421" s="11">
        <v>212896</v>
      </c>
      <c r="B1421" s="4" t="s">
        <v>6336</v>
      </c>
      <c r="C1421" s="5" t="s">
        <v>3152</v>
      </c>
      <c r="D1421" s="5" t="s">
        <v>3153</v>
      </c>
      <c r="E1421" s="12"/>
      <c r="F1421" s="13">
        <f>"185459138X"</f>
      </c>
      <c r="G1421" s="13">
        <f>"9781854591388"</f>
      </c>
      <c r="H1421" s="11">
        <v>0</v>
      </c>
      <c r="I1421" s="14">
        <v>3.98</v>
      </c>
      <c r="J1421" s="7" t="s">
        <v>612</v>
      </c>
      <c r="K1421" s="5" t="s">
        <v>60</v>
      </c>
      <c r="L1421" s="11">
        <v>162</v>
      </c>
      <c r="M1421" s="11">
        <v>1992</v>
      </c>
      <c r="N1421" s="11">
        <v>1931</v>
      </c>
      <c r="O1421" s="15"/>
      <c r="P1421" s="8">
        <v>45112</v>
      </c>
      <c r="Q1421" s="8"/>
      <c r="R1421" s="8"/>
      <c r="S1421" s="8"/>
      <c r="T1421" s="8"/>
      <c r="U1421" s="8"/>
      <c r="V1421" s="8"/>
      <c r="W1421" s="8"/>
      <c r="X1421" s="8"/>
      <c r="Y1421" s="8"/>
      <c r="Z1421" s="8"/>
      <c r="AA1421" s="8"/>
      <c r="AB1421" s="8"/>
      <c r="AC1421" s="8"/>
      <c r="AD1421" s="8"/>
      <c r="AE1421" s="8"/>
      <c r="AF1421" s="8"/>
      <c r="AG1421" s="8"/>
      <c r="AH1421" s="8"/>
      <c r="AI1421" s="8"/>
      <c r="AJ1421" s="8"/>
      <c r="AK1421" s="8"/>
      <c r="AL1421" s="8"/>
      <c r="AM1421" s="8"/>
      <c r="AN1421" s="8"/>
      <c r="AO1421" s="8"/>
      <c r="AP1421" s="8"/>
      <c r="AQ1421" s="8"/>
      <c r="AR1421" s="8"/>
      <c r="AS1421" s="8"/>
      <c r="AT1421" s="8"/>
      <c r="AU1421" s="8"/>
      <c r="AV1421" s="8"/>
      <c r="AW1421" s="8"/>
      <c r="AX1421" s="4" t="s">
        <v>38</v>
      </c>
      <c r="AY1421" s="5" t="s">
        <v>6337</v>
      </c>
      <c r="AZ1421" s="5" t="s">
        <v>38</v>
      </c>
      <c r="BA1421" s="12"/>
      <c r="BB1421" s="12"/>
      <c r="BC1421" s="12"/>
      <c r="BD1421" s="11">
        <v>0</v>
      </c>
      <c r="BE1421" s="11">
        <v>0</v>
      </c>
    </row>
    <row x14ac:dyDescent="0.25" r="1422" customHeight="1" ht="17.25">
      <c r="A1422" s="11">
        <v>7604</v>
      </c>
      <c r="B1422" s="4" t="s">
        <v>4014</v>
      </c>
      <c r="C1422" s="5" t="s">
        <v>3884</v>
      </c>
      <c r="D1422" s="5" t="s">
        <v>3885</v>
      </c>
      <c r="E1422" s="5" t="s">
        <v>6338</v>
      </c>
      <c r="F1422" s="13">
        <f>""</f>
      </c>
      <c r="G1422" s="13">
        <f>""</f>
      </c>
      <c r="H1422" s="11">
        <v>0</v>
      </c>
      <c r="I1422" s="14">
        <v>3.88</v>
      </c>
      <c r="J1422" s="7" t="s">
        <v>182</v>
      </c>
      <c r="K1422" s="5" t="s">
        <v>60</v>
      </c>
      <c r="L1422" s="11">
        <v>368</v>
      </c>
      <c r="M1422" s="11">
        <v>1995</v>
      </c>
      <c r="N1422" s="11">
        <v>1955</v>
      </c>
      <c r="O1422" s="15"/>
      <c r="P1422" s="8">
        <v>45112</v>
      </c>
      <c r="Q1422" s="8"/>
      <c r="R1422" s="8"/>
      <c r="S1422" s="8"/>
      <c r="T1422" s="8"/>
      <c r="U1422" s="8"/>
      <c r="V1422" s="8"/>
      <c r="W1422" s="8"/>
      <c r="X1422" s="8"/>
      <c r="Y1422" s="8"/>
      <c r="Z1422" s="8"/>
      <c r="AA1422" s="8"/>
      <c r="AB1422" s="8"/>
      <c r="AC1422" s="8"/>
      <c r="AD1422" s="8"/>
      <c r="AE1422" s="8"/>
      <c r="AF1422" s="8"/>
      <c r="AG1422" s="8"/>
      <c r="AH1422" s="8"/>
      <c r="AI1422" s="8"/>
      <c r="AJ1422" s="8"/>
      <c r="AK1422" s="8"/>
      <c r="AL1422" s="8"/>
      <c r="AM1422" s="8"/>
      <c r="AN1422" s="8"/>
      <c r="AO1422" s="8"/>
      <c r="AP1422" s="8"/>
      <c r="AQ1422" s="8"/>
      <c r="AR1422" s="8"/>
      <c r="AS1422" s="8"/>
      <c r="AT1422" s="8"/>
      <c r="AU1422" s="8"/>
      <c r="AV1422" s="8"/>
      <c r="AW1422" s="8"/>
      <c r="AX1422" s="16"/>
      <c r="AY1422" s="12"/>
      <c r="AZ1422" s="5" t="s">
        <v>158</v>
      </c>
      <c r="BA1422" s="12"/>
      <c r="BB1422" s="12"/>
      <c r="BC1422" s="12"/>
      <c r="BD1422" s="11">
        <v>0</v>
      </c>
      <c r="BE1422" s="11">
        <v>0</v>
      </c>
    </row>
    <row x14ac:dyDescent="0.25" r="1423" customHeight="1" ht="17.25">
      <c r="A1423" s="11">
        <v>63137</v>
      </c>
      <c r="B1423" s="4" t="s">
        <v>6339</v>
      </c>
      <c r="C1423" s="5" t="s">
        <v>3708</v>
      </c>
      <c r="D1423" s="5" t="s">
        <v>3709</v>
      </c>
      <c r="E1423" s="12"/>
      <c r="F1423" s="13">
        <f>"8423919153"</f>
      </c>
      <c r="G1423" s="13">
        <f>"9788423919154"</f>
      </c>
      <c r="H1423" s="11">
        <v>0</v>
      </c>
      <c r="I1423" s="14">
        <v>4.05</v>
      </c>
      <c r="J1423" s="7" t="s">
        <v>6340</v>
      </c>
      <c r="K1423" s="5" t="s">
        <v>60</v>
      </c>
      <c r="L1423" s="11">
        <v>259</v>
      </c>
      <c r="M1423" s="11">
        <v>1707</v>
      </c>
      <c r="N1423" s="11">
        <v>1914</v>
      </c>
      <c r="O1423" s="15"/>
      <c r="P1423" s="8">
        <v>43970</v>
      </c>
      <c r="Q1423" s="8"/>
      <c r="R1423" s="8"/>
      <c r="S1423" s="8"/>
      <c r="T1423" s="8"/>
      <c r="U1423" s="8"/>
      <c r="V1423" s="8"/>
      <c r="W1423" s="8"/>
      <c r="X1423" s="8"/>
      <c r="Y1423" s="8"/>
      <c r="Z1423" s="8"/>
      <c r="AA1423" s="8"/>
      <c r="AB1423" s="8"/>
      <c r="AC1423" s="8"/>
      <c r="AD1423" s="8"/>
      <c r="AE1423" s="8"/>
      <c r="AF1423" s="8"/>
      <c r="AG1423" s="8"/>
      <c r="AH1423" s="8"/>
      <c r="AI1423" s="8"/>
      <c r="AJ1423" s="8"/>
      <c r="AK1423" s="8"/>
      <c r="AL1423" s="8"/>
      <c r="AM1423" s="8"/>
      <c r="AN1423" s="8"/>
      <c r="AO1423" s="8"/>
      <c r="AP1423" s="8"/>
      <c r="AQ1423" s="8"/>
      <c r="AR1423" s="8"/>
      <c r="AS1423" s="8"/>
      <c r="AT1423" s="8"/>
      <c r="AU1423" s="8"/>
      <c r="AV1423" s="8"/>
      <c r="AW1423" s="8"/>
      <c r="AX1423" s="4" t="s">
        <v>38</v>
      </c>
      <c r="AY1423" s="5" t="s">
        <v>6341</v>
      </c>
      <c r="AZ1423" s="5" t="s">
        <v>38</v>
      </c>
      <c r="BA1423" s="12"/>
      <c r="BB1423" s="12"/>
      <c r="BC1423" s="12"/>
      <c r="BD1423" s="11">
        <v>0</v>
      </c>
      <c r="BE1423" s="11">
        <v>0</v>
      </c>
    </row>
    <row x14ac:dyDescent="0.25" r="1424" customHeight="1" ht="17.25">
      <c r="A1424" s="11">
        <v>57224204</v>
      </c>
      <c r="B1424" s="4" t="s">
        <v>6342</v>
      </c>
      <c r="C1424" s="5" t="s">
        <v>6343</v>
      </c>
      <c r="D1424" s="5" t="s">
        <v>6344</v>
      </c>
      <c r="E1424" s="12"/>
      <c r="F1424" s="13">
        <f>"1908745908"</f>
      </c>
      <c r="G1424" s="13">
        <f>"9781908745903"</f>
      </c>
      <c r="H1424" s="11">
        <v>0</v>
      </c>
      <c r="I1424" s="14">
        <v>3.96</v>
      </c>
      <c r="J1424" s="7" t="s">
        <v>6345</v>
      </c>
      <c r="K1424" s="5" t="s">
        <v>72</v>
      </c>
      <c r="L1424" s="11">
        <v>386</v>
      </c>
      <c r="M1424" s="11">
        <v>2022</v>
      </c>
      <c r="N1424" s="11">
        <v>2022</v>
      </c>
      <c r="O1424" s="15"/>
      <c r="P1424" s="8">
        <v>45111</v>
      </c>
      <c r="Q1424" s="8"/>
      <c r="R1424" s="8"/>
      <c r="S1424" s="8"/>
      <c r="T1424" s="8"/>
      <c r="U1424" s="8"/>
      <c r="V1424" s="8"/>
      <c r="W1424" s="8"/>
      <c r="X1424" s="8"/>
      <c r="Y1424" s="8"/>
      <c r="Z1424" s="8"/>
      <c r="AA1424" s="8"/>
      <c r="AB1424" s="8"/>
      <c r="AC1424" s="8"/>
      <c r="AD1424" s="8"/>
      <c r="AE1424" s="8"/>
      <c r="AF1424" s="8"/>
      <c r="AG1424" s="8"/>
      <c r="AH1424" s="8"/>
      <c r="AI1424" s="8"/>
      <c r="AJ1424" s="8"/>
      <c r="AK1424" s="8"/>
      <c r="AL1424" s="8"/>
      <c r="AM1424" s="8"/>
      <c r="AN1424" s="8"/>
      <c r="AO1424" s="8"/>
      <c r="AP1424" s="8"/>
      <c r="AQ1424" s="8"/>
      <c r="AR1424" s="8"/>
      <c r="AS1424" s="8"/>
      <c r="AT1424" s="8"/>
      <c r="AU1424" s="8"/>
      <c r="AV1424" s="8"/>
      <c r="AW1424" s="8"/>
      <c r="AX1424" s="4" t="s">
        <v>5391</v>
      </c>
      <c r="AY1424" s="5" t="s">
        <v>6346</v>
      </c>
      <c r="AZ1424" s="5" t="s">
        <v>38</v>
      </c>
      <c r="BA1424" s="12"/>
      <c r="BB1424" s="12"/>
      <c r="BC1424" s="12"/>
      <c r="BD1424" s="11">
        <v>0</v>
      </c>
      <c r="BE1424" s="11">
        <v>0</v>
      </c>
    </row>
    <row x14ac:dyDescent="0.25" r="1425" customHeight="1" ht="17.25">
      <c r="A1425" s="11">
        <v>54633172</v>
      </c>
      <c r="B1425" s="4" t="s">
        <v>6347</v>
      </c>
      <c r="C1425" s="5" t="s">
        <v>6348</v>
      </c>
      <c r="D1425" s="5" t="s">
        <v>6349</v>
      </c>
      <c r="E1425" s="12"/>
      <c r="F1425" s="13">
        <f>"1784744069"</f>
      </c>
      <c r="G1425" s="13">
        <f>"9781784744069"</f>
      </c>
      <c r="H1425" s="11">
        <v>0</v>
      </c>
      <c r="I1425" s="14">
        <v>3.89</v>
      </c>
      <c r="J1425" s="7" t="s">
        <v>6350</v>
      </c>
      <c r="K1425" s="5" t="s">
        <v>72</v>
      </c>
      <c r="L1425" s="11">
        <v>293</v>
      </c>
      <c r="M1425" s="11">
        <v>2021</v>
      </c>
      <c r="N1425" s="11">
        <v>2021</v>
      </c>
      <c r="O1425" s="15"/>
      <c r="P1425" s="8">
        <v>45111</v>
      </c>
      <c r="Q1425" s="8"/>
      <c r="R1425" s="8"/>
      <c r="S1425" s="8"/>
      <c r="T1425" s="8"/>
      <c r="U1425" s="8"/>
      <c r="V1425" s="8"/>
      <c r="W1425" s="8"/>
      <c r="X1425" s="8"/>
      <c r="Y1425" s="8"/>
      <c r="Z1425" s="8"/>
      <c r="AA1425" s="8"/>
      <c r="AB1425" s="8"/>
      <c r="AC1425" s="8"/>
      <c r="AD1425" s="8"/>
      <c r="AE1425" s="8"/>
      <c r="AF1425" s="8"/>
      <c r="AG1425" s="8"/>
      <c r="AH1425" s="8"/>
      <c r="AI1425" s="8"/>
      <c r="AJ1425" s="8"/>
      <c r="AK1425" s="8"/>
      <c r="AL1425" s="8"/>
      <c r="AM1425" s="8"/>
      <c r="AN1425" s="8"/>
      <c r="AO1425" s="8"/>
      <c r="AP1425" s="8"/>
      <c r="AQ1425" s="8"/>
      <c r="AR1425" s="8"/>
      <c r="AS1425" s="8"/>
      <c r="AT1425" s="8"/>
      <c r="AU1425" s="8"/>
      <c r="AV1425" s="8"/>
      <c r="AW1425" s="8"/>
      <c r="AX1425" s="4" t="s">
        <v>5391</v>
      </c>
      <c r="AY1425" s="5" t="s">
        <v>6351</v>
      </c>
      <c r="AZ1425" s="5" t="s">
        <v>38</v>
      </c>
      <c r="BA1425" s="12"/>
      <c r="BB1425" s="12"/>
      <c r="BC1425" s="12"/>
      <c r="BD1425" s="11">
        <v>0</v>
      </c>
      <c r="BE1425" s="11">
        <v>0</v>
      </c>
    </row>
    <row x14ac:dyDescent="0.25" r="1426" customHeight="1" ht="17.25">
      <c r="A1426" s="11">
        <v>41081373</v>
      </c>
      <c r="B1426" s="4" t="s">
        <v>6352</v>
      </c>
      <c r="C1426" s="5" t="s">
        <v>6353</v>
      </c>
      <c r="D1426" s="5" t="s">
        <v>6354</v>
      </c>
      <c r="E1426" s="12"/>
      <c r="F1426" s="13">
        <f>"0241364906"</f>
      </c>
      <c r="G1426" s="13">
        <f>"9780241364901"</f>
      </c>
      <c r="H1426" s="11">
        <v>0</v>
      </c>
      <c r="I1426" s="14">
        <v>4.3</v>
      </c>
      <c r="J1426" s="7" t="s">
        <v>177</v>
      </c>
      <c r="K1426" s="5" t="s">
        <v>72</v>
      </c>
      <c r="L1426" s="11">
        <v>453</v>
      </c>
      <c r="M1426" s="11">
        <v>2019</v>
      </c>
      <c r="N1426" s="11">
        <v>2019</v>
      </c>
      <c r="O1426" s="15"/>
      <c r="P1426" s="8">
        <v>45111</v>
      </c>
      <c r="Q1426" s="8"/>
      <c r="R1426" s="8"/>
      <c r="S1426" s="8"/>
      <c r="T1426" s="8"/>
      <c r="U1426" s="8"/>
      <c r="V1426" s="8"/>
      <c r="W1426" s="8"/>
      <c r="X1426" s="8"/>
      <c r="Y1426" s="8"/>
      <c r="Z1426" s="8"/>
      <c r="AA1426" s="8"/>
      <c r="AB1426" s="8"/>
      <c r="AC1426" s="8"/>
      <c r="AD1426" s="8"/>
      <c r="AE1426" s="8"/>
      <c r="AF1426" s="8"/>
      <c r="AG1426" s="8"/>
      <c r="AH1426" s="8"/>
      <c r="AI1426" s="8"/>
      <c r="AJ1426" s="8"/>
      <c r="AK1426" s="8"/>
      <c r="AL1426" s="8"/>
      <c r="AM1426" s="8"/>
      <c r="AN1426" s="8"/>
      <c r="AO1426" s="8"/>
      <c r="AP1426" s="8"/>
      <c r="AQ1426" s="8"/>
      <c r="AR1426" s="8"/>
      <c r="AS1426" s="8"/>
      <c r="AT1426" s="8"/>
      <c r="AU1426" s="8"/>
      <c r="AV1426" s="8"/>
      <c r="AW1426" s="8"/>
      <c r="AX1426" s="4" t="s">
        <v>5391</v>
      </c>
      <c r="AY1426" s="5" t="s">
        <v>6355</v>
      </c>
      <c r="AZ1426" s="5" t="s">
        <v>38</v>
      </c>
      <c r="BA1426" s="12"/>
      <c r="BB1426" s="12"/>
      <c r="BC1426" s="12"/>
      <c r="BD1426" s="11">
        <v>0</v>
      </c>
      <c r="BE1426" s="11">
        <v>0</v>
      </c>
    </row>
    <row x14ac:dyDescent="0.25" r="1427" customHeight="1" ht="17.25">
      <c r="A1427" s="11">
        <v>42975172</v>
      </c>
      <c r="B1427" s="4" t="s">
        <v>6356</v>
      </c>
      <c r="C1427" s="5" t="s">
        <v>1401</v>
      </c>
      <c r="D1427" s="5" t="s">
        <v>1402</v>
      </c>
      <c r="E1427" s="12"/>
      <c r="F1427" s="13">
        <f>""</f>
      </c>
      <c r="G1427" s="13">
        <f>""</f>
      </c>
      <c r="H1427" s="11">
        <v>0</v>
      </c>
      <c r="I1427" s="14">
        <v>4.19</v>
      </c>
      <c r="J1427" s="7" t="s">
        <v>1300</v>
      </c>
      <c r="K1427" s="5" t="s">
        <v>72</v>
      </c>
      <c r="L1427" s="11">
        <v>422</v>
      </c>
      <c r="M1427" s="11">
        <v>2019</v>
      </c>
      <c r="N1427" s="11">
        <v>2019</v>
      </c>
      <c r="O1427" s="15"/>
      <c r="P1427" s="8">
        <v>45111</v>
      </c>
      <c r="Q1427" s="8"/>
      <c r="R1427" s="8"/>
      <c r="S1427" s="8"/>
      <c r="T1427" s="8"/>
      <c r="U1427" s="8"/>
      <c r="V1427" s="8"/>
      <c r="W1427" s="8"/>
      <c r="X1427" s="8"/>
      <c r="Y1427" s="8"/>
      <c r="Z1427" s="8"/>
      <c r="AA1427" s="8"/>
      <c r="AB1427" s="8"/>
      <c r="AC1427" s="8"/>
      <c r="AD1427" s="8"/>
      <c r="AE1427" s="8"/>
      <c r="AF1427" s="8"/>
      <c r="AG1427" s="8"/>
      <c r="AH1427" s="8"/>
      <c r="AI1427" s="8"/>
      <c r="AJ1427" s="8"/>
      <c r="AK1427" s="8"/>
      <c r="AL1427" s="8"/>
      <c r="AM1427" s="8"/>
      <c r="AN1427" s="8"/>
      <c r="AO1427" s="8"/>
      <c r="AP1427" s="8"/>
      <c r="AQ1427" s="8"/>
      <c r="AR1427" s="8"/>
      <c r="AS1427" s="8"/>
      <c r="AT1427" s="8"/>
      <c r="AU1427" s="8"/>
      <c r="AV1427" s="8"/>
      <c r="AW1427" s="8"/>
      <c r="AX1427" s="4" t="s">
        <v>5391</v>
      </c>
      <c r="AY1427" s="5" t="s">
        <v>6357</v>
      </c>
      <c r="AZ1427" s="5" t="s">
        <v>38</v>
      </c>
      <c r="BA1427" s="12"/>
      <c r="BB1427" s="12"/>
      <c r="BC1427" s="12"/>
      <c r="BD1427" s="11">
        <v>0</v>
      </c>
      <c r="BE1427" s="11">
        <v>0</v>
      </c>
    </row>
    <row x14ac:dyDescent="0.25" r="1428" customHeight="1" ht="17.25">
      <c r="A1428" s="11">
        <v>36047860</v>
      </c>
      <c r="B1428" s="4" t="s">
        <v>6358</v>
      </c>
      <c r="C1428" s="5" t="s">
        <v>6359</v>
      </c>
      <c r="D1428" s="5" t="s">
        <v>6360</v>
      </c>
      <c r="E1428" s="12"/>
      <c r="F1428" s="13">
        <f>"0571338763"</f>
      </c>
      <c r="G1428" s="13">
        <f>"9780571338764"</f>
      </c>
      <c r="H1428" s="11">
        <v>0</v>
      </c>
      <c r="I1428" s="14">
        <v>3.54</v>
      </c>
      <c r="J1428" s="7" t="s">
        <v>316</v>
      </c>
      <c r="K1428" s="5" t="s">
        <v>96</v>
      </c>
      <c r="L1428" s="11">
        <v>352</v>
      </c>
      <c r="M1428" s="11">
        <v>2018</v>
      </c>
      <c r="N1428" s="11">
        <v>2018</v>
      </c>
      <c r="O1428" s="15"/>
      <c r="P1428" s="8">
        <v>45111</v>
      </c>
      <c r="Q1428" s="8"/>
      <c r="R1428" s="8"/>
      <c r="S1428" s="8"/>
      <c r="T1428" s="8"/>
      <c r="U1428" s="8"/>
      <c r="V1428" s="8"/>
      <c r="W1428" s="8"/>
      <c r="X1428" s="8"/>
      <c r="Y1428" s="8"/>
      <c r="Z1428" s="8"/>
      <c r="AA1428" s="8"/>
      <c r="AB1428" s="8"/>
      <c r="AC1428" s="8"/>
      <c r="AD1428" s="8"/>
      <c r="AE1428" s="8"/>
      <c r="AF1428" s="8"/>
      <c r="AG1428" s="8"/>
      <c r="AH1428" s="8"/>
      <c r="AI1428" s="8"/>
      <c r="AJ1428" s="8"/>
      <c r="AK1428" s="8"/>
      <c r="AL1428" s="8"/>
      <c r="AM1428" s="8"/>
      <c r="AN1428" s="8"/>
      <c r="AO1428" s="8"/>
      <c r="AP1428" s="8"/>
      <c r="AQ1428" s="8"/>
      <c r="AR1428" s="8"/>
      <c r="AS1428" s="8"/>
      <c r="AT1428" s="8"/>
      <c r="AU1428" s="8"/>
      <c r="AV1428" s="8"/>
      <c r="AW1428" s="8"/>
      <c r="AX1428" s="4" t="s">
        <v>5391</v>
      </c>
      <c r="AY1428" s="5" t="s">
        <v>6361</v>
      </c>
      <c r="AZ1428" s="5" t="s">
        <v>38</v>
      </c>
      <c r="BA1428" s="12"/>
      <c r="BB1428" s="12"/>
      <c r="BC1428" s="12"/>
      <c r="BD1428" s="11">
        <v>0</v>
      </c>
      <c r="BE1428" s="11">
        <v>0</v>
      </c>
    </row>
    <row x14ac:dyDescent="0.25" r="1429" customHeight="1" ht="17.25">
      <c r="A1429" s="11">
        <v>29906980</v>
      </c>
      <c r="B1429" s="4" t="s">
        <v>6362</v>
      </c>
      <c r="C1429" s="5" t="s">
        <v>1132</v>
      </c>
      <c r="D1429" s="5" t="s">
        <v>1133</v>
      </c>
      <c r="E1429" s="12"/>
      <c r="F1429" s="13">
        <f>"0812995341"</f>
      </c>
      <c r="G1429" s="13">
        <f>"9780812995343"</f>
      </c>
      <c r="H1429" s="11">
        <v>0</v>
      </c>
      <c r="I1429" s="14">
        <v>3.75</v>
      </c>
      <c r="J1429" s="7" t="s">
        <v>1018</v>
      </c>
      <c r="K1429" s="5" t="s">
        <v>72</v>
      </c>
      <c r="L1429" s="11">
        <v>368</v>
      </c>
      <c r="M1429" s="11">
        <v>2017</v>
      </c>
      <c r="N1429" s="11">
        <v>2017</v>
      </c>
      <c r="O1429" s="15"/>
      <c r="P1429" s="8">
        <v>45111</v>
      </c>
      <c r="Q1429" s="8"/>
      <c r="R1429" s="8"/>
      <c r="S1429" s="8"/>
      <c r="T1429" s="8"/>
      <c r="U1429" s="8"/>
      <c r="V1429" s="8"/>
      <c r="W1429" s="8"/>
      <c r="X1429" s="8"/>
      <c r="Y1429" s="8"/>
      <c r="Z1429" s="8"/>
      <c r="AA1429" s="8"/>
      <c r="AB1429" s="8"/>
      <c r="AC1429" s="8"/>
      <c r="AD1429" s="8"/>
      <c r="AE1429" s="8"/>
      <c r="AF1429" s="8"/>
      <c r="AG1429" s="8"/>
      <c r="AH1429" s="8"/>
      <c r="AI1429" s="8"/>
      <c r="AJ1429" s="8"/>
      <c r="AK1429" s="8"/>
      <c r="AL1429" s="8"/>
      <c r="AM1429" s="8"/>
      <c r="AN1429" s="8"/>
      <c r="AO1429" s="8"/>
      <c r="AP1429" s="8"/>
      <c r="AQ1429" s="8"/>
      <c r="AR1429" s="8"/>
      <c r="AS1429" s="8"/>
      <c r="AT1429" s="8"/>
      <c r="AU1429" s="8"/>
      <c r="AV1429" s="8"/>
      <c r="AW1429" s="8"/>
      <c r="AX1429" s="4" t="s">
        <v>5391</v>
      </c>
      <c r="AY1429" s="5" t="s">
        <v>6363</v>
      </c>
      <c r="AZ1429" s="5" t="s">
        <v>38</v>
      </c>
      <c r="BA1429" s="12"/>
      <c r="BB1429" s="12"/>
      <c r="BC1429" s="12"/>
      <c r="BD1429" s="11">
        <v>0</v>
      </c>
      <c r="BE1429" s="11">
        <v>0</v>
      </c>
    </row>
    <row x14ac:dyDescent="0.25" r="1430" customHeight="1" ht="17.25">
      <c r="A1430" s="11">
        <v>22237161</v>
      </c>
      <c r="B1430" s="4" t="s">
        <v>6364</v>
      </c>
      <c r="C1430" s="5" t="s">
        <v>6365</v>
      </c>
      <c r="D1430" s="5" t="s">
        <v>6366</v>
      </c>
      <c r="E1430" s="12"/>
      <c r="F1430" s="13">
        <f>"0374260508"</f>
      </c>
      <c r="G1430" s="13">
        <f>"9780374260507"</f>
      </c>
      <c r="H1430" s="11">
        <v>0</v>
      </c>
      <c r="I1430" s="14">
        <v>3.75</v>
      </c>
      <c r="J1430" s="7" t="s">
        <v>120</v>
      </c>
      <c r="K1430" s="5" t="s">
        <v>72</v>
      </c>
      <c r="L1430" s="11">
        <v>289</v>
      </c>
      <c r="M1430" s="11">
        <v>2015</v>
      </c>
      <c r="N1430" s="11">
        <v>2015</v>
      </c>
      <c r="O1430" s="15"/>
      <c r="P1430" s="8">
        <v>45111</v>
      </c>
      <c r="Q1430" s="8"/>
      <c r="R1430" s="8"/>
      <c r="S1430" s="8"/>
      <c r="T1430" s="8"/>
      <c r="U1430" s="8"/>
      <c r="V1430" s="8"/>
      <c r="W1430" s="8"/>
      <c r="X1430" s="8"/>
      <c r="Y1430" s="8"/>
      <c r="Z1430" s="8"/>
      <c r="AA1430" s="8"/>
      <c r="AB1430" s="8"/>
      <c r="AC1430" s="8"/>
      <c r="AD1430" s="8"/>
      <c r="AE1430" s="8"/>
      <c r="AF1430" s="8"/>
      <c r="AG1430" s="8"/>
      <c r="AH1430" s="8"/>
      <c r="AI1430" s="8"/>
      <c r="AJ1430" s="8"/>
      <c r="AK1430" s="8"/>
      <c r="AL1430" s="8"/>
      <c r="AM1430" s="8"/>
      <c r="AN1430" s="8"/>
      <c r="AO1430" s="8"/>
      <c r="AP1430" s="8"/>
      <c r="AQ1430" s="8"/>
      <c r="AR1430" s="8"/>
      <c r="AS1430" s="8"/>
      <c r="AT1430" s="8"/>
      <c r="AU1430" s="8"/>
      <c r="AV1430" s="8"/>
      <c r="AW1430" s="8"/>
      <c r="AX1430" s="4" t="s">
        <v>5391</v>
      </c>
      <c r="AY1430" s="5" t="s">
        <v>6367</v>
      </c>
      <c r="AZ1430" s="5" t="s">
        <v>38</v>
      </c>
      <c r="BA1430" s="12"/>
      <c r="BB1430" s="12"/>
      <c r="BC1430" s="12"/>
      <c r="BD1430" s="11">
        <v>0</v>
      </c>
      <c r="BE1430" s="11">
        <v>0</v>
      </c>
    </row>
    <row x14ac:dyDescent="0.25" r="1431" customHeight="1" ht="17.25">
      <c r="A1431" s="11">
        <v>17905709</v>
      </c>
      <c r="B1431" s="4" t="s">
        <v>6368</v>
      </c>
      <c r="C1431" s="5" t="s">
        <v>6369</v>
      </c>
      <c r="D1431" s="5" t="s">
        <v>6370</v>
      </c>
      <c r="E1431" s="12"/>
      <c r="F1431" s="13">
        <f>""</f>
      </c>
      <c r="G1431" s="13">
        <f>""</f>
      </c>
      <c r="H1431" s="11">
        <v>0</v>
      </c>
      <c r="I1431" s="14">
        <v>4.02</v>
      </c>
      <c r="J1431" s="7" t="s">
        <v>6371</v>
      </c>
      <c r="K1431" s="5" t="s">
        <v>60</v>
      </c>
      <c r="L1431" s="11">
        <v>467</v>
      </c>
      <c r="M1431" s="11">
        <v>2013</v>
      </c>
      <c r="N1431" s="11">
        <v>2013</v>
      </c>
      <c r="O1431" s="15"/>
      <c r="P1431" s="8">
        <v>45111</v>
      </c>
      <c r="Q1431" s="8"/>
      <c r="R1431" s="8"/>
      <c r="S1431" s="8"/>
      <c r="T1431" s="8"/>
      <c r="U1431" s="8"/>
      <c r="V1431" s="8"/>
      <c r="W1431" s="8"/>
      <c r="X1431" s="8"/>
      <c r="Y1431" s="8"/>
      <c r="Z1431" s="8"/>
      <c r="AA1431" s="8"/>
      <c r="AB1431" s="8"/>
      <c r="AC1431" s="8"/>
      <c r="AD1431" s="8"/>
      <c r="AE1431" s="8"/>
      <c r="AF1431" s="8"/>
      <c r="AG1431" s="8"/>
      <c r="AH1431" s="8"/>
      <c r="AI1431" s="8"/>
      <c r="AJ1431" s="8"/>
      <c r="AK1431" s="8"/>
      <c r="AL1431" s="8"/>
      <c r="AM1431" s="8"/>
      <c r="AN1431" s="8"/>
      <c r="AO1431" s="8"/>
      <c r="AP1431" s="8"/>
      <c r="AQ1431" s="8"/>
      <c r="AR1431" s="8"/>
      <c r="AS1431" s="8"/>
      <c r="AT1431" s="8"/>
      <c r="AU1431" s="8"/>
      <c r="AV1431" s="8"/>
      <c r="AW1431" s="8"/>
      <c r="AX1431" s="4" t="s">
        <v>5391</v>
      </c>
      <c r="AY1431" s="5" t="s">
        <v>6372</v>
      </c>
      <c r="AZ1431" s="5" t="s">
        <v>38</v>
      </c>
      <c r="BA1431" s="12"/>
      <c r="BB1431" s="12"/>
      <c r="BC1431" s="12"/>
      <c r="BD1431" s="11">
        <v>0</v>
      </c>
      <c r="BE1431" s="11">
        <v>0</v>
      </c>
    </row>
    <row x14ac:dyDescent="0.25" r="1432" customHeight="1" ht="17.25">
      <c r="A1432" s="11">
        <v>10746542</v>
      </c>
      <c r="B1432" s="4" t="s">
        <v>6373</v>
      </c>
      <c r="C1432" s="5" t="s">
        <v>6374</v>
      </c>
      <c r="D1432" s="5" t="s">
        <v>6375</v>
      </c>
      <c r="E1432" s="12"/>
      <c r="F1432" s="13">
        <f>"0224094157"</f>
      </c>
      <c r="G1432" s="13">
        <f>"9780224094153"</f>
      </c>
      <c r="H1432" s="11">
        <v>0</v>
      </c>
      <c r="I1432" s="14">
        <v>3.73</v>
      </c>
      <c r="J1432" s="7" t="s">
        <v>1306</v>
      </c>
      <c r="K1432" s="5" t="s">
        <v>72</v>
      </c>
      <c r="L1432" s="11">
        <v>150</v>
      </c>
      <c r="M1432" s="11">
        <v>2011</v>
      </c>
      <c r="N1432" s="11">
        <v>2011</v>
      </c>
      <c r="O1432" s="15"/>
      <c r="P1432" s="8">
        <v>45111</v>
      </c>
      <c r="Q1432" s="8"/>
      <c r="R1432" s="8"/>
      <c r="S1432" s="8"/>
      <c r="T1432" s="8"/>
      <c r="U1432" s="8"/>
      <c r="V1432" s="8"/>
      <c r="W1432" s="8"/>
      <c r="X1432" s="8"/>
      <c r="Y1432" s="8"/>
      <c r="Z1432" s="8"/>
      <c r="AA1432" s="8"/>
      <c r="AB1432" s="8"/>
      <c r="AC1432" s="8"/>
      <c r="AD1432" s="8"/>
      <c r="AE1432" s="8"/>
      <c r="AF1432" s="8"/>
      <c r="AG1432" s="8"/>
      <c r="AH1432" s="8"/>
      <c r="AI1432" s="8"/>
      <c r="AJ1432" s="8"/>
      <c r="AK1432" s="8"/>
      <c r="AL1432" s="8"/>
      <c r="AM1432" s="8"/>
      <c r="AN1432" s="8"/>
      <c r="AO1432" s="8"/>
      <c r="AP1432" s="8"/>
      <c r="AQ1432" s="8"/>
      <c r="AR1432" s="8"/>
      <c r="AS1432" s="8"/>
      <c r="AT1432" s="8"/>
      <c r="AU1432" s="8"/>
      <c r="AV1432" s="8"/>
      <c r="AW1432" s="8"/>
      <c r="AX1432" s="4" t="s">
        <v>5391</v>
      </c>
      <c r="AY1432" s="5" t="s">
        <v>6376</v>
      </c>
      <c r="AZ1432" s="5" t="s">
        <v>38</v>
      </c>
      <c r="BA1432" s="12"/>
      <c r="BB1432" s="12"/>
      <c r="BC1432" s="12"/>
      <c r="BD1432" s="11">
        <v>0</v>
      </c>
      <c r="BE1432" s="11">
        <v>0</v>
      </c>
    </row>
    <row x14ac:dyDescent="0.25" r="1433" customHeight="1" ht="17.25">
      <c r="A1433" s="11">
        <v>8664368</v>
      </c>
      <c r="B1433" s="4" t="s">
        <v>6377</v>
      </c>
      <c r="C1433" s="5" t="s">
        <v>6378</v>
      </c>
      <c r="D1433" s="5" t="s">
        <v>6379</v>
      </c>
      <c r="E1433" s="12"/>
      <c r="F1433" s="13">
        <f>"1408808870"</f>
      </c>
      <c r="G1433" s="13">
        <f>"9781408808870"</f>
      </c>
      <c r="H1433" s="11">
        <v>0</v>
      </c>
      <c r="I1433" s="14">
        <v>2.82</v>
      </c>
      <c r="J1433" s="7" t="s">
        <v>5211</v>
      </c>
      <c r="K1433" s="5" t="s">
        <v>72</v>
      </c>
      <c r="L1433" s="11">
        <v>307</v>
      </c>
      <c r="M1433" s="11">
        <v>2010</v>
      </c>
      <c r="N1433" s="11">
        <v>2010</v>
      </c>
      <c r="O1433" s="15"/>
      <c r="P1433" s="8">
        <v>45111</v>
      </c>
      <c r="Q1433" s="8"/>
      <c r="R1433" s="8"/>
      <c r="S1433" s="8"/>
      <c r="T1433" s="8"/>
      <c r="U1433" s="8"/>
      <c r="V1433" s="8"/>
      <c r="W1433" s="8"/>
      <c r="X1433" s="8"/>
      <c r="Y1433" s="8"/>
      <c r="Z1433" s="8"/>
      <c r="AA1433" s="8"/>
      <c r="AB1433" s="8"/>
      <c r="AC1433" s="8"/>
      <c r="AD1433" s="8"/>
      <c r="AE1433" s="8"/>
      <c r="AF1433" s="8"/>
      <c r="AG1433" s="8"/>
      <c r="AH1433" s="8"/>
      <c r="AI1433" s="8"/>
      <c r="AJ1433" s="8"/>
      <c r="AK1433" s="8"/>
      <c r="AL1433" s="8"/>
      <c r="AM1433" s="8"/>
      <c r="AN1433" s="8"/>
      <c r="AO1433" s="8"/>
      <c r="AP1433" s="8"/>
      <c r="AQ1433" s="8"/>
      <c r="AR1433" s="8"/>
      <c r="AS1433" s="8"/>
      <c r="AT1433" s="8"/>
      <c r="AU1433" s="8"/>
      <c r="AV1433" s="8"/>
      <c r="AW1433" s="8"/>
      <c r="AX1433" s="4" t="s">
        <v>5391</v>
      </c>
      <c r="AY1433" s="5" t="s">
        <v>6380</v>
      </c>
      <c r="AZ1433" s="5" t="s">
        <v>38</v>
      </c>
      <c r="BA1433" s="12"/>
      <c r="BB1433" s="12"/>
      <c r="BC1433" s="12"/>
      <c r="BD1433" s="11">
        <v>0</v>
      </c>
      <c r="BE1433" s="11">
        <v>0</v>
      </c>
    </row>
    <row x14ac:dyDescent="0.25" r="1434" customHeight="1" ht="17.25">
      <c r="A1434" s="11">
        <v>1768603</v>
      </c>
      <c r="B1434" s="4" t="s">
        <v>6381</v>
      </c>
      <c r="C1434" s="5" t="s">
        <v>6382</v>
      </c>
      <c r="D1434" s="5" t="s">
        <v>6383</v>
      </c>
      <c r="E1434" s="12"/>
      <c r="F1434" s="13">
        <f>"1416562591"</f>
      </c>
      <c r="G1434" s="13">
        <f>"9781416562597"</f>
      </c>
      <c r="H1434" s="11">
        <v>0</v>
      </c>
      <c r="I1434" s="14">
        <v>3.76</v>
      </c>
      <c r="J1434" s="7" t="s">
        <v>311</v>
      </c>
      <c r="K1434" s="5" t="s">
        <v>72</v>
      </c>
      <c r="L1434" s="11">
        <v>276</v>
      </c>
      <c r="M1434" s="11">
        <v>2008</v>
      </c>
      <c r="N1434" s="11">
        <v>2008</v>
      </c>
      <c r="O1434" s="15"/>
      <c r="P1434" s="8">
        <v>45111</v>
      </c>
      <c r="Q1434" s="8"/>
      <c r="R1434" s="8"/>
      <c r="S1434" s="8"/>
      <c r="T1434" s="8"/>
      <c r="U1434" s="8"/>
      <c r="V1434" s="8"/>
      <c r="W1434" s="8"/>
      <c r="X1434" s="8"/>
      <c r="Y1434" s="8"/>
      <c r="Z1434" s="8"/>
      <c r="AA1434" s="8"/>
      <c r="AB1434" s="8"/>
      <c r="AC1434" s="8"/>
      <c r="AD1434" s="8"/>
      <c r="AE1434" s="8"/>
      <c r="AF1434" s="8"/>
      <c r="AG1434" s="8"/>
      <c r="AH1434" s="8"/>
      <c r="AI1434" s="8"/>
      <c r="AJ1434" s="8"/>
      <c r="AK1434" s="8"/>
      <c r="AL1434" s="8"/>
      <c r="AM1434" s="8"/>
      <c r="AN1434" s="8"/>
      <c r="AO1434" s="8"/>
      <c r="AP1434" s="8"/>
      <c r="AQ1434" s="8"/>
      <c r="AR1434" s="8"/>
      <c r="AS1434" s="8"/>
      <c r="AT1434" s="8"/>
      <c r="AU1434" s="8"/>
      <c r="AV1434" s="8"/>
      <c r="AW1434" s="8"/>
      <c r="AX1434" s="4" t="s">
        <v>5391</v>
      </c>
      <c r="AY1434" s="5" t="s">
        <v>6384</v>
      </c>
      <c r="AZ1434" s="5" t="s">
        <v>38</v>
      </c>
      <c r="BA1434" s="12"/>
      <c r="BB1434" s="12"/>
      <c r="BC1434" s="12"/>
      <c r="BD1434" s="11">
        <v>0</v>
      </c>
      <c r="BE1434" s="11">
        <v>0</v>
      </c>
    </row>
    <row x14ac:dyDescent="0.25" r="1435" customHeight="1" ht="17.25">
      <c r="A1435" s="11">
        <v>998133</v>
      </c>
      <c r="B1435" s="4" t="s">
        <v>6385</v>
      </c>
      <c r="C1435" s="5" t="s">
        <v>6386</v>
      </c>
      <c r="D1435" s="5" t="s">
        <v>6387</v>
      </c>
      <c r="E1435" s="12"/>
      <c r="F1435" s="13">
        <f>"0802170390"</f>
      </c>
      <c r="G1435" s="13">
        <f>"9780802170392"</f>
      </c>
      <c r="H1435" s="11">
        <v>0</v>
      </c>
      <c r="I1435" s="14">
        <v>3.11</v>
      </c>
      <c r="J1435" s="7" t="s">
        <v>6388</v>
      </c>
      <c r="K1435" s="5" t="s">
        <v>60</v>
      </c>
      <c r="L1435" s="11">
        <v>261</v>
      </c>
      <c r="M1435" s="11">
        <v>2007</v>
      </c>
      <c r="N1435" s="11">
        <v>2007</v>
      </c>
      <c r="O1435" s="15"/>
      <c r="P1435" s="8">
        <v>45111</v>
      </c>
      <c r="Q1435" s="8"/>
      <c r="R1435" s="8"/>
      <c r="S1435" s="8"/>
      <c r="T1435" s="8"/>
      <c r="U1435" s="8"/>
      <c r="V1435" s="8"/>
      <c r="W1435" s="8"/>
      <c r="X1435" s="8"/>
      <c r="Y1435" s="8"/>
      <c r="Z1435" s="8"/>
      <c r="AA1435" s="8"/>
      <c r="AB1435" s="8"/>
      <c r="AC1435" s="8"/>
      <c r="AD1435" s="8"/>
      <c r="AE1435" s="8"/>
      <c r="AF1435" s="8"/>
      <c r="AG1435" s="8"/>
      <c r="AH1435" s="8"/>
      <c r="AI1435" s="8"/>
      <c r="AJ1435" s="8"/>
      <c r="AK1435" s="8"/>
      <c r="AL1435" s="8"/>
      <c r="AM1435" s="8"/>
      <c r="AN1435" s="8"/>
      <c r="AO1435" s="8"/>
      <c r="AP1435" s="8"/>
      <c r="AQ1435" s="8"/>
      <c r="AR1435" s="8"/>
      <c r="AS1435" s="8"/>
      <c r="AT1435" s="8"/>
      <c r="AU1435" s="8"/>
      <c r="AV1435" s="8"/>
      <c r="AW1435" s="8"/>
      <c r="AX1435" s="4" t="s">
        <v>5391</v>
      </c>
      <c r="AY1435" s="5" t="s">
        <v>6389</v>
      </c>
      <c r="AZ1435" s="5" t="s">
        <v>38</v>
      </c>
      <c r="BA1435" s="12"/>
      <c r="BB1435" s="12"/>
      <c r="BC1435" s="12"/>
      <c r="BD1435" s="11">
        <v>0</v>
      </c>
      <c r="BE1435" s="11">
        <v>0</v>
      </c>
    </row>
    <row x14ac:dyDescent="0.25" r="1436" customHeight="1" ht="17.25">
      <c r="A1436" s="11">
        <v>95186</v>
      </c>
      <c r="B1436" s="4" t="s">
        <v>6390</v>
      </c>
      <c r="C1436" s="5" t="s">
        <v>6391</v>
      </c>
      <c r="D1436" s="5" t="s">
        <v>6392</v>
      </c>
      <c r="E1436" s="12"/>
      <c r="F1436" s="13">
        <f>"0802142818"</f>
      </c>
      <c r="G1436" s="13">
        <f>"9780802142818"</f>
      </c>
      <c r="H1436" s="11">
        <v>0</v>
      </c>
      <c r="I1436" s="14">
        <v>3.45</v>
      </c>
      <c r="J1436" s="7" t="s">
        <v>66</v>
      </c>
      <c r="K1436" s="5" t="s">
        <v>60</v>
      </c>
      <c r="L1436" s="11">
        <v>357</v>
      </c>
      <c r="M1436" s="11">
        <v>2005</v>
      </c>
      <c r="N1436" s="11">
        <v>2005</v>
      </c>
      <c r="O1436" s="15"/>
      <c r="P1436" s="8">
        <v>45111</v>
      </c>
      <c r="Q1436" s="8"/>
      <c r="R1436" s="8"/>
      <c r="S1436" s="8"/>
      <c r="T1436" s="8"/>
      <c r="U1436" s="8"/>
      <c r="V1436" s="8"/>
      <c r="W1436" s="8"/>
      <c r="X1436" s="8"/>
      <c r="Y1436" s="8"/>
      <c r="Z1436" s="8"/>
      <c r="AA1436" s="8"/>
      <c r="AB1436" s="8"/>
      <c r="AC1436" s="8"/>
      <c r="AD1436" s="8"/>
      <c r="AE1436" s="8"/>
      <c r="AF1436" s="8"/>
      <c r="AG1436" s="8"/>
      <c r="AH1436" s="8"/>
      <c r="AI1436" s="8"/>
      <c r="AJ1436" s="8"/>
      <c r="AK1436" s="8"/>
      <c r="AL1436" s="8"/>
      <c r="AM1436" s="8"/>
      <c r="AN1436" s="8"/>
      <c r="AO1436" s="8"/>
      <c r="AP1436" s="8"/>
      <c r="AQ1436" s="8"/>
      <c r="AR1436" s="8"/>
      <c r="AS1436" s="8"/>
      <c r="AT1436" s="8"/>
      <c r="AU1436" s="8"/>
      <c r="AV1436" s="8"/>
      <c r="AW1436" s="8"/>
      <c r="AX1436" s="4" t="s">
        <v>5391</v>
      </c>
      <c r="AY1436" s="5" t="s">
        <v>6393</v>
      </c>
      <c r="AZ1436" s="5" t="s">
        <v>38</v>
      </c>
      <c r="BA1436" s="12"/>
      <c r="BB1436" s="12"/>
      <c r="BC1436" s="12"/>
      <c r="BD1436" s="11">
        <v>0</v>
      </c>
      <c r="BE1436" s="11">
        <v>0</v>
      </c>
    </row>
    <row x14ac:dyDescent="0.25" r="1437" customHeight="1" ht="17.25">
      <c r="A1437" s="11">
        <v>3656</v>
      </c>
      <c r="B1437" s="4" t="s">
        <v>6394</v>
      </c>
      <c r="C1437" s="5" t="s">
        <v>1138</v>
      </c>
      <c r="D1437" s="5" t="s">
        <v>6395</v>
      </c>
      <c r="E1437" s="12"/>
      <c r="F1437" s="13">
        <f>"1400097029"</f>
      </c>
      <c r="G1437" s="13">
        <f>"9781400097029"</f>
      </c>
      <c r="H1437" s="11">
        <v>0</v>
      </c>
      <c r="I1437" s="14">
        <v>3.54</v>
      </c>
      <c r="J1437" s="7" t="s">
        <v>284</v>
      </c>
      <c r="K1437" s="5" t="s">
        <v>60</v>
      </c>
      <c r="L1437" s="11">
        <v>195</v>
      </c>
      <c r="M1437" s="11">
        <v>2006</v>
      </c>
      <c r="N1437" s="11">
        <v>2005</v>
      </c>
      <c r="O1437" s="15"/>
      <c r="P1437" s="8">
        <v>41616</v>
      </c>
      <c r="Q1437" s="8"/>
      <c r="R1437" s="8"/>
      <c r="S1437" s="8"/>
      <c r="T1437" s="8"/>
      <c r="U1437" s="8"/>
      <c r="V1437" s="8"/>
      <c r="W1437" s="8"/>
      <c r="X1437" s="8"/>
      <c r="Y1437" s="8"/>
      <c r="Z1437" s="8"/>
      <c r="AA1437" s="8"/>
      <c r="AB1437" s="8"/>
      <c r="AC1437" s="8"/>
      <c r="AD1437" s="8"/>
      <c r="AE1437" s="8"/>
      <c r="AF1437" s="8"/>
      <c r="AG1437" s="8"/>
      <c r="AH1437" s="8"/>
      <c r="AI1437" s="8"/>
      <c r="AJ1437" s="8"/>
      <c r="AK1437" s="8"/>
      <c r="AL1437" s="8"/>
      <c r="AM1437" s="8"/>
      <c r="AN1437" s="8"/>
      <c r="AO1437" s="8"/>
      <c r="AP1437" s="8"/>
      <c r="AQ1437" s="8"/>
      <c r="AR1437" s="8"/>
      <c r="AS1437" s="8"/>
      <c r="AT1437" s="8"/>
      <c r="AU1437" s="8"/>
      <c r="AV1437" s="8"/>
      <c r="AW1437" s="8"/>
      <c r="AX1437" s="4" t="s">
        <v>5391</v>
      </c>
      <c r="AY1437" s="5" t="s">
        <v>6396</v>
      </c>
      <c r="AZ1437" s="5" t="s">
        <v>38</v>
      </c>
      <c r="BA1437" s="12"/>
      <c r="BB1437" s="12"/>
      <c r="BC1437" s="12"/>
      <c r="BD1437" s="11">
        <v>0</v>
      </c>
      <c r="BE1437" s="11">
        <v>0</v>
      </c>
    </row>
    <row x14ac:dyDescent="0.25" r="1438" customHeight="1" ht="17.25">
      <c r="A1438" s="11">
        <v>139087</v>
      </c>
      <c r="B1438" s="4" t="s">
        <v>6397</v>
      </c>
      <c r="C1438" s="5" t="s">
        <v>6398</v>
      </c>
      <c r="D1438" s="5" t="s">
        <v>6399</v>
      </c>
      <c r="E1438" s="12"/>
      <c r="F1438" s="13">
        <f>"0739464469"</f>
      </c>
      <c r="G1438" s="13">
        <f>"9780739464465"</f>
      </c>
      <c r="H1438" s="11">
        <v>0</v>
      </c>
      <c r="I1438" s="14">
        <v>3.74</v>
      </c>
      <c r="J1438" s="7" t="s">
        <v>5211</v>
      </c>
      <c r="K1438" s="5" t="s">
        <v>60</v>
      </c>
      <c r="L1438" s="11">
        <v>438</v>
      </c>
      <c r="M1438" s="11">
        <v>2004</v>
      </c>
      <c r="N1438" s="11">
        <v>2004</v>
      </c>
      <c r="O1438" s="15"/>
      <c r="P1438" s="8">
        <v>45111</v>
      </c>
      <c r="Q1438" s="8"/>
      <c r="R1438" s="8"/>
      <c r="S1438" s="8"/>
      <c r="T1438" s="8"/>
      <c r="U1438" s="8"/>
      <c r="V1438" s="8"/>
      <c r="W1438" s="8"/>
      <c r="X1438" s="8"/>
      <c r="Y1438" s="8"/>
      <c r="Z1438" s="8"/>
      <c r="AA1438" s="8"/>
      <c r="AB1438" s="8"/>
      <c r="AC1438" s="8"/>
      <c r="AD1438" s="8"/>
      <c r="AE1438" s="8"/>
      <c r="AF1438" s="8"/>
      <c r="AG1438" s="8"/>
      <c r="AH1438" s="8"/>
      <c r="AI1438" s="8"/>
      <c r="AJ1438" s="8"/>
      <c r="AK1438" s="8"/>
      <c r="AL1438" s="8"/>
      <c r="AM1438" s="8"/>
      <c r="AN1438" s="8"/>
      <c r="AO1438" s="8"/>
      <c r="AP1438" s="8"/>
      <c r="AQ1438" s="8"/>
      <c r="AR1438" s="8"/>
      <c r="AS1438" s="8"/>
      <c r="AT1438" s="8"/>
      <c r="AU1438" s="8"/>
      <c r="AV1438" s="8"/>
      <c r="AW1438" s="8"/>
      <c r="AX1438" s="4" t="s">
        <v>5391</v>
      </c>
      <c r="AY1438" s="5" t="s">
        <v>6400</v>
      </c>
      <c r="AZ1438" s="5" t="s">
        <v>38</v>
      </c>
      <c r="BA1438" s="12"/>
      <c r="BB1438" s="12"/>
      <c r="BC1438" s="12"/>
      <c r="BD1438" s="11">
        <v>0</v>
      </c>
      <c r="BE1438" s="11">
        <v>0</v>
      </c>
    </row>
    <row x14ac:dyDescent="0.25" r="1439" customHeight="1" ht="17.25">
      <c r="A1439" s="11">
        <v>11711</v>
      </c>
      <c r="B1439" s="4" t="s">
        <v>6401</v>
      </c>
      <c r="C1439" s="5" t="s">
        <v>6402</v>
      </c>
      <c r="D1439" s="5" t="s">
        <v>6403</v>
      </c>
      <c r="E1439" s="12"/>
      <c r="F1439" s="13">
        <f>""</f>
      </c>
      <c r="G1439" s="13">
        <f>""</f>
      </c>
      <c r="H1439" s="11">
        <v>0</v>
      </c>
      <c r="I1439" s="14">
        <v>3.6</v>
      </c>
      <c r="J1439" s="7" t="s">
        <v>1618</v>
      </c>
      <c r="K1439" s="5" t="s">
        <v>60</v>
      </c>
      <c r="L1439" s="11">
        <v>279</v>
      </c>
      <c r="M1439" s="11">
        <v>2004</v>
      </c>
      <c r="N1439" s="11">
        <v>2003</v>
      </c>
      <c r="O1439" s="15"/>
      <c r="P1439" s="8">
        <v>45111</v>
      </c>
      <c r="Q1439" s="8"/>
      <c r="R1439" s="8"/>
      <c r="S1439" s="8"/>
      <c r="T1439" s="8"/>
      <c r="U1439" s="8"/>
      <c r="V1439" s="8"/>
      <c r="W1439" s="8"/>
      <c r="X1439" s="8"/>
      <c r="Y1439" s="8"/>
      <c r="Z1439" s="8"/>
      <c r="AA1439" s="8"/>
      <c r="AB1439" s="8"/>
      <c r="AC1439" s="8"/>
      <c r="AD1439" s="8"/>
      <c r="AE1439" s="8"/>
      <c r="AF1439" s="8"/>
      <c r="AG1439" s="8"/>
      <c r="AH1439" s="8"/>
      <c r="AI1439" s="8"/>
      <c r="AJ1439" s="8"/>
      <c r="AK1439" s="8"/>
      <c r="AL1439" s="8"/>
      <c r="AM1439" s="8"/>
      <c r="AN1439" s="8"/>
      <c r="AO1439" s="8"/>
      <c r="AP1439" s="8"/>
      <c r="AQ1439" s="8"/>
      <c r="AR1439" s="8"/>
      <c r="AS1439" s="8"/>
      <c r="AT1439" s="8"/>
      <c r="AU1439" s="8"/>
      <c r="AV1439" s="8"/>
      <c r="AW1439" s="8"/>
      <c r="AX1439" s="4" t="s">
        <v>5391</v>
      </c>
      <c r="AY1439" s="5" t="s">
        <v>6404</v>
      </c>
      <c r="AZ1439" s="5" t="s">
        <v>38</v>
      </c>
      <c r="BA1439" s="12"/>
      <c r="BB1439" s="12"/>
      <c r="BC1439" s="12"/>
      <c r="BD1439" s="11">
        <v>0</v>
      </c>
      <c r="BE1439" s="11">
        <v>0</v>
      </c>
    </row>
    <row x14ac:dyDescent="0.25" r="1440" customHeight="1" ht="17.25">
      <c r="A1440" s="11">
        <v>4214</v>
      </c>
      <c r="B1440" s="4" t="s">
        <v>6405</v>
      </c>
      <c r="C1440" s="5" t="s">
        <v>6406</v>
      </c>
      <c r="D1440" s="5" t="s">
        <v>6407</v>
      </c>
      <c r="E1440" s="12"/>
      <c r="F1440" s="13">
        <f>"0770430074"</f>
      </c>
      <c r="G1440" s="13">
        <f>"9780770430078"</f>
      </c>
      <c r="H1440" s="11">
        <v>0</v>
      </c>
      <c r="I1440" s="14">
        <v>3.93</v>
      </c>
      <c r="J1440" s="7" t="s">
        <v>6408</v>
      </c>
      <c r="K1440" s="5" t="s">
        <v>60</v>
      </c>
      <c r="L1440" s="11">
        <v>460</v>
      </c>
      <c r="M1440" s="11">
        <v>2006</v>
      </c>
      <c r="N1440" s="11">
        <v>2001</v>
      </c>
      <c r="O1440" s="15"/>
      <c r="P1440" s="8">
        <v>45111</v>
      </c>
      <c r="Q1440" s="8"/>
      <c r="R1440" s="8"/>
      <c r="S1440" s="8"/>
      <c r="T1440" s="8"/>
      <c r="U1440" s="8"/>
      <c r="V1440" s="8"/>
      <c r="W1440" s="8"/>
      <c r="X1440" s="8"/>
      <c r="Y1440" s="8"/>
      <c r="Z1440" s="8"/>
      <c r="AA1440" s="8"/>
      <c r="AB1440" s="8"/>
      <c r="AC1440" s="8"/>
      <c r="AD1440" s="8"/>
      <c r="AE1440" s="8"/>
      <c r="AF1440" s="8"/>
      <c r="AG1440" s="8"/>
      <c r="AH1440" s="8"/>
      <c r="AI1440" s="8"/>
      <c r="AJ1440" s="8"/>
      <c r="AK1440" s="8"/>
      <c r="AL1440" s="8"/>
      <c r="AM1440" s="8"/>
      <c r="AN1440" s="8"/>
      <c r="AO1440" s="8"/>
      <c r="AP1440" s="8"/>
      <c r="AQ1440" s="8"/>
      <c r="AR1440" s="8"/>
      <c r="AS1440" s="8"/>
      <c r="AT1440" s="8"/>
      <c r="AU1440" s="8"/>
      <c r="AV1440" s="8"/>
      <c r="AW1440" s="8"/>
      <c r="AX1440" s="4" t="s">
        <v>5391</v>
      </c>
      <c r="AY1440" s="5" t="s">
        <v>6409</v>
      </c>
      <c r="AZ1440" s="5" t="s">
        <v>38</v>
      </c>
      <c r="BA1440" s="12"/>
      <c r="BB1440" s="12"/>
      <c r="BC1440" s="12"/>
      <c r="BD1440" s="11">
        <v>0</v>
      </c>
      <c r="BE1440" s="11">
        <v>0</v>
      </c>
    </row>
    <row x14ac:dyDescent="0.25" r="1441" customHeight="1" ht="17.25">
      <c r="A1441" s="11">
        <v>78433</v>
      </c>
      <c r="B1441" s="4" t="s">
        <v>6410</v>
      </c>
      <c r="C1441" s="5" t="s">
        <v>1401</v>
      </c>
      <c r="D1441" s="5" t="s">
        <v>1402</v>
      </c>
      <c r="E1441" s="12"/>
      <c r="F1441" s="13">
        <f>""</f>
      </c>
      <c r="G1441" s="13">
        <f>""</f>
      </c>
      <c r="H1441" s="11">
        <v>0</v>
      </c>
      <c r="I1441" s="14">
        <v>3.96</v>
      </c>
      <c r="J1441" s="7" t="s">
        <v>6411</v>
      </c>
      <c r="K1441" s="5" t="s">
        <v>60</v>
      </c>
      <c r="L1441" s="11">
        <v>637</v>
      </c>
      <c r="M1441" s="11">
        <v>2001</v>
      </c>
      <c r="N1441" s="11">
        <v>2000</v>
      </c>
      <c r="O1441" s="15"/>
      <c r="P1441" s="8">
        <v>45111</v>
      </c>
      <c r="Q1441" s="8"/>
      <c r="R1441" s="8"/>
      <c r="S1441" s="8"/>
      <c r="T1441" s="8"/>
      <c r="U1441" s="8"/>
      <c r="V1441" s="8"/>
      <c r="W1441" s="8"/>
      <c r="X1441" s="8"/>
      <c r="Y1441" s="8"/>
      <c r="Z1441" s="8"/>
      <c r="AA1441" s="8"/>
      <c r="AB1441" s="8"/>
      <c r="AC1441" s="8"/>
      <c r="AD1441" s="8"/>
      <c r="AE1441" s="8"/>
      <c r="AF1441" s="8"/>
      <c r="AG1441" s="8"/>
      <c r="AH1441" s="8"/>
      <c r="AI1441" s="8"/>
      <c r="AJ1441" s="8"/>
      <c r="AK1441" s="8"/>
      <c r="AL1441" s="8"/>
      <c r="AM1441" s="8"/>
      <c r="AN1441" s="8"/>
      <c r="AO1441" s="8"/>
      <c r="AP1441" s="8"/>
      <c r="AQ1441" s="8"/>
      <c r="AR1441" s="8"/>
      <c r="AS1441" s="8"/>
      <c r="AT1441" s="8"/>
      <c r="AU1441" s="8"/>
      <c r="AV1441" s="8"/>
      <c r="AW1441" s="8"/>
      <c r="AX1441" s="4" t="s">
        <v>5391</v>
      </c>
      <c r="AY1441" s="5" t="s">
        <v>6412</v>
      </c>
      <c r="AZ1441" s="5" t="s">
        <v>38</v>
      </c>
      <c r="BA1441" s="12"/>
      <c r="BB1441" s="12"/>
      <c r="BC1441" s="12"/>
      <c r="BD1441" s="11">
        <v>0</v>
      </c>
      <c r="BE1441" s="11">
        <v>0</v>
      </c>
    </row>
    <row x14ac:dyDescent="0.25" r="1442" customHeight="1" ht="17.25">
      <c r="A1442" s="11">
        <v>32867213</v>
      </c>
      <c r="B1442" s="4" t="s">
        <v>6413</v>
      </c>
      <c r="C1442" s="5" t="s">
        <v>658</v>
      </c>
      <c r="D1442" s="5" t="s">
        <v>659</v>
      </c>
      <c r="E1442" s="12"/>
      <c r="F1442" s="13">
        <f>""</f>
      </c>
      <c r="G1442" s="13">
        <f>""</f>
      </c>
      <c r="H1442" s="11">
        <v>0</v>
      </c>
      <c r="I1442" s="14">
        <v>3.85</v>
      </c>
      <c r="J1442" s="7" t="s">
        <v>491</v>
      </c>
      <c r="K1442" s="5" t="s">
        <v>90</v>
      </c>
      <c r="L1442" s="11">
        <v>221</v>
      </c>
      <c r="M1442" s="11">
        <v>2017</v>
      </c>
      <c r="N1442" s="11">
        <v>1999</v>
      </c>
      <c r="O1442" s="15"/>
      <c r="P1442" s="8">
        <v>44254</v>
      </c>
      <c r="Q1442" s="8"/>
      <c r="R1442" s="8"/>
      <c r="S1442" s="8"/>
      <c r="T1442" s="8"/>
      <c r="U1442" s="8"/>
      <c r="V1442" s="8"/>
      <c r="W1442" s="8"/>
      <c r="X1442" s="8"/>
      <c r="Y1442" s="8"/>
      <c r="Z1442" s="8"/>
      <c r="AA1442" s="8"/>
      <c r="AB1442" s="8"/>
      <c r="AC1442" s="8"/>
      <c r="AD1442" s="8"/>
      <c r="AE1442" s="8"/>
      <c r="AF1442" s="8"/>
      <c r="AG1442" s="8"/>
      <c r="AH1442" s="8"/>
      <c r="AI1442" s="8"/>
      <c r="AJ1442" s="8"/>
      <c r="AK1442" s="8"/>
      <c r="AL1442" s="8"/>
      <c r="AM1442" s="8"/>
      <c r="AN1442" s="8"/>
      <c r="AO1442" s="8"/>
      <c r="AP1442" s="8"/>
      <c r="AQ1442" s="8"/>
      <c r="AR1442" s="8"/>
      <c r="AS1442" s="8"/>
      <c r="AT1442" s="8"/>
      <c r="AU1442" s="8"/>
      <c r="AV1442" s="8"/>
      <c r="AW1442" s="8"/>
      <c r="AX1442" s="4" t="s">
        <v>5391</v>
      </c>
      <c r="AY1442" s="5" t="s">
        <v>6414</v>
      </c>
      <c r="AZ1442" s="5" t="s">
        <v>38</v>
      </c>
      <c r="BA1442" s="12"/>
      <c r="BB1442" s="12"/>
      <c r="BC1442" s="12"/>
      <c r="BD1442" s="11">
        <v>0</v>
      </c>
      <c r="BE1442" s="11">
        <v>0</v>
      </c>
    </row>
    <row x14ac:dyDescent="0.25" r="1443" customHeight="1" ht="17.25">
      <c r="A1443" s="11">
        <v>6862</v>
      </c>
      <c r="B1443" s="4" t="s">
        <v>6415</v>
      </c>
      <c r="C1443" s="5" t="s">
        <v>6416</v>
      </c>
      <c r="D1443" s="5" t="s">
        <v>6417</v>
      </c>
      <c r="E1443" s="12"/>
      <c r="F1443" s="13">
        <f>"0385494246"</f>
      </c>
      <c r="G1443" s="13">
        <f>"9780385494243"</f>
      </c>
      <c r="H1443" s="11">
        <v>0</v>
      </c>
      <c r="I1443" s="14">
        <v>3.45</v>
      </c>
      <c r="J1443" s="7" t="s">
        <v>6418</v>
      </c>
      <c r="K1443" s="5" t="s">
        <v>60</v>
      </c>
      <c r="L1443" s="11">
        <v>208</v>
      </c>
      <c r="M1443" s="11">
        <v>1999</v>
      </c>
      <c r="N1443" s="11">
        <v>1998</v>
      </c>
      <c r="O1443" s="15"/>
      <c r="P1443" s="8">
        <v>45111</v>
      </c>
      <c r="Q1443" s="8"/>
      <c r="R1443" s="8"/>
      <c r="S1443" s="8"/>
      <c r="T1443" s="8"/>
      <c r="U1443" s="8"/>
      <c r="V1443" s="8"/>
      <c r="W1443" s="8"/>
      <c r="X1443" s="8"/>
      <c r="Y1443" s="8"/>
      <c r="Z1443" s="8"/>
      <c r="AA1443" s="8"/>
      <c r="AB1443" s="8"/>
      <c r="AC1443" s="8"/>
      <c r="AD1443" s="8"/>
      <c r="AE1443" s="8"/>
      <c r="AF1443" s="8"/>
      <c r="AG1443" s="8"/>
      <c r="AH1443" s="8"/>
      <c r="AI1443" s="8"/>
      <c r="AJ1443" s="8"/>
      <c r="AK1443" s="8"/>
      <c r="AL1443" s="8"/>
      <c r="AM1443" s="8"/>
      <c r="AN1443" s="8"/>
      <c r="AO1443" s="8"/>
      <c r="AP1443" s="8"/>
      <c r="AQ1443" s="8"/>
      <c r="AR1443" s="8"/>
      <c r="AS1443" s="8"/>
      <c r="AT1443" s="8"/>
      <c r="AU1443" s="8"/>
      <c r="AV1443" s="8"/>
      <c r="AW1443" s="8"/>
      <c r="AX1443" s="4" t="s">
        <v>5391</v>
      </c>
      <c r="AY1443" s="5" t="s">
        <v>6419</v>
      </c>
      <c r="AZ1443" s="5" t="s">
        <v>38</v>
      </c>
      <c r="BA1443" s="12"/>
      <c r="BB1443" s="12"/>
      <c r="BC1443" s="12"/>
      <c r="BD1443" s="11">
        <v>0</v>
      </c>
      <c r="BE1443" s="11">
        <v>0</v>
      </c>
    </row>
    <row x14ac:dyDescent="0.25" r="1444" customHeight="1" ht="17.25">
      <c r="A1444" s="11">
        <v>5068</v>
      </c>
      <c r="B1444" s="4" t="s">
        <v>6420</v>
      </c>
      <c r="C1444" s="5" t="s">
        <v>6421</v>
      </c>
      <c r="D1444" s="5" t="s">
        <v>6422</v>
      </c>
      <c r="E1444" s="12"/>
      <c r="F1444" s="13">
        <f>"0330489674"</f>
      </c>
      <c r="G1444" s="13">
        <f>"9780330489676"</f>
      </c>
      <c r="H1444" s="11">
        <v>0</v>
      </c>
      <c r="I1444" s="14">
        <v>3.67</v>
      </c>
      <c r="J1444" s="7" t="s">
        <v>975</v>
      </c>
      <c r="K1444" s="5" t="s">
        <v>60</v>
      </c>
      <c r="L1444" s="11">
        <v>296</v>
      </c>
      <c r="M1444" s="11">
        <v>2001</v>
      </c>
      <c r="N1444" s="11">
        <v>1996</v>
      </c>
      <c r="O1444" s="15"/>
      <c r="P1444" s="8">
        <v>45111</v>
      </c>
      <c r="Q1444" s="8"/>
      <c r="R1444" s="8"/>
      <c r="S1444" s="8"/>
      <c r="T1444" s="8"/>
      <c r="U1444" s="8"/>
      <c r="V1444" s="8"/>
      <c r="W1444" s="8"/>
      <c r="X1444" s="8"/>
      <c r="Y1444" s="8"/>
      <c r="Z1444" s="8"/>
      <c r="AA1444" s="8"/>
      <c r="AB1444" s="8"/>
      <c r="AC1444" s="8"/>
      <c r="AD1444" s="8"/>
      <c r="AE1444" s="8"/>
      <c r="AF1444" s="8"/>
      <c r="AG1444" s="8"/>
      <c r="AH1444" s="8"/>
      <c r="AI1444" s="8"/>
      <c r="AJ1444" s="8"/>
      <c r="AK1444" s="8"/>
      <c r="AL1444" s="8"/>
      <c r="AM1444" s="8"/>
      <c r="AN1444" s="8"/>
      <c r="AO1444" s="8"/>
      <c r="AP1444" s="8"/>
      <c r="AQ1444" s="8"/>
      <c r="AR1444" s="8"/>
      <c r="AS1444" s="8"/>
      <c r="AT1444" s="8"/>
      <c r="AU1444" s="8"/>
      <c r="AV1444" s="8"/>
      <c r="AW1444" s="8"/>
      <c r="AX1444" s="4" t="s">
        <v>5391</v>
      </c>
      <c r="AY1444" s="5" t="s">
        <v>6423</v>
      </c>
      <c r="AZ1444" s="5" t="s">
        <v>38</v>
      </c>
      <c r="BA1444" s="12"/>
      <c r="BB1444" s="12"/>
      <c r="BC1444" s="12"/>
      <c r="BD1444" s="11">
        <v>0</v>
      </c>
      <c r="BE1444" s="11">
        <v>0</v>
      </c>
    </row>
    <row x14ac:dyDescent="0.25" r="1445" customHeight="1" ht="17.25">
      <c r="A1445" s="11">
        <v>151926</v>
      </c>
      <c r="B1445" s="4" t="s">
        <v>6424</v>
      </c>
      <c r="C1445" s="5" t="s">
        <v>6425</v>
      </c>
      <c r="D1445" s="5" t="s">
        <v>6426</v>
      </c>
      <c r="E1445" s="12"/>
      <c r="F1445" s="13">
        <f>"0452276721"</f>
      </c>
      <c r="G1445" s="13">
        <f>"9780452276727"</f>
      </c>
      <c r="H1445" s="11">
        <v>0</v>
      </c>
      <c r="I1445" s="14">
        <v>4.09</v>
      </c>
      <c r="J1445" s="7" t="s">
        <v>6427</v>
      </c>
      <c r="K1445" s="5" t="s">
        <v>60</v>
      </c>
      <c r="L1445" s="11">
        <v>288</v>
      </c>
      <c r="M1445" s="11">
        <v>1996</v>
      </c>
      <c r="N1445" s="11">
        <v>1995</v>
      </c>
      <c r="O1445" s="15"/>
      <c r="P1445" s="8">
        <v>45111</v>
      </c>
      <c r="Q1445" s="8"/>
      <c r="R1445" s="8"/>
      <c r="S1445" s="8"/>
      <c r="T1445" s="8"/>
      <c r="U1445" s="8"/>
      <c r="V1445" s="8"/>
      <c r="W1445" s="8"/>
      <c r="X1445" s="8"/>
      <c r="Y1445" s="8"/>
      <c r="Z1445" s="8"/>
      <c r="AA1445" s="8"/>
      <c r="AB1445" s="8"/>
      <c r="AC1445" s="8"/>
      <c r="AD1445" s="8"/>
      <c r="AE1445" s="8"/>
      <c r="AF1445" s="8"/>
      <c r="AG1445" s="8"/>
      <c r="AH1445" s="8"/>
      <c r="AI1445" s="8"/>
      <c r="AJ1445" s="8"/>
      <c r="AK1445" s="8"/>
      <c r="AL1445" s="8"/>
      <c r="AM1445" s="8"/>
      <c r="AN1445" s="8"/>
      <c r="AO1445" s="8"/>
      <c r="AP1445" s="8"/>
      <c r="AQ1445" s="8"/>
      <c r="AR1445" s="8"/>
      <c r="AS1445" s="8"/>
      <c r="AT1445" s="8"/>
      <c r="AU1445" s="8"/>
      <c r="AV1445" s="8"/>
      <c r="AW1445" s="8"/>
      <c r="AX1445" s="4" t="s">
        <v>5391</v>
      </c>
      <c r="AY1445" s="5" t="s">
        <v>6428</v>
      </c>
      <c r="AZ1445" s="5" t="s">
        <v>38</v>
      </c>
      <c r="BA1445" s="12"/>
      <c r="BB1445" s="12"/>
      <c r="BC1445" s="12"/>
      <c r="BD1445" s="11">
        <v>0</v>
      </c>
      <c r="BE1445" s="11">
        <v>0</v>
      </c>
    </row>
    <row x14ac:dyDescent="0.25" r="1446" customHeight="1" ht="17.25">
      <c r="A1446" s="11">
        <v>89208</v>
      </c>
      <c r="B1446" s="4" t="s">
        <v>6429</v>
      </c>
      <c r="C1446" s="5" t="s">
        <v>6430</v>
      </c>
      <c r="D1446" s="5" t="s">
        <v>6431</v>
      </c>
      <c r="E1446" s="12"/>
      <c r="F1446" s="13">
        <f>"039332799X"</f>
      </c>
      <c r="G1446" s="13">
        <f>"9780393327991"</f>
      </c>
      <c r="H1446" s="11">
        <v>0</v>
      </c>
      <c r="I1446" s="14">
        <v>3.58</v>
      </c>
      <c r="J1446" s="7" t="s">
        <v>6432</v>
      </c>
      <c r="K1446" s="5" t="s">
        <v>60</v>
      </c>
      <c r="L1446" s="11">
        <v>388</v>
      </c>
      <c r="M1446" s="11">
        <v>2005</v>
      </c>
      <c r="N1446" s="11">
        <v>1994</v>
      </c>
      <c r="O1446" s="15"/>
      <c r="P1446" s="8">
        <v>43103</v>
      </c>
      <c r="Q1446" s="8"/>
      <c r="R1446" s="8"/>
      <c r="S1446" s="8"/>
      <c r="T1446" s="8"/>
      <c r="U1446" s="8"/>
      <c r="V1446" s="8"/>
      <c r="W1446" s="8"/>
      <c r="X1446" s="8"/>
      <c r="Y1446" s="8"/>
      <c r="Z1446" s="8"/>
      <c r="AA1446" s="8"/>
      <c r="AB1446" s="8"/>
      <c r="AC1446" s="8"/>
      <c r="AD1446" s="8"/>
      <c r="AE1446" s="8"/>
      <c r="AF1446" s="8"/>
      <c r="AG1446" s="8"/>
      <c r="AH1446" s="8"/>
      <c r="AI1446" s="8"/>
      <c r="AJ1446" s="8"/>
      <c r="AK1446" s="8"/>
      <c r="AL1446" s="8"/>
      <c r="AM1446" s="8"/>
      <c r="AN1446" s="8"/>
      <c r="AO1446" s="8"/>
      <c r="AP1446" s="8"/>
      <c r="AQ1446" s="8"/>
      <c r="AR1446" s="8"/>
      <c r="AS1446" s="8"/>
      <c r="AT1446" s="8"/>
      <c r="AU1446" s="8"/>
      <c r="AV1446" s="8"/>
      <c r="AW1446" s="8"/>
      <c r="AX1446" s="4" t="s">
        <v>5391</v>
      </c>
      <c r="AY1446" s="5" t="s">
        <v>6433</v>
      </c>
      <c r="AZ1446" s="5" t="s">
        <v>38</v>
      </c>
      <c r="BA1446" s="12"/>
      <c r="BB1446" s="12"/>
      <c r="BC1446" s="12"/>
      <c r="BD1446" s="11">
        <v>0</v>
      </c>
      <c r="BE1446" s="11">
        <v>0</v>
      </c>
    </row>
    <row x14ac:dyDescent="0.25" r="1447" customHeight="1" ht="17.25">
      <c r="A1447" s="11">
        <v>9556215</v>
      </c>
      <c r="B1447" s="4" t="s">
        <v>6434</v>
      </c>
      <c r="C1447" s="5" t="s">
        <v>6435</v>
      </c>
      <c r="D1447" s="5" t="s">
        <v>6436</v>
      </c>
      <c r="E1447" s="12"/>
      <c r="F1447" s="13">
        <f>"0099530392"</f>
      </c>
      <c r="G1447" s="13">
        <f>"9780099530398"</f>
      </c>
      <c r="H1447" s="11">
        <v>0</v>
      </c>
      <c r="I1447" s="14">
        <v>3.76</v>
      </c>
      <c r="J1447" s="7" t="s">
        <v>2160</v>
      </c>
      <c r="K1447" s="5" t="s">
        <v>60</v>
      </c>
      <c r="L1447" s="11">
        <v>240</v>
      </c>
      <c r="M1447" s="11">
        <v>2010</v>
      </c>
      <c r="N1447" s="11">
        <v>1993</v>
      </c>
      <c r="O1447" s="15"/>
      <c r="P1447" s="8">
        <v>45111</v>
      </c>
      <c r="Q1447" s="8"/>
      <c r="R1447" s="8"/>
      <c r="S1447" s="8"/>
      <c r="T1447" s="8"/>
      <c r="U1447" s="8"/>
      <c r="V1447" s="8"/>
      <c r="W1447" s="8"/>
      <c r="X1447" s="8"/>
      <c r="Y1447" s="8"/>
      <c r="Z1447" s="8"/>
      <c r="AA1447" s="8"/>
      <c r="AB1447" s="8"/>
      <c r="AC1447" s="8"/>
      <c r="AD1447" s="8"/>
      <c r="AE1447" s="8"/>
      <c r="AF1447" s="8"/>
      <c r="AG1447" s="8"/>
      <c r="AH1447" s="8"/>
      <c r="AI1447" s="8"/>
      <c r="AJ1447" s="8"/>
      <c r="AK1447" s="8"/>
      <c r="AL1447" s="8"/>
      <c r="AM1447" s="8"/>
      <c r="AN1447" s="8"/>
      <c r="AO1447" s="8"/>
      <c r="AP1447" s="8"/>
      <c r="AQ1447" s="8"/>
      <c r="AR1447" s="8"/>
      <c r="AS1447" s="8"/>
      <c r="AT1447" s="8"/>
      <c r="AU1447" s="8"/>
      <c r="AV1447" s="8"/>
      <c r="AW1447" s="8"/>
      <c r="AX1447" s="4" t="s">
        <v>5391</v>
      </c>
      <c r="AY1447" s="5" t="s">
        <v>6437</v>
      </c>
      <c r="AZ1447" s="5" t="s">
        <v>38</v>
      </c>
      <c r="BA1447" s="12"/>
      <c r="BB1447" s="12"/>
      <c r="BC1447" s="12"/>
      <c r="BD1447" s="11">
        <v>0</v>
      </c>
      <c r="BE1447" s="11">
        <v>0</v>
      </c>
    </row>
    <row x14ac:dyDescent="0.25" r="1448" customHeight="1" ht="17.25">
      <c r="A1448" s="11">
        <v>239592</v>
      </c>
      <c r="B1448" s="4" t="s">
        <v>6438</v>
      </c>
      <c r="C1448" s="5" t="s">
        <v>6439</v>
      </c>
      <c r="D1448" s="5" t="s">
        <v>6440</v>
      </c>
      <c r="E1448" s="12"/>
      <c r="F1448" s="13">
        <f>"0393311147"</f>
      </c>
      <c r="G1448" s="13">
        <f>"9780393311143"</f>
      </c>
      <c r="H1448" s="11">
        <v>0</v>
      </c>
      <c r="I1448" s="14">
        <v>4.12</v>
      </c>
      <c r="J1448" s="7" t="s">
        <v>6441</v>
      </c>
      <c r="K1448" s="5" t="s">
        <v>60</v>
      </c>
      <c r="L1448" s="11">
        <v>630</v>
      </c>
      <c r="M1448" s="11">
        <v>1993</v>
      </c>
      <c r="N1448" s="11">
        <v>1992</v>
      </c>
      <c r="O1448" s="15"/>
      <c r="P1448" s="8">
        <v>45111</v>
      </c>
      <c r="Q1448" s="8"/>
      <c r="R1448" s="8"/>
      <c r="S1448" s="8"/>
      <c r="T1448" s="8"/>
      <c r="U1448" s="8"/>
      <c r="V1448" s="8"/>
      <c r="W1448" s="8"/>
      <c r="X1448" s="8"/>
      <c r="Y1448" s="8"/>
      <c r="Z1448" s="8"/>
      <c r="AA1448" s="8"/>
      <c r="AB1448" s="8"/>
      <c r="AC1448" s="8"/>
      <c r="AD1448" s="8"/>
      <c r="AE1448" s="8"/>
      <c r="AF1448" s="8"/>
      <c r="AG1448" s="8"/>
      <c r="AH1448" s="8"/>
      <c r="AI1448" s="8"/>
      <c r="AJ1448" s="8"/>
      <c r="AK1448" s="8"/>
      <c r="AL1448" s="8"/>
      <c r="AM1448" s="8"/>
      <c r="AN1448" s="8"/>
      <c r="AO1448" s="8"/>
      <c r="AP1448" s="8"/>
      <c r="AQ1448" s="8"/>
      <c r="AR1448" s="8"/>
      <c r="AS1448" s="8"/>
      <c r="AT1448" s="8"/>
      <c r="AU1448" s="8"/>
      <c r="AV1448" s="8"/>
      <c r="AW1448" s="8"/>
      <c r="AX1448" s="4" t="s">
        <v>5391</v>
      </c>
      <c r="AY1448" s="5" t="s">
        <v>6442</v>
      </c>
      <c r="AZ1448" s="5" t="s">
        <v>38</v>
      </c>
      <c r="BA1448" s="12"/>
      <c r="BB1448" s="12"/>
      <c r="BC1448" s="12"/>
      <c r="BD1448" s="11">
        <v>0</v>
      </c>
      <c r="BE1448" s="11">
        <v>0</v>
      </c>
    </row>
    <row x14ac:dyDescent="0.25" r="1449" customHeight="1" ht="17.25">
      <c r="A1449" s="11">
        <v>11713</v>
      </c>
      <c r="B1449" s="4" t="s">
        <v>6443</v>
      </c>
      <c r="C1449" s="5" t="s">
        <v>6444</v>
      </c>
      <c r="D1449" s="5" t="s">
        <v>6445</v>
      </c>
      <c r="E1449" s="12"/>
      <c r="F1449" s="13">
        <f>"0771068719"</f>
      </c>
      <c r="G1449" s="13">
        <f>"9780771068713"</f>
      </c>
      <c r="H1449" s="11">
        <v>0</v>
      </c>
      <c r="I1449" s="14">
        <v>3.87</v>
      </c>
      <c r="J1449" s="7" t="s">
        <v>6446</v>
      </c>
      <c r="K1449" s="5" t="s">
        <v>72</v>
      </c>
      <c r="L1449" s="11">
        <v>320</v>
      </c>
      <c r="M1449" s="11">
        <v>2006</v>
      </c>
      <c r="N1449" s="11">
        <v>1992</v>
      </c>
      <c r="O1449" s="15"/>
      <c r="P1449" s="8">
        <v>45111</v>
      </c>
      <c r="Q1449" s="8"/>
      <c r="R1449" s="8"/>
      <c r="S1449" s="8"/>
      <c r="T1449" s="8"/>
      <c r="U1449" s="8"/>
      <c r="V1449" s="8"/>
      <c r="W1449" s="8"/>
      <c r="X1449" s="8"/>
      <c r="Y1449" s="8"/>
      <c r="Z1449" s="8"/>
      <c r="AA1449" s="8"/>
      <c r="AB1449" s="8"/>
      <c r="AC1449" s="8"/>
      <c r="AD1449" s="8"/>
      <c r="AE1449" s="8"/>
      <c r="AF1449" s="8"/>
      <c r="AG1449" s="8"/>
      <c r="AH1449" s="8"/>
      <c r="AI1449" s="8"/>
      <c r="AJ1449" s="8"/>
      <c r="AK1449" s="8"/>
      <c r="AL1449" s="8"/>
      <c r="AM1449" s="8"/>
      <c r="AN1449" s="8"/>
      <c r="AO1449" s="8"/>
      <c r="AP1449" s="8"/>
      <c r="AQ1449" s="8"/>
      <c r="AR1449" s="8"/>
      <c r="AS1449" s="8"/>
      <c r="AT1449" s="8"/>
      <c r="AU1449" s="8"/>
      <c r="AV1449" s="8"/>
      <c r="AW1449" s="8"/>
      <c r="AX1449" s="4" t="s">
        <v>5391</v>
      </c>
      <c r="AY1449" s="5" t="s">
        <v>6447</v>
      </c>
      <c r="AZ1449" s="5" t="s">
        <v>38</v>
      </c>
      <c r="BA1449" s="12"/>
      <c r="BB1449" s="12"/>
      <c r="BC1449" s="12"/>
      <c r="BD1449" s="11">
        <v>0</v>
      </c>
      <c r="BE1449" s="11">
        <v>0</v>
      </c>
    </row>
    <row x14ac:dyDescent="0.25" r="1450" customHeight="1" ht="17.25">
      <c r="A1450" s="11">
        <v>101094</v>
      </c>
      <c r="B1450" s="4" t="s">
        <v>6448</v>
      </c>
      <c r="C1450" s="5" t="s">
        <v>6449</v>
      </c>
      <c r="D1450" s="5" t="s">
        <v>6450</v>
      </c>
      <c r="E1450" s="12"/>
      <c r="F1450" s="13">
        <f>"0385425139"</f>
      </c>
      <c r="G1450" s="13">
        <f>"9780385425131"</f>
      </c>
      <c r="H1450" s="11">
        <v>0</v>
      </c>
      <c r="I1450" s="14">
        <v>3.74</v>
      </c>
      <c r="J1450" s="7" t="s">
        <v>4580</v>
      </c>
      <c r="K1450" s="5" t="s">
        <v>60</v>
      </c>
      <c r="L1450" s="11">
        <v>512</v>
      </c>
      <c r="M1450" s="11">
        <v>1993</v>
      </c>
      <c r="N1450" s="11">
        <v>1991</v>
      </c>
      <c r="O1450" s="15"/>
      <c r="P1450" s="8">
        <v>45111</v>
      </c>
      <c r="Q1450" s="8"/>
      <c r="R1450" s="8"/>
      <c r="S1450" s="8"/>
      <c r="T1450" s="8"/>
      <c r="U1450" s="8"/>
      <c r="V1450" s="8"/>
      <c r="W1450" s="8"/>
      <c r="X1450" s="8"/>
      <c r="Y1450" s="8"/>
      <c r="Z1450" s="8"/>
      <c r="AA1450" s="8"/>
      <c r="AB1450" s="8"/>
      <c r="AC1450" s="8"/>
      <c r="AD1450" s="8"/>
      <c r="AE1450" s="8"/>
      <c r="AF1450" s="8"/>
      <c r="AG1450" s="8"/>
      <c r="AH1450" s="8"/>
      <c r="AI1450" s="8"/>
      <c r="AJ1450" s="8"/>
      <c r="AK1450" s="8"/>
      <c r="AL1450" s="8"/>
      <c r="AM1450" s="8"/>
      <c r="AN1450" s="8"/>
      <c r="AO1450" s="8"/>
      <c r="AP1450" s="8"/>
      <c r="AQ1450" s="8"/>
      <c r="AR1450" s="8"/>
      <c r="AS1450" s="8"/>
      <c r="AT1450" s="8"/>
      <c r="AU1450" s="8"/>
      <c r="AV1450" s="8"/>
      <c r="AW1450" s="8"/>
      <c r="AX1450" s="4" t="s">
        <v>5391</v>
      </c>
      <c r="AY1450" s="5" t="s">
        <v>6451</v>
      </c>
      <c r="AZ1450" s="5" t="s">
        <v>38</v>
      </c>
      <c r="BA1450" s="12"/>
      <c r="BB1450" s="12"/>
      <c r="BC1450" s="12"/>
      <c r="BD1450" s="11">
        <v>0</v>
      </c>
      <c r="BE1450" s="11">
        <v>0</v>
      </c>
    </row>
    <row x14ac:dyDescent="0.25" r="1451" customHeight="1" ht="17.25">
      <c r="A1451" s="11">
        <v>28921</v>
      </c>
      <c r="B1451" s="4" t="s">
        <v>6452</v>
      </c>
      <c r="C1451" s="5" t="s">
        <v>1763</v>
      </c>
      <c r="D1451" s="5" t="s">
        <v>1764</v>
      </c>
      <c r="E1451" s="12"/>
      <c r="F1451" s="13">
        <f>""</f>
      </c>
      <c r="G1451" s="13">
        <f>""</f>
      </c>
      <c r="H1451" s="11">
        <v>0</v>
      </c>
      <c r="I1451" s="14">
        <v>4.14</v>
      </c>
      <c r="J1451" s="7" t="s">
        <v>316</v>
      </c>
      <c r="K1451" s="5" t="s">
        <v>60</v>
      </c>
      <c r="L1451" s="11">
        <v>258</v>
      </c>
      <c r="M1451" s="11">
        <v>2005</v>
      </c>
      <c r="N1451" s="11">
        <v>1989</v>
      </c>
      <c r="O1451" s="15"/>
      <c r="P1451" s="8">
        <v>42377</v>
      </c>
      <c r="Q1451" s="8"/>
      <c r="R1451" s="8"/>
      <c r="S1451" s="8"/>
      <c r="T1451" s="8"/>
      <c r="U1451" s="8"/>
      <c r="V1451" s="8"/>
      <c r="W1451" s="8"/>
      <c r="X1451" s="8"/>
      <c r="Y1451" s="8"/>
      <c r="Z1451" s="8"/>
      <c r="AA1451" s="8"/>
      <c r="AB1451" s="8"/>
      <c r="AC1451" s="8"/>
      <c r="AD1451" s="8"/>
      <c r="AE1451" s="8"/>
      <c r="AF1451" s="8"/>
      <c r="AG1451" s="8"/>
      <c r="AH1451" s="8"/>
      <c r="AI1451" s="8"/>
      <c r="AJ1451" s="8"/>
      <c r="AK1451" s="8"/>
      <c r="AL1451" s="8"/>
      <c r="AM1451" s="8"/>
      <c r="AN1451" s="8"/>
      <c r="AO1451" s="8"/>
      <c r="AP1451" s="8"/>
      <c r="AQ1451" s="8"/>
      <c r="AR1451" s="8"/>
      <c r="AS1451" s="8"/>
      <c r="AT1451" s="8"/>
      <c r="AU1451" s="8"/>
      <c r="AV1451" s="8"/>
      <c r="AW1451" s="8"/>
      <c r="AX1451" s="4" t="s">
        <v>5391</v>
      </c>
      <c r="AY1451" s="5" t="s">
        <v>6453</v>
      </c>
      <c r="AZ1451" s="5" t="s">
        <v>38</v>
      </c>
      <c r="BA1451" s="12"/>
      <c r="BB1451" s="12"/>
      <c r="BC1451" s="12"/>
      <c r="BD1451" s="11">
        <v>0</v>
      </c>
      <c r="BE1451" s="11">
        <v>0</v>
      </c>
    </row>
    <row x14ac:dyDescent="0.25" r="1452" customHeight="1" ht="17.25">
      <c r="A1452" s="11">
        <v>316496</v>
      </c>
      <c r="B1452" s="4" t="s">
        <v>6454</v>
      </c>
      <c r="C1452" s="5" t="s">
        <v>6052</v>
      </c>
      <c r="D1452" s="5" t="s">
        <v>6053</v>
      </c>
      <c r="E1452" s="12"/>
      <c r="F1452" s="13">
        <f>"0702229784"</f>
      </c>
      <c r="G1452" s="13">
        <f>"9780702229787"</f>
      </c>
      <c r="H1452" s="11">
        <v>0</v>
      </c>
      <c r="I1452" s="14">
        <v>3.73</v>
      </c>
      <c r="J1452" s="7" t="s">
        <v>6455</v>
      </c>
      <c r="K1452" s="5" t="s">
        <v>60</v>
      </c>
      <c r="L1452" s="11">
        <v>515</v>
      </c>
      <c r="M1452" s="11">
        <v>1998</v>
      </c>
      <c r="N1452" s="11">
        <v>1988</v>
      </c>
      <c r="O1452" s="15"/>
      <c r="P1452" s="8">
        <v>41840</v>
      </c>
      <c r="Q1452" s="8"/>
      <c r="R1452" s="8"/>
      <c r="S1452" s="8"/>
      <c r="T1452" s="8"/>
      <c r="U1452" s="8"/>
      <c r="V1452" s="8"/>
      <c r="W1452" s="8"/>
      <c r="X1452" s="8"/>
      <c r="Y1452" s="8"/>
      <c r="Z1452" s="8"/>
      <c r="AA1452" s="8"/>
      <c r="AB1452" s="8"/>
      <c r="AC1452" s="8"/>
      <c r="AD1452" s="8"/>
      <c r="AE1452" s="8"/>
      <c r="AF1452" s="8"/>
      <c r="AG1452" s="8"/>
      <c r="AH1452" s="8"/>
      <c r="AI1452" s="8"/>
      <c r="AJ1452" s="8"/>
      <c r="AK1452" s="8"/>
      <c r="AL1452" s="8"/>
      <c r="AM1452" s="8"/>
      <c r="AN1452" s="8"/>
      <c r="AO1452" s="8"/>
      <c r="AP1452" s="8"/>
      <c r="AQ1452" s="8"/>
      <c r="AR1452" s="8"/>
      <c r="AS1452" s="8"/>
      <c r="AT1452" s="8"/>
      <c r="AU1452" s="8"/>
      <c r="AV1452" s="8"/>
      <c r="AW1452" s="8"/>
      <c r="AX1452" s="4" t="s">
        <v>5391</v>
      </c>
      <c r="AY1452" s="5" t="s">
        <v>6456</v>
      </c>
      <c r="AZ1452" s="5" t="s">
        <v>38</v>
      </c>
      <c r="BA1452" s="12"/>
      <c r="BB1452" s="12"/>
      <c r="BC1452" s="12"/>
      <c r="BD1452" s="11">
        <v>0</v>
      </c>
      <c r="BE1452" s="11">
        <v>0</v>
      </c>
    </row>
    <row x14ac:dyDescent="0.25" r="1453" customHeight="1" ht="17.25">
      <c r="A1453" s="11">
        <v>130028</v>
      </c>
      <c r="B1453" s="4" t="s">
        <v>6457</v>
      </c>
      <c r="C1453" s="5" t="s">
        <v>6458</v>
      </c>
      <c r="D1453" s="5" t="s">
        <v>6459</v>
      </c>
      <c r="E1453" s="12"/>
      <c r="F1453" s="13">
        <f>"0802135331"</f>
      </c>
      <c r="G1453" s="13">
        <f>"9780802135339"</f>
      </c>
      <c r="H1453" s="11">
        <v>0</v>
      </c>
      <c r="I1453" s="14">
        <v>3.9</v>
      </c>
      <c r="J1453" s="7" t="s">
        <v>66</v>
      </c>
      <c r="K1453" s="5" t="s">
        <v>60</v>
      </c>
      <c r="L1453" s="11">
        <v>208</v>
      </c>
      <c r="M1453" s="11">
        <v>1997</v>
      </c>
      <c r="N1453" s="11">
        <v>1987</v>
      </c>
      <c r="O1453" s="15"/>
      <c r="P1453" s="8">
        <v>45111</v>
      </c>
      <c r="Q1453" s="8"/>
      <c r="R1453" s="8"/>
      <c r="S1453" s="8"/>
      <c r="T1453" s="8"/>
      <c r="U1453" s="8"/>
      <c r="V1453" s="8"/>
      <c r="W1453" s="8"/>
      <c r="X1453" s="8"/>
      <c r="Y1453" s="8"/>
      <c r="Z1453" s="8"/>
      <c r="AA1453" s="8"/>
      <c r="AB1453" s="8"/>
      <c r="AC1453" s="8"/>
      <c r="AD1453" s="8"/>
      <c r="AE1453" s="8"/>
      <c r="AF1453" s="8"/>
      <c r="AG1453" s="8"/>
      <c r="AH1453" s="8"/>
      <c r="AI1453" s="8"/>
      <c r="AJ1453" s="8"/>
      <c r="AK1453" s="8"/>
      <c r="AL1453" s="8"/>
      <c r="AM1453" s="8"/>
      <c r="AN1453" s="8"/>
      <c r="AO1453" s="8"/>
      <c r="AP1453" s="8"/>
      <c r="AQ1453" s="8"/>
      <c r="AR1453" s="8"/>
      <c r="AS1453" s="8"/>
      <c r="AT1453" s="8"/>
      <c r="AU1453" s="8"/>
      <c r="AV1453" s="8"/>
      <c r="AW1453" s="8"/>
      <c r="AX1453" s="4" t="s">
        <v>5391</v>
      </c>
      <c r="AY1453" s="5" t="s">
        <v>6460</v>
      </c>
      <c r="AZ1453" s="5" t="s">
        <v>38</v>
      </c>
      <c r="BA1453" s="12"/>
      <c r="BB1453" s="12"/>
      <c r="BC1453" s="12"/>
      <c r="BD1453" s="11">
        <v>0</v>
      </c>
      <c r="BE1453" s="11">
        <v>0</v>
      </c>
    </row>
    <row x14ac:dyDescent="0.25" r="1454" customHeight="1" ht="17.25">
      <c r="A1454" s="11">
        <v>366427</v>
      </c>
      <c r="B1454" s="4" t="s">
        <v>6461</v>
      </c>
      <c r="C1454" s="5" t="s">
        <v>6462</v>
      </c>
      <c r="D1454" s="5" t="s">
        <v>6463</v>
      </c>
      <c r="E1454" s="12"/>
      <c r="F1454" s="13">
        <f>""</f>
      </c>
      <c r="G1454" s="13">
        <f>""</f>
      </c>
      <c r="H1454" s="11">
        <v>0</v>
      </c>
      <c r="I1454" s="14">
        <v>3.33</v>
      </c>
      <c r="J1454" s="7" t="s">
        <v>1018</v>
      </c>
      <c r="K1454" s="5" t="s">
        <v>60</v>
      </c>
      <c r="L1454" s="11">
        <v>381</v>
      </c>
      <c r="M1454" s="11">
        <v>2004</v>
      </c>
      <c r="N1454" s="11">
        <v>1986</v>
      </c>
      <c r="O1454" s="15"/>
      <c r="P1454" s="8">
        <v>45111</v>
      </c>
      <c r="Q1454" s="8"/>
      <c r="R1454" s="8"/>
      <c r="S1454" s="8"/>
      <c r="T1454" s="8"/>
      <c r="U1454" s="8"/>
      <c r="V1454" s="8"/>
      <c r="W1454" s="8"/>
      <c r="X1454" s="8"/>
      <c r="Y1454" s="8"/>
      <c r="Z1454" s="8"/>
      <c r="AA1454" s="8"/>
      <c r="AB1454" s="8"/>
      <c r="AC1454" s="8"/>
      <c r="AD1454" s="8"/>
      <c r="AE1454" s="8"/>
      <c r="AF1454" s="8"/>
      <c r="AG1454" s="8"/>
      <c r="AH1454" s="8"/>
      <c r="AI1454" s="8"/>
      <c r="AJ1454" s="8"/>
      <c r="AK1454" s="8"/>
      <c r="AL1454" s="8"/>
      <c r="AM1454" s="8"/>
      <c r="AN1454" s="8"/>
      <c r="AO1454" s="8"/>
      <c r="AP1454" s="8"/>
      <c r="AQ1454" s="8"/>
      <c r="AR1454" s="8"/>
      <c r="AS1454" s="8"/>
      <c r="AT1454" s="8"/>
      <c r="AU1454" s="8"/>
      <c r="AV1454" s="8"/>
      <c r="AW1454" s="8"/>
      <c r="AX1454" s="4" t="s">
        <v>5391</v>
      </c>
      <c r="AY1454" s="5" t="s">
        <v>6464</v>
      </c>
      <c r="AZ1454" s="5" t="s">
        <v>38</v>
      </c>
      <c r="BA1454" s="12"/>
      <c r="BB1454" s="12"/>
      <c r="BC1454" s="12"/>
      <c r="BD1454" s="11">
        <v>0</v>
      </c>
      <c r="BE1454" s="11">
        <v>0</v>
      </c>
    </row>
    <row x14ac:dyDescent="0.25" r="1455" customHeight="1" ht="17.25">
      <c r="A1455" s="11">
        <v>460635</v>
      </c>
      <c r="B1455" s="4" t="s">
        <v>6465</v>
      </c>
      <c r="C1455" s="5" t="s">
        <v>6466</v>
      </c>
      <c r="D1455" s="5" t="s">
        <v>6467</v>
      </c>
      <c r="E1455" s="12"/>
      <c r="F1455" s="13">
        <f>"0140089225"</f>
      </c>
      <c r="G1455" s="13">
        <f>"9780140089226"</f>
      </c>
      <c r="H1455" s="11">
        <v>0</v>
      </c>
      <c r="I1455" s="14">
        <v>4.04</v>
      </c>
      <c r="J1455" s="7" t="s">
        <v>491</v>
      </c>
      <c r="K1455" s="5" t="s">
        <v>60</v>
      </c>
      <c r="L1455" s="11">
        <v>450</v>
      </c>
      <c r="M1455" s="11">
        <v>1986</v>
      </c>
      <c r="N1455" s="11">
        <v>1984</v>
      </c>
      <c r="O1455" s="15"/>
      <c r="P1455" s="8">
        <v>45111</v>
      </c>
      <c r="Q1455" s="8"/>
      <c r="R1455" s="8"/>
      <c r="S1455" s="8"/>
      <c r="T1455" s="8"/>
      <c r="U1455" s="8"/>
      <c r="V1455" s="8"/>
      <c r="W1455" s="8"/>
      <c r="X1455" s="8"/>
      <c r="Y1455" s="8"/>
      <c r="Z1455" s="8"/>
      <c r="AA1455" s="8"/>
      <c r="AB1455" s="8"/>
      <c r="AC1455" s="8"/>
      <c r="AD1455" s="8"/>
      <c r="AE1455" s="8"/>
      <c r="AF1455" s="8"/>
      <c r="AG1455" s="8"/>
      <c r="AH1455" s="8"/>
      <c r="AI1455" s="8"/>
      <c r="AJ1455" s="8"/>
      <c r="AK1455" s="8"/>
      <c r="AL1455" s="8"/>
      <c r="AM1455" s="8"/>
      <c r="AN1455" s="8"/>
      <c r="AO1455" s="8"/>
      <c r="AP1455" s="8"/>
      <c r="AQ1455" s="8"/>
      <c r="AR1455" s="8"/>
      <c r="AS1455" s="8"/>
      <c r="AT1455" s="8"/>
      <c r="AU1455" s="8"/>
      <c r="AV1455" s="8"/>
      <c r="AW1455" s="8"/>
      <c r="AX1455" s="4" t="s">
        <v>5391</v>
      </c>
      <c r="AY1455" s="5" t="s">
        <v>6468</v>
      </c>
      <c r="AZ1455" s="5" t="s">
        <v>38</v>
      </c>
      <c r="BA1455" s="12"/>
      <c r="BB1455" s="12"/>
      <c r="BC1455" s="12"/>
      <c r="BD1455" s="11">
        <v>0</v>
      </c>
      <c r="BE1455" s="11">
        <v>0</v>
      </c>
    </row>
    <row x14ac:dyDescent="0.25" r="1456" customHeight="1" ht="17.25">
      <c r="A1456" s="11">
        <v>251665</v>
      </c>
      <c r="B1456" s="4" t="s">
        <v>6469</v>
      </c>
      <c r="C1456" s="5" t="s">
        <v>6470</v>
      </c>
      <c r="D1456" s="5" t="s">
        <v>6471</v>
      </c>
      <c r="E1456" s="12"/>
      <c r="F1456" s="13">
        <f>"0679759328"</f>
      </c>
      <c r="G1456" s="13">
        <f>"9780679759324"</f>
      </c>
      <c r="H1456" s="11">
        <v>0</v>
      </c>
      <c r="I1456" s="14">
        <v>3.6</v>
      </c>
      <c r="J1456" s="7" t="s">
        <v>294</v>
      </c>
      <c r="K1456" s="5" t="s">
        <v>60</v>
      </c>
      <c r="L1456" s="11">
        <v>184</v>
      </c>
      <c r="M1456" s="11">
        <v>1995</v>
      </c>
      <c r="N1456" s="11">
        <v>1984</v>
      </c>
      <c r="O1456" s="15"/>
      <c r="P1456" s="8">
        <v>45111</v>
      </c>
      <c r="Q1456" s="8"/>
      <c r="R1456" s="8"/>
      <c r="S1456" s="8"/>
      <c r="T1456" s="8"/>
      <c r="U1456" s="8"/>
      <c r="V1456" s="8"/>
      <c r="W1456" s="8"/>
      <c r="X1456" s="8"/>
      <c r="Y1456" s="8"/>
      <c r="Z1456" s="8"/>
      <c r="AA1456" s="8"/>
      <c r="AB1456" s="8"/>
      <c r="AC1456" s="8"/>
      <c r="AD1456" s="8"/>
      <c r="AE1456" s="8"/>
      <c r="AF1456" s="8"/>
      <c r="AG1456" s="8"/>
      <c r="AH1456" s="8"/>
      <c r="AI1456" s="8"/>
      <c r="AJ1456" s="8"/>
      <c r="AK1456" s="8"/>
      <c r="AL1456" s="8"/>
      <c r="AM1456" s="8"/>
      <c r="AN1456" s="8"/>
      <c r="AO1456" s="8"/>
      <c r="AP1456" s="8"/>
      <c r="AQ1456" s="8"/>
      <c r="AR1456" s="8"/>
      <c r="AS1456" s="8"/>
      <c r="AT1456" s="8"/>
      <c r="AU1456" s="8"/>
      <c r="AV1456" s="8"/>
      <c r="AW1456" s="8"/>
      <c r="AX1456" s="4" t="s">
        <v>5391</v>
      </c>
      <c r="AY1456" s="5" t="s">
        <v>6472</v>
      </c>
      <c r="AZ1456" s="5" t="s">
        <v>38</v>
      </c>
      <c r="BA1456" s="12"/>
      <c r="BB1456" s="12"/>
      <c r="BC1456" s="12"/>
      <c r="BD1456" s="11">
        <v>0</v>
      </c>
      <c r="BE1456" s="11">
        <v>0</v>
      </c>
    </row>
    <row x14ac:dyDescent="0.25" r="1457" customHeight="1" ht="17.25">
      <c r="A1457" s="11">
        <v>6193</v>
      </c>
      <c r="B1457" s="4" t="s">
        <v>6473</v>
      </c>
      <c r="C1457" s="5" t="s">
        <v>658</v>
      </c>
      <c r="D1457" s="5" t="s">
        <v>659</v>
      </c>
      <c r="E1457" s="12"/>
      <c r="F1457" s="13">
        <f>""</f>
      </c>
      <c r="G1457" s="13">
        <f>""</f>
      </c>
      <c r="H1457" s="11">
        <v>0</v>
      </c>
      <c r="I1457" s="14">
        <v>3.86</v>
      </c>
      <c r="J1457" s="7" t="s">
        <v>114</v>
      </c>
      <c r="K1457" s="5" t="s">
        <v>60</v>
      </c>
      <c r="L1457" s="11">
        <v>192</v>
      </c>
      <c r="M1457" s="11">
        <v>2004</v>
      </c>
      <c r="N1457" s="11">
        <v>1983</v>
      </c>
      <c r="O1457" s="15"/>
      <c r="P1457" s="8">
        <v>45111</v>
      </c>
      <c r="Q1457" s="8"/>
      <c r="R1457" s="8"/>
      <c r="S1457" s="8"/>
      <c r="T1457" s="8"/>
      <c r="U1457" s="8"/>
      <c r="V1457" s="8"/>
      <c r="W1457" s="8"/>
      <c r="X1457" s="8"/>
      <c r="Y1457" s="8"/>
      <c r="Z1457" s="8"/>
      <c r="AA1457" s="8"/>
      <c r="AB1457" s="8"/>
      <c r="AC1457" s="8"/>
      <c r="AD1457" s="8"/>
      <c r="AE1457" s="8"/>
      <c r="AF1457" s="8"/>
      <c r="AG1457" s="8"/>
      <c r="AH1457" s="8"/>
      <c r="AI1457" s="8"/>
      <c r="AJ1457" s="8"/>
      <c r="AK1457" s="8"/>
      <c r="AL1457" s="8"/>
      <c r="AM1457" s="8"/>
      <c r="AN1457" s="8"/>
      <c r="AO1457" s="8"/>
      <c r="AP1457" s="8"/>
      <c r="AQ1457" s="8"/>
      <c r="AR1457" s="8"/>
      <c r="AS1457" s="8"/>
      <c r="AT1457" s="8"/>
      <c r="AU1457" s="8"/>
      <c r="AV1457" s="8"/>
      <c r="AW1457" s="8"/>
      <c r="AX1457" s="4" t="s">
        <v>5391</v>
      </c>
      <c r="AY1457" s="5" t="s">
        <v>6474</v>
      </c>
      <c r="AZ1457" s="5" t="s">
        <v>38</v>
      </c>
      <c r="BA1457" s="12"/>
      <c r="BB1457" s="12"/>
      <c r="BC1457" s="12"/>
      <c r="BD1457" s="11">
        <v>0</v>
      </c>
      <c r="BE1457" s="11">
        <v>0</v>
      </c>
    </row>
    <row x14ac:dyDescent="0.25" r="1458" customHeight="1" ht="17.25">
      <c r="A1458" s="11">
        <v>268302</v>
      </c>
      <c r="B1458" s="4" t="s">
        <v>6475</v>
      </c>
      <c r="C1458" s="5" t="s">
        <v>6476</v>
      </c>
      <c r="D1458" s="5" t="s">
        <v>6477</v>
      </c>
      <c r="E1458" s="12"/>
      <c r="F1458" s="13">
        <f>""</f>
      </c>
      <c r="G1458" s="13">
        <f>""</f>
      </c>
      <c r="H1458" s="11">
        <v>0</v>
      </c>
      <c r="I1458" s="14">
        <v>4.34</v>
      </c>
      <c r="J1458" s="7" t="s">
        <v>6478</v>
      </c>
      <c r="K1458" s="5" t="s">
        <v>60</v>
      </c>
      <c r="L1458" s="11">
        <v>429</v>
      </c>
      <c r="M1458" s="11">
        <v>1996</v>
      </c>
      <c r="N1458" s="11">
        <v>1982</v>
      </c>
      <c r="O1458" s="15"/>
      <c r="P1458" s="8">
        <v>45111</v>
      </c>
      <c r="Q1458" s="8"/>
      <c r="R1458" s="8"/>
      <c r="S1458" s="8"/>
      <c r="T1458" s="8"/>
      <c r="U1458" s="8"/>
      <c r="V1458" s="8"/>
      <c r="W1458" s="8"/>
      <c r="X1458" s="8"/>
      <c r="Y1458" s="8"/>
      <c r="Z1458" s="8"/>
      <c r="AA1458" s="8"/>
      <c r="AB1458" s="8"/>
      <c r="AC1458" s="8"/>
      <c r="AD1458" s="8"/>
      <c r="AE1458" s="8"/>
      <c r="AF1458" s="8"/>
      <c r="AG1458" s="8"/>
      <c r="AH1458" s="8"/>
      <c r="AI1458" s="8"/>
      <c r="AJ1458" s="8"/>
      <c r="AK1458" s="8"/>
      <c r="AL1458" s="8"/>
      <c r="AM1458" s="8"/>
      <c r="AN1458" s="8"/>
      <c r="AO1458" s="8"/>
      <c r="AP1458" s="8"/>
      <c r="AQ1458" s="8"/>
      <c r="AR1458" s="8"/>
      <c r="AS1458" s="8"/>
      <c r="AT1458" s="8"/>
      <c r="AU1458" s="8"/>
      <c r="AV1458" s="8"/>
      <c r="AW1458" s="8"/>
      <c r="AX1458" s="4" t="s">
        <v>5391</v>
      </c>
      <c r="AY1458" s="5" t="s">
        <v>6479</v>
      </c>
      <c r="AZ1458" s="5" t="s">
        <v>38</v>
      </c>
      <c r="BA1458" s="12"/>
      <c r="BB1458" s="12"/>
      <c r="BC1458" s="12"/>
      <c r="BD1458" s="11">
        <v>0</v>
      </c>
      <c r="BE1458" s="11">
        <v>0</v>
      </c>
    </row>
    <row x14ac:dyDescent="0.25" r="1459" customHeight="1" ht="17.25">
      <c r="A1459" s="11">
        <v>605573</v>
      </c>
      <c r="B1459" s="4" t="s">
        <v>6480</v>
      </c>
      <c r="C1459" s="5" t="s">
        <v>1909</v>
      </c>
      <c r="D1459" s="5" t="s">
        <v>1910</v>
      </c>
      <c r="E1459" s="12"/>
      <c r="F1459" s="13">
        <f>""</f>
      </c>
      <c r="G1459" s="13">
        <f>""</f>
      </c>
      <c r="H1459" s="11">
        <v>0</v>
      </c>
      <c r="I1459" s="14">
        <v>3.98</v>
      </c>
      <c r="J1459" s="7" t="s">
        <v>2132</v>
      </c>
      <c r="K1459" s="5" t="s">
        <v>60</v>
      </c>
      <c r="L1459" s="11">
        <v>536</v>
      </c>
      <c r="M1459" s="11">
        <v>2006</v>
      </c>
      <c r="N1459" s="11">
        <v>1981</v>
      </c>
      <c r="O1459" s="15"/>
      <c r="P1459" s="8">
        <v>45111</v>
      </c>
      <c r="Q1459" s="8"/>
      <c r="R1459" s="8"/>
      <c r="S1459" s="8"/>
      <c r="T1459" s="8"/>
      <c r="U1459" s="8"/>
      <c r="V1459" s="8"/>
      <c r="W1459" s="8"/>
      <c r="X1459" s="8"/>
      <c r="Y1459" s="8"/>
      <c r="Z1459" s="8"/>
      <c r="AA1459" s="8"/>
      <c r="AB1459" s="8"/>
      <c r="AC1459" s="8"/>
      <c r="AD1459" s="8"/>
      <c r="AE1459" s="8"/>
      <c r="AF1459" s="8"/>
      <c r="AG1459" s="8"/>
      <c r="AH1459" s="8"/>
      <c r="AI1459" s="8"/>
      <c r="AJ1459" s="8"/>
      <c r="AK1459" s="8"/>
      <c r="AL1459" s="8"/>
      <c r="AM1459" s="8"/>
      <c r="AN1459" s="8"/>
      <c r="AO1459" s="8"/>
      <c r="AP1459" s="8"/>
      <c r="AQ1459" s="8"/>
      <c r="AR1459" s="8"/>
      <c r="AS1459" s="8"/>
      <c r="AT1459" s="8"/>
      <c r="AU1459" s="8"/>
      <c r="AV1459" s="8"/>
      <c r="AW1459" s="8"/>
      <c r="AX1459" s="4" t="s">
        <v>5391</v>
      </c>
      <c r="AY1459" s="5" t="s">
        <v>6481</v>
      </c>
      <c r="AZ1459" s="5" t="s">
        <v>38</v>
      </c>
      <c r="BA1459" s="12"/>
      <c r="BB1459" s="12"/>
      <c r="BC1459" s="12"/>
      <c r="BD1459" s="11">
        <v>0</v>
      </c>
      <c r="BE1459" s="11">
        <v>0</v>
      </c>
    </row>
    <row x14ac:dyDescent="0.25" r="1460" customHeight="1" ht="17.25">
      <c r="A1460" s="11">
        <v>14431</v>
      </c>
      <c r="B1460" s="4" t="s">
        <v>6482</v>
      </c>
      <c r="C1460" s="5" t="s">
        <v>4558</v>
      </c>
      <c r="D1460" s="5" t="s">
        <v>4559</v>
      </c>
      <c r="E1460" s="12"/>
      <c r="F1460" s="13">
        <f>"0571209432"</f>
      </c>
      <c r="G1460" s="13">
        <f>"9780571209439"</f>
      </c>
      <c r="H1460" s="11">
        <v>0</v>
      </c>
      <c r="I1460" s="14">
        <v>3.58</v>
      </c>
      <c r="J1460" s="7" t="s">
        <v>1618</v>
      </c>
      <c r="K1460" s="5" t="s">
        <v>60</v>
      </c>
      <c r="L1460" s="11">
        <v>278</v>
      </c>
      <c r="M1460" s="11">
        <v>2001</v>
      </c>
      <c r="N1460" s="11">
        <v>1980</v>
      </c>
      <c r="O1460" s="15"/>
      <c r="P1460" s="8">
        <v>45111</v>
      </c>
      <c r="Q1460" s="8"/>
      <c r="R1460" s="8"/>
      <c r="S1460" s="8"/>
      <c r="T1460" s="8"/>
      <c r="U1460" s="8"/>
      <c r="V1460" s="8"/>
      <c r="W1460" s="8"/>
      <c r="X1460" s="8"/>
      <c r="Y1460" s="8"/>
      <c r="Z1460" s="8"/>
      <c r="AA1460" s="8"/>
      <c r="AB1460" s="8"/>
      <c r="AC1460" s="8"/>
      <c r="AD1460" s="8"/>
      <c r="AE1460" s="8"/>
      <c r="AF1460" s="8"/>
      <c r="AG1460" s="8"/>
      <c r="AH1460" s="8"/>
      <c r="AI1460" s="8"/>
      <c r="AJ1460" s="8"/>
      <c r="AK1460" s="8"/>
      <c r="AL1460" s="8"/>
      <c r="AM1460" s="8"/>
      <c r="AN1460" s="8"/>
      <c r="AO1460" s="8"/>
      <c r="AP1460" s="8"/>
      <c r="AQ1460" s="8"/>
      <c r="AR1460" s="8"/>
      <c r="AS1460" s="8"/>
      <c r="AT1460" s="8"/>
      <c r="AU1460" s="8"/>
      <c r="AV1460" s="8"/>
      <c r="AW1460" s="8"/>
      <c r="AX1460" s="4" t="s">
        <v>5391</v>
      </c>
      <c r="AY1460" s="5" t="s">
        <v>6483</v>
      </c>
      <c r="AZ1460" s="5" t="s">
        <v>38</v>
      </c>
      <c r="BA1460" s="12"/>
      <c r="BB1460" s="12"/>
      <c r="BC1460" s="12"/>
      <c r="BD1460" s="11">
        <v>0</v>
      </c>
      <c r="BE1460" s="11">
        <v>0</v>
      </c>
    </row>
    <row x14ac:dyDescent="0.25" r="1461" customHeight="1" ht="17.25">
      <c r="A1461" s="11">
        <v>108615</v>
      </c>
      <c r="B1461" s="4" t="s">
        <v>6484</v>
      </c>
      <c r="C1461" s="5" t="s">
        <v>6485</v>
      </c>
      <c r="D1461" s="5" t="s">
        <v>6486</v>
      </c>
      <c r="E1461" s="12"/>
      <c r="F1461" s="13">
        <f>"0006542565"</f>
      </c>
      <c r="G1461" s="13">
        <f>"9780006542568"</f>
      </c>
      <c r="H1461" s="11">
        <v>0</v>
      </c>
      <c r="I1461" s="14">
        <v>3.59</v>
      </c>
      <c r="J1461" s="7" t="s">
        <v>505</v>
      </c>
      <c r="K1461" s="5" t="s">
        <v>60</v>
      </c>
      <c r="L1461" s="11">
        <v>140</v>
      </c>
      <c r="M1461" s="11">
        <v>2003</v>
      </c>
      <c r="N1461" s="11">
        <v>1979</v>
      </c>
      <c r="O1461" s="15"/>
      <c r="P1461" s="8">
        <v>45111</v>
      </c>
      <c r="Q1461" s="8"/>
      <c r="R1461" s="8"/>
      <c r="S1461" s="8"/>
      <c r="T1461" s="8"/>
      <c r="U1461" s="8"/>
      <c r="V1461" s="8"/>
      <c r="W1461" s="8"/>
      <c r="X1461" s="8"/>
      <c r="Y1461" s="8"/>
      <c r="Z1461" s="8"/>
      <c r="AA1461" s="8"/>
      <c r="AB1461" s="8"/>
      <c r="AC1461" s="8"/>
      <c r="AD1461" s="8"/>
      <c r="AE1461" s="8"/>
      <c r="AF1461" s="8"/>
      <c r="AG1461" s="8"/>
      <c r="AH1461" s="8"/>
      <c r="AI1461" s="8"/>
      <c r="AJ1461" s="8"/>
      <c r="AK1461" s="8"/>
      <c r="AL1461" s="8"/>
      <c r="AM1461" s="8"/>
      <c r="AN1461" s="8"/>
      <c r="AO1461" s="8"/>
      <c r="AP1461" s="8"/>
      <c r="AQ1461" s="8"/>
      <c r="AR1461" s="8"/>
      <c r="AS1461" s="8"/>
      <c r="AT1461" s="8"/>
      <c r="AU1461" s="8"/>
      <c r="AV1461" s="8"/>
      <c r="AW1461" s="8"/>
      <c r="AX1461" s="4" t="s">
        <v>5391</v>
      </c>
      <c r="AY1461" s="5" t="s">
        <v>6487</v>
      </c>
      <c r="AZ1461" s="5" t="s">
        <v>38</v>
      </c>
      <c r="BA1461" s="12"/>
      <c r="BB1461" s="12"/>
      <c r="BC1461" s="12"/>
      <c r="BD1461" s="11">
        <v>0</v>
      </c>
      <c r="BE1461" s="11">
        <v>0</v>
      </c>
    </row>
    <row x14ac:dyDescent="0.25" r="1462" customHeight="1" ht="17.25">
      <c r="A1462" s="11">
        <v>11229</v>
      </c>
      <c r="B1462" s="4" t="s">
        <v>6488</v>
      </c>
      <c r="C1462" s="5" t="s">
        <v>6489</v>
      </c>
      <c r="D1462" s="5" t="s">
        <v>6490</v>
      </c>
      <c r="E1462" s="5" t="s">
        <v>6491</v>
      </c>
      <c r="F1462" s="13">
        <f>"014118616X"</f>
      </c>
      <c r="G1462" s="13">
        <f>"9780141186160"</f>
      </c>
      <c r="H1462" s="11">
        <v>0</v>
      </c>
      <c r="I1462" s="14">
        <v>3.94</v>
      </c>
      <c r="J1462" s="7" t="s">
        <v>150</v>
      </c>
      <c r="K1462" s="5" t="s">
        <v>60</v>
      </c>
      <c r="L1462" s="11">
        <v>528</v>
      </c>
      <c r="M1462" s="11">
        <v>2001</v>
      </c>
      <c r="N1462" s="11">
        <v>1978</v>
      </c>
      <c r="O1462" s="15"/>
      <c r="P1462" s="8">
        <v>45111</v>
      </c>
      <c r="Q1462" s="8"/>
      <c r="R1462" s="8"/>
      <c r="S1462" s="8"/>
      <c r="T1462" s="8"/>
      <c r="U1462" s="8"/>
      <c r="V1462" s="8"/>
      <c r="W1462" s="8"/>
      <c r="X1462" s="8"/>
      <c r="Y1462" s="8"/>
      <c r="Z1462" s="8"/>
      <c r="AA1462" s="8"/>
      <c r="AB1462" s="8"/>
      <c r="AC1462" s="8"/>
      <c r="AD1462" s="8"/>
      <c r="AE1462" s="8"/>
      <c r="AF1462" s="8"/>
      <c r="AG1462" s="8"/>
      <c r="AH1462" s="8"/>
      <c r="AI1462" s="8"/>
      <c r="AJ1462" s="8"/>
      <c r="AK1462" s="8"/>
      <c r="AL1462" s="8"/>
      <c r="AM1462" s="8"/>
      <c r="AN1462" s="8"/>
      <c r="AO1462" s="8"/>
      <c r="AP1462" s="8"/>
      <c r="AQ1462" s="8"/>
      <c r="AR1462" s="8"/>
      <c r="AS1462" s="8"/>
      <c r="AT1462" s="8"/>
      <c r="AU1462" s="8"/>
      <c r="AV1462" s="8"/>
      <c r="AW1462" s="8"/>
      <c r="AX1462" s="4" t="s">
        <v>5391</v>
      </c>
      <c r="AY1462" s="5" t="s">
        <v>6492</v>
      </c>
      <c r="AZ1462" s="5" t="s">
        <v>38</v>
      </c>
      <c r="BA1462" s="12"/>
      <c r="BB1462" s="12"/>
      <c r="BC1462" s="12"/>
      <c r="BD1462" s="11">
        <v>0</v>
      </c>
      <c r="BE1462" s="11">
        <v>0</v>
      </c>
    </row>
    <row x14ac:dyDescent="0.25" r="1463" customHeight="1" ht="17.25">
      <c r="A1463" s="11">
        <v>414824</v>
      </c>
      <c r="B1463" s="4" t="s">
        <v>6493</v>
      </c>
      <c r="C1463" s="5" t="s">
        <v>6494</v>
      </c>
      <c r="D1463" s="5" t="s">
        <v>6495</v>
      </c>
      <c r="E1463" s="12"/>
      <c r="F1463" s="13">
        <f>"0099443198"</f>
      </c>
      <c r="G1463" s="13">
        <f>"9780099443193"</f>
      </c>
      <c r="H1463" s="11">
        <v>0</v>
      </c>
      <c r="I1463" s="14">
        <v>3.89</v>
      </c>
      <c r="J1463" s="7" t="s">
        <v>6496</v>
      </c>
      <c r="K1463" s="5" t="s">
        <v>60</v>
      </c>
      <c r="L1463" s="11">
        <v>256</v>
      </c>
      <c r="M1463" s="11">
        <v>2005</v>
      </c>
      <c r="N1463" s="11">
        <v>1977</v>
      </c>
      <c r="O1463" s="15"/>
      <c r="P1463" s="8">
        <v>45111</v>
      </c>
      <c r="Q1463" s="8"/>
      <c r="R1463" s="8"/>
      <c r="S1463" s="8"/>
      <c r="T1463" s="8"/>
      <c r="U1463" s="8"/>
      <c r="V1463" s="8"/>
      <c r="W1463" s="8"/>
      <c r="X1463" s="8"/>
      <c r="Y1463" s="8"/>
      <c r="Z1463" s="8"/>
      <c r="AA1463" s="8"/>
      <c r="AB1463" s="8"/>
      <c r="AC1463" s="8"/>
      <c r="AD1463" s="8"/>
      <c r="AE1463" s="8"/>
      <c r="AF1463" s="8"/>
      <c r="AG1463" s="8"/>
      <c r="AH1463" s="8"/>
      <c r="AI1463" s="8"/>
      <c r="AJ1463" s="8"/>
      <c r="AK1463" s="8"/>
      <c r="AL1463" s="8"/>
      <c r="AM1463" s="8"/>
      <c r="AN1463" s="8"/>
      <c r="AO1463" s="8"/>
      <c r="AP1463" s="8"/>
      <c r="AQ1463" s="8"/>
      <c r="AR1463" s="8"/>
      <c r="AS1463" s="8"/>
      <c r="AT1463" s="8"/>
      <c r="AU1463" s="8"/>
      <c r="AV1463" s="8"/>
      <c r="AW1463" s="8"/>
      <c r="AX1463" s="4" t="s">
        <v>5391</v>
      </c>
      <c r="AY1463" s="5" t="s">
        <v>6497</v>
      </c>
      <c r="AZ1463" s="5" t="s">
        <v>38</v>
      </c>
      <c r="BA1463" s="12"/>
      <c r="BB1463" s="12"/>
      <c r="BC1463" s="12"/>
      <c r="BD1463" s="11">
        <v>0</v>
      </c>
      <c r="BE1463" s="11">
        <v>0</v>
      </c>
    </row>
    <row x14ac:dyDescent="0.25" r="1464" customHeight="1" ht="17.25">
      <c r="A1464" s="11">
        <v>171833</v>
      </c>
      <c r="B1464" s="4" t="s">
        <v>6498</v>
      </c>
      <c r="C1464" s="5" t="s">
        <v>6499</v>
      </c>
      <c r="D1464" s="5" t="s">
        <v>6500</v>
      </c>
      <c r="E1464" s="12"/>
      <c r="F1464" s="13">
        <f>"0380018896"</f>
      </c>
      <c r="G1464" s="13">
        <f>"9780380018895"</f>
      </c>
      <c r="H1464" s="11">
        <v>0</v>
      </c>
      <c r="I1464" s="14">
        <v>3.51</v>
      </c>
      <c r="J1464" s="7" t="s">
        <v>6501</v>
      </c>
      <c r="K1464" s="5" t="s">
        <v>60</v>
      </c>
      <c r="L1464" s="11">
        <v>597</v>
      </c>
      <c r="M1464" s="11">
        <v>1978</v>
      </c>
      <c r="N1464" s="11">
        <v>1976</v>
      </c>
      <c r="O1464" s="15"/>
      <c r="P1464" s="8">
        <v>45111</v>
      </c>
      <c r="Q1464" s="8"/>
      <c r="R1464" s="8"/>
      <c r="S1464" s="8"/>
      <c r="T1464" s="8"/>
      <c r="U1464" s="8"/>
      <c r="V1464" s="8"/>
      <c r="W1464" s="8"/>
      <c r="X1464" s="8"/>
      <c r="Y1464" s="8"/>
      <c r="Z1464" s="8"/>
      <c r="AA1464" s="8"/>
      <c r="AB1464" s="8"/>
      <c r="AC1464" s="8"/>
      <c r="AD1464" s="8"/>
      <c r="AE1464" s="8"/>
      <c r="AF1464" s="8"/>
      <c r="AG1464" s="8"/>
      <c r="AH1464" s="8"/>
      <c r="AI1464" s="8"/>
      <c r="AJ1464" s="8"/>
      <c r="AK1464" s="8"/>
      <c r="AL1464" s="8"/>
      <c r="AM1464" s="8"/>
      <c r="AN1464" s="8"/>
      <c r="AO1464" s="8"/>
      <c r="AP1464" s="8"/>
      <c r="AQ1464" s="8"/>
      <c r="AR1464" s="8"/>
      <c r="AS1464" s="8"/>
      <c r="AT1464" s="8"/>
      <c r="AU1464" s="8"/>
      <c r="AV1464" s="8"/>
      <c r="AW1464" s="8"/>
      <c r="AX1464" s="4" t="s">
        <v>5391</v>
      </c>
      <c r="AY1464" s="5" t="s">
        <v>6502</v>
      </c>
      <c r="AZ1464" s="5" t="s">
        <v>38</v>
      </c>
      <c r="BA1464" s="12"/>
      <c r="BB1464" s="12"/>
      <c r="BC1464" s="12"/>
      <c r="BD1464" s="11">
        <v>0</v>
      </c>
      <c r="BE1464" s="11">
        <v>0</v>
      </c>
    </row>
    <row x14ac:dyDescent="0.25" r="1465" customHeight="1" ht="17.25">
      <c r="A1465" s="11">
        <v>3853</v>
      </c>
      <c r="B1465" s="4" t="s">
        <v>6503</v>
      </c>
      <c r="C1465" s="5" t="s">
        <v>6504</v>
      </c>
      <c r="D1465" s="5" t="s">
        <v>6505</v>
      </c>
      <c r="E1465" s="12"/>
      <c r="F1465" s="13">
        <f>"1582430152"</f>
      </c>
      <c r="G1465" s="13">
        <f>"9781582430157"</f>
      </c>
      <c r="H1465" s="11">
        <v>0</v>
      </c>
      <c r="I1465" s="14">
        <v>3.55</v>
      </c>
      <c r="J1465" s="7" t="s">
        <v>6506</v>
      </c>
      <c r="K1465" s="5" t="s">
        <v>60</v>
      </c>
      <c r="L1465" s="11">
        <v>190</v>
      </c>
      <c r="M1465" s="11">
        <v>1999</v>
      </c>
      <c r="N1465" s="11">
        <v>1975</v>
      </c>
      <c r="O1465" s="15"/>
      <c r="P1465" s="8">
        <v>45111</v>
      </c>
      <c r="Q1465" s="8"/>
      <c r="R1465" s="8"/>
      <c r="S1465" s="8"/>
      <c r="T1465" s="8"/>
      <c r="U1465" s="8"/>
      <c r="V1465" s="8"/>
      <c r="W1465" s="8"/>
      <c r="X1465" s="8"/>
      <c r="Y1465" s="8"/>
      <c r="Z1465" s="8"/>
      <c r="AA1465" s="8"/>
      <c r="AB1465" s="8"/>
      <c r="AC1465" s="8"/>
      <c r="AD1465" s="8"/>
      <c r="AE1465" s="8"/>
      <c r="AF1465" s="8"/>
      <c r="AG1465" s="8"/>
      <c r="AH1465" s="8"/>
      <c r="AI1465" s="8"/>
      <c r="AJ1465" s="8"/>
      <c r="AK1465" s="8"/>
      <c r="AL1465" s="8"/>
      <c r="AM1465" s="8"/>
      <c r="AN1465" s="8"/>
      <c r="AO1465" s="8"/>
      <c r="AP1465" s="8"/>
      <c r="AQ1465" s="8"/>
      <c r="AR1465" s="8"/>
      <c r="AS1465" s="8"/>
      <c r="AT1465" s="8"/>
      <c r="AU1465" s="8"/>
      <c r="AV1465" s="8"/>
      <c r="AW1465" s="8"/>
      <c r="AX1465" s="4" t="s">
        <v>5391</v>
      </c>
      <c r="AY1465" s="5" t="s">
        <v>6507</v>
      </c>
      <c r="AZ1465" s="5" t="s">
        <v>38</v>
      </c>
      <c r="BA1465" s="12"/>
      <c r="BB1465" s="12"/>
      <c r="BC1465" s="12"/>
      <c r="BD1465" s="11">
        <v>0</v>
      </c>
      <c r="BE1465" s="11">
        <v>0</v>
      </c>
    </row>
    <row x14ac:dyDescent="0.25" r="1466" customHeight="1" ht="17.25">
      <c r="A1466" s="11">
        <v>96337</v>
      </c>
      <c r="B1466" s="4" t="s">
        <v>6508</v>
      </c>
      <c r="C1466" s="5" t="s">
        <v>6509</v>
      </c>
      <c r="D1466" s="5" t="s">
        <v>6510</v>
      </c>
      <c r="E1466" s="12"/>
      <c r="F1466" s="13">
        <f>"0140047166"</f>
      </c>
      <c r="G1466" s="13">
        <f>"9780140047165"</f>
      </c>
      <c r="H1466" s="11">
        <v>0</v>
      </c>
      <c r="I1466" s="14">
        <v>3.32</v>
      </c>
      <c r="J1466" s="7" t="s">
        <v>491</v>
      </c>
      <c r="K1466" s="5" t="s">
        <v>60</v>
      </c>
      <c r="L1466" s="11">
        <v>267</v>
      </c>
      <c r="M1466" s="11">
        <v>1983</v>
      </c>
      <c r="N1466" s="11">
        <v>1974</v>
      </c>
      <c r="O1466" s="15"/>
      <c r="P1466" s="8">
        <v>45111</v>
      </c>
      <c r="Q1466" s="8"/>
      <c r="R1466" s="8"/>
      <c r="S1466" s="8"/>
      <c r="T1466" s="8"/>
      <c r="U1466" s="8"/>
      <c r="V1466" s="8"/>
      <c r="W1466" s="8"/>
      <c r="X1466" s="8"/>
      <c r="Y1466" s="8"/>
      <c r="Z1466" s="8"/>
      <c r="AA1466" s="8"/>
      <c r="AB1466" s="8"/>
      <c r="AC1466" s="8"/>
      <c r="AD1466" s="8"/>
      <c r="AE1466" s="8"/>
      <c r="AF1466" s="8"/>
      <c r="AG1466" s="8"/>
      <c r="AH1466" s="8"/>
      <c r="AI1466" s="8"/>
      <c r="AJ1466" s="8"/>
      <c r="AK1466" s="8"/>
      <c r="AL1466" s="8"/>
      <c r="AM1466" s="8"/>
      <c r="AN1466" s="8"/>
      <c r="AO1466" s="8"/>
      <c r="AP1466" s="8"/>
      <c r="AQ1466" s="8"/>
      <c r="AR1466" s="8"/>
      <c r="AS1466" s="8"/>
      <c r="AT1466" s="8"/>
      <c r="AU1466" s="8"/>
      <c r="AV1466" s="8"/>
      <c r="AW1466" s="8"/>
      <c r="AX1466" s="4" t="s">
        <v>5391</v>
      </c>
      <c r="AY1466" s="5" t="s">
        <v>6511</v>
      </c>
      <c r="AZ1466" s="5" t="s">
        <v>38</v>
      </c>
      <c r="BA1466" s="12"/>
      <c r="BB1466" s="12"/>
      <c r="BC1466" s="12"/>
      <c r="BD1466" s="11">
        <v>0</v>
      </c>
      <c r="BE1466" s="11">
        <v>0</v>
      </c>
    </row>
    <row x14ac:dyDescent="0.25" r="1467" customHeight="1" ht="17.25">
      <c r="A1467" s="11">
        <v>256280</v>
      </c>
      <c r="B1467" s="4" t="s">
        <v>6512</v>
      </c>
      <c r="C1467" s="5" t="s">
        <v>6513</v>
      </c>
      <c r="D1467" s="5" t="s">
        <v>6514</v>
      </c>
      <c r="E1467" s="5" t="s">
        <v>6515</v>
      </c>
      <c r="F1467" s="13">
        <f>"159017092X"</f>
      </c>
      <c r="G1467" s="13">
        <f>"9781590170922"</f>
      </c>
      <c r="H1467" s="11">
        <v>0</v>
      </c>
      <c r="I1467" s="14">
        <v>3.92</v>
      </c>
      <c r="J1467" s="7" t="s">
        <v>108</v>
      </c>
      <c r="K1467" s="5" t="s">
        <v>60</v>
      </c>
      <c r="L1467" s="11">
        <v>344</v>
      </c>
      <c r="M1467" s="11">
        <v>2004</v>
      </c>
      <c r="N1467" s="11">
        <v>1973</v>
      </c>
      <c r="O1467" s="15"/>
      <c r="P1467" s="8">
        <v>45111</v>
      </c>
      <c r="Q1467" s="8"/>
      <c r="R1467" s="8"/>
      <c r="S1467" s="8"/>
      <c r="T1467" s="8"/>
      <c r="U1467" s="8"/>
      <c r="V1467" s="8"/>
      <c r="W1467" s="8"/>
      <c r="X1467" s="8"/>
      <c r="Y1467" s="8"/>
      <c r="Z1467" s="8"/>
      <c r="AA1467" s="8"/>
      <c r="AB1467" s="8"/>
      <c r="AC1467" s="8"/>
      <c r="AD1467" s="8"/>
      <c r="AE1467" s="8"/>
      <c r="AF1467" s="8"/>
      <c r="AG1467" s="8"/>
      <c r="AH1467" s="8"/>
      <c r="AI1467" s="8"/>
      <c r="AJ1467" s="8"/>
      <c r="AK1467" s="8"/>
      <c r="AL1467" s="8"/>
      <c r="AM1467" s="8"/>
      <c r="AN1467" s="8"/>
      <c r="AO1467" s="8"/>
      <c r="AP1467" s="8"/>
      <c r="AQ1467" s="8"/>
      <c r="AR1467" s="8"/>
      <c r="AS1467" s="8"/>
      <c r="AT1467" s="8"/>
      <c r="AU1467" s="8"/>
      <c r="AV1467" s="8"/>
      <c r="AW1467" s="8"/>
      <c r="AX1467" s="4" t="s">
        <v>5391</v>
      </c>
      <c r="AY1467" s="5" t="s">
        <v>6516</v>
      </c>
      <c r="AZ1467" s="5" t="s">
        <v>38</v>
      </c>
      <c r="BA1467" s="12"/>
      <c r="BB1467" s="12"/>
      <c r="BC1467" s="12"/>
      <c r="BD1467" s="11">
        <v>0</v>
      </c>
      <c r="BE1467" s="11">
        <v>0</v>
      </c>
    </row>
    <row x14ac:dyDescent="0.25" r="1468" customHeight="1" ht="17.25">
      <c r="A1468" s="11">
        <v>299813</v>
      </c>
      <c r="B1468" s="4" t="s">
        <v>6517</v>
      </c>
      <c r="C1468" s="5" t="s">
        <v>4057</v>
      </c>
      <c r="D1468" s="5" t="s">
        <v>4058</v>
      </c>
      <c r="E1468" s="12"/>
      <c r="F1468" s="13">
        <f>"0679736549"</f>
      </c>
      <c r="G1468" s="13">
        <f>"9780679736547"</f>
      </c>
      <c r="H1468" s="11">
        <v>0</v>
      </c>
      <c r="I1468" s="14">
        <v>3.68</v>
      </c>
      <c r="J1468" s="7" t="s">
        <v>114</v>
      </c>
      <c r="K1468" s="5" t="s">
        <v>60</v>
      </c>
      <c r="L1468" s="11">
        <v>336</v>
      </c>
      <c r="M1468" s="11">
        <v>1992</v>
      </c>
      <c r="N1468" s="11">
        <v>1972</v>
      </c>
      <c r="O1468" s="15"/>
      <c r="P1468" s="8">
        <v>43107</v>
      </c>
      <c r="Q1468" s="8"/>
      <c r="R1468" s="8"/>
      <c r="S1468" s="8"/>
      <c r="T1468" s="8"/>
      <c r="U1468" s="8"/>
      <c r="V1468" s="8"/>
      <c r="W1468" s="8"/>
      <c r="X1468" s="8"/>
      <c r="Y1468" s="8"/>
      <c r="Z1468" s="8"/>
      <c r="AA1468" s="8"/>
      <c r="AB1468" s="8"/>
      <c r="AC1468" s="8"/>
      <c r="AD1468" s="8"/>
      <c r="AE1468" s="8"/>
      <c r="AF1468" s="8"/>
      <c r="AG1468" s="8"/>
      <c r="AH1468" s="8"/>
      <c r="AI1468" s="8"/>
      <c r="AJ1468" s="8"/>
      <c r="AK1468" s="8"/>
      <c r="AL1468" s="8"/>
      <c r="AM1468" s="8"/>
      <c r="AN1468" s="8"/>
      <c r="AO1468" s="8"/>
      <c r="AP1468" s="8"/>
      <c r="AQ1468" s="8"/>
      <c r="AR1468" s="8"/>
      <c r="AS1468" s="8"/>
      <c r="AT1468" s="8"/>
      <c r="AU1468" s="8"/>
      <c r="AV1468" s="8"/>
      <c r="AW1468" s="8"/>
      <c r="AX1468" s="4" t="s">
        <v>5391</v>
      </c>
      <c r="AY1468" s="5" t="s">
        <v>6518</v>
      </c>
      <c r="AZ1468" s="5" t="s">
        <v>38</v>
      </c>
      <c r="BA1468" s="12"/>
      <c r="BB1468" s="12"/>
      <c r="BC1468" s="12"/>
      <c r="BD1468" s="11">
        <v>0</v>
      </c>
      <c r="BE1468" s="11">
        <v>0</v>
      </c>
    </row>
    <row x14ac:dyDescent="0.25" r="1469" customHeight="1" ht="17.25">
      <c r="A1469" s="11">
        <v>49742</v>
      </c>
      <c r="B1469" s="4" t="s">
        <v>6519</v>
      </c>
      <c r="C1469" s="5" t="s">
        <v>6520</v>
      </c>
      <c r="D1469" s="5" t="s">
        <v>6521</v>
      </c>
      <c r="E1469" s="12"/>
      <c r="F1469" s="13">
        <f>"1400030552"</f>
      </c>
      <c r="G1469" s="13">
        <f>"9781400030552"</f>
      </c>
      <c r="H1469" s="11">
        <v>0</v>
      </c>
      <c r="I1469" s="14">
        <v>3.49</v>
      </c>
      <c r="J1469" s="7" t="s">
        <v>114</v>
      </c>
      <c r="K1469" s="5" t="s">
        <v>60</v>
      </c>
      <c r="L1469" s="11">
        <v>256</v>
      </c>
      <c r="M1469" s="11">
        <v>2002</v>
      </c>
      <c r="N1469" s="11">
        <v>1971</v>
      </c>
      <c r="O1469" s="15"/>
      <c r="P1469" s="8">
        <v>45111</v>
      </c>
      <c r="Q1469" s="8"/>
      <c r="R1469" s="8"/>
      <c r="S1469" s="8"/>
      <c r="T1469" s="8"/>
      <c r="U1469" s="8"/>
      <c r="V1469" s="8"/>
      <c r="W1469" s="8"/>
      <c r="X1469" s="8"/>
      <c r="Y1469" s="8"/>
      <c r="Z1469" s="8"/>
      <c r="AA1469" s="8"/>
      <c r="AB1469" s="8"/>
      <c r="AC1469" s="8"/>
      <c r="AD1469" s="8"/>
      <c r="AE1469" s="8"/>
      <c r="AF1469" s="8"/>
      <c r="AG1469" s="8"/>
      <c r="AH1469" s="8"/>
      <c r="AI1469" s="8"/>
      <c r="AJ1469" s="8"/>
      <c r="AK1469" s="8"/>
      <c r="AL1469" s="8"/>
      <c r="AM1469" s="8"/>
      <c r="AN1469" s="8"/>
      <c r="AO1469" s="8"/>
      <c r="AP1469" s="8"/>
      <c r="AQ1469" s="8"/>
      <c r="AR1469" s="8"/>
      <c r="AS1469" s="8"/>
      <c r="AT1469" s="8"/>
      <c r="AU1469" s="8"/>
      <c r="AV1469" s="8"/>
      <c r="AW1469" s="8"/>
      <c r="AX1469" s="4" t="s">
        <v>5391</v>
      </c>
      <c r="AY1469" s="5" t="s">
        <v>6522</v>
      </c>
      <c r="AZ1469" s="5" t="s">
        <v>38</v>
      </c>
      <c r="BA1469" s="12"/>
      <c r="BB1469" s="12"/>
      <c r="BC1469" s="12"/>
      <c r="BD1469" s="11">
        <v>0</v>
      </c>
      <c r="BE1469" s="11">
        <v>0</v>
      </c>
    </row>
    <row x14ac:dyDescent="0.25" r="1470" customHeight="1" ht="17.25">
      <c r="A1470" s="11">
        <v>256279</v>
      </c>
      <c r="B1470" s="4" t="s">
        <v>6523</v>
      </c>
      <c r="C1470" s="5" t="s">
        <v>6513</v>
      </c>
      <c r="D1470" s="5" t="s">
        <v>6514</v>
      </c>
      <c r="E1470" s="5" t="s">
        <v>1138</v>
      </c>
      <c r="F1470" s="13">
        <f>"1590170180"</f>
      </c>
      <c r="G1470" s="13">
        <f>"9781590170182"</f>
      </c>
      <c r="H1470" s="11">
        <v>0</v>
      </c>
      <c r="I1470" s="14">
        <v>3.82</v>
      </c>
      <c r="J1470" s="7" t="s">
        <v>108</v>
      </c>
      <c r="K1470" s="5" t="s">
        <v>60</v>
      </c>
      <c r="L1470" s="11">
        <v>459</v>
      </c>
      <c r="M1470" s="11">
        <v>2002</v>
      </c>
      <c r="N1470" s="11">
        <v>1970</v>
      </c>
      <c r="O1470" s="15"/>
      <c r="P1470" s="8">
        <v>45111</v>
      </c>
      <c r="Q1470" s="8"/>
      <c r="R1470" s="8"/>
      <c r="S1470" s="8"/>
      <c r="T1470" s="8"/>
      <c r="U1470" s="8"/>
      <c r="V1470" s="8"/>
      <c r="W1470" s="8"/>
      <c r="X1470" s="8"/>
      <c r="Y1470" s="8"/>
      <c r="Z1470" s="8"/>
      <c r="AA1470" s="8"/>
      <c r="AB1470" s="8"/>
      <c r="AC1470" s="8"/>
      <c r="AD1470" s="8"/>
      <c r="AE1470" s="8"/>
      <c r="AF1470" s="8"/>
      <c r="AG1470" s="8"/>
      <c r="AH1470" s="8"/>
      <c r="AI1470" s="8"/>
      <c r="AJ1470" s="8"/>
      <c r="AK1470" s="8"/>
      <c r="AL1470" s="8"/>
      <c r="AM1470" s="8"/>
      <c r="AN1470" s="8"/>
      <c r="AO1470" s="8"/>
      <c r="AP1470" s="8"/>
      <c r="AQ1470" s="8"/>
      <c r="AR1470" s="8"/>
      <c r="AS1470" s="8"/>
      <c r="AT1470" s="8"/>
      <c r="AU1470" s="8"/>
      <c r="AV1470" s="8"/>
      <c r="AW1470" s="8"/>
      <c r="AX1470" s="4" t="s">
        <v>5391</v>
      </c>
      <c r="AY1470" s="5" t="s">
        <v>6524</v>
      </c>
      <c r="AZ1470" s="5" t="s">
        <v>38</v>
      </c>
      <c r="BA1470" s="12"/>
      <c r="BB1470" s="12"/>
      <c r="BC1470" s="12"/>
      <c r="BD1470" s="11">
        <v>0</v>
      </c>
      <c r="BE1470" s="11">
        <v>0</v>
      </c>
    </row>
    <row x14ac:dyDescent="0.25" r="1471" customHeight="1" ht="17.25">
      <c r="A1471" s="11">
        <v>6737970</v>
      </c>
      <c r="B1471" s="4" t="s">
        <v>6525</v>
      </c>
      <c r="C1471" s="5" t="s">
        <v>520</v>
      </c>
      <c r="D1471" s="5" t="s">
        <v>521</v>
      </c>
      <c r="E1471" s="12"/>
      <c r="F1471" s="13">
        <f>"0224082078"</f>
      </c>
      <c r="G1471" s="13">
        <f>"9780224082075"</f>
      </c>
      <c r="H1471" s="11">
        <v>0</v>
      </c>
      <c r="I1471" s="14">
        <v>4.13</v>
      </c>
      <c r="J1471" s="7" t="s">
        <v>4422</v>
      </c>
      <c r="K1471" s="5" t="s">
        <v>72</v>
      </c>
      <c r="L1471" s="11">
        <v>288</v>
      </c>
      <c r="M1471" s="11">
        <v>2010</v>
      </c>
      <c r="N1471" s="11">
        <v>2006</v>
      </c>
      <c r="O1471" s="15"/>
      <c r="P1471" s="8">
        <v>45101</v>
      </c>
      <c r="Q1471" s="8"/>
      <c r="R1471" s="8"/>
      <c r="S1471" s="8"/>
      <c r="T1471" s="8"/>
      <c r="U1471" s="8"/>
      <c r="V1471" s="8"/>
      <c r="W1471" s="8"/>
      <c r="X1471" s="8"/>
      <c r="Y1471" s="8"/>
      <c r="Z1471" s="8"/>
      <c r="AA1471" s="8"/>
      <c r="AB1471" s="8"/>
      <c r="AC1471" s="8"/>
      <c r="AD1471" s="8"/>
      <c r="AE1471" s="8"/>
      <c r="AF1471" s="8"/>
      <c r="AG1471" s="8"/>
      <c r="AH1471" s="8"/>
      <c r="AI1471" s="8"/>
      <c r="AJ1471" s="8"/>
      <c r="AK1471" s="8"/>
      <c r="AL1471" s="8"/>
      <c r="AM1471" s="8"/>
      <c r="AN1471" s="8"/>
      <c r="AO1471" s="8"/>
      <c r="AP1471" s="8"/>
      <c r="AQ1471" s="8"/>
      <c r="AR1471" s="8"/>
      <c r="AS1471" s="8"/>
      <c r="AT1471" s="8"/>
      <c r="AU1471" s="8"/>
      <c r="AV1471" s="8"/>
      <c r="AW1471" s="8"/>
      <c r="AX1471" s="4" t="s">
        <v>38</v>
      </c>
      <c r="AY1471" s="5" t="s">
        <v>6526</v>
      </c>
      <c r="AZ1471" s="5" t="s">
        <v>38</v>
      </c>
      <c r="BA1471" s="12"/>
      <c r="BB1471" s="12"/>
      <c r="BC1471" s="12"/>
      <c r="BD1471" s="11">
        <v>0</v>
      </c>
      <c r="BE1471" s="11">
        <v>0</v>
      </c>
    </row>
    <row x14ac:dyDescent="0.25" r="1472" customHeight="1" ht="17.25">
      <c r="A1472" s="11">
        <v>438571</v>
      </c>
      <c r="B1472" s="4" t="s">
        <v>6527</v>
      </c>
      <c r="C1472" s="5" t="s">
        <v>520</v>
      </c>
      <c r="D1472" s="5" t="s">
        <v>521</v>
      </c>
      <c r="E1472" s="5" t="s">
        <v>3078</v>
      </c>
      <c r="F1472" s="13">
        <f>"1400076129"</f>
      </c>
      <c r="G1472" s="13">
        <f>"9781400076123"</f>
      </c>
      <c r="H1472" s="11">
        <v>0</v>
      </c>
      <c r="I1472" s="14">
        <v>4.03</v>
      </c>
      <c r="J1472" s="7" t="s">
        <v>114</v>
      </c>
      <c r="K1472" s="5" t="s">
        <v>60</v>
      </c>
      <c r="L1472" s="11">
        <v>336</v>
      </c>
      <c r="M1472" s="11">
        <v>2006</v>
      </c>
      <c r="N1472" s="11">
        <v>2002</v>
      </c>
      <c r="O1472" s="15"/>
      <c r="P1472" s="8">
        <v>44967</v>
      </c>
      <c r="Q1472" s="8"/>
      <c r="R1472" s="8"/>
      <c r="S1472" s="8"/>
      <c r="T1472" s="8"/>
      <c r="U1472" s="8"/>
      <c r="V1472" s="8"/>
      <c r="W1472" s="8"/>
      <c r="X1472" s="8"/>
      <c r="Y1472" s="8"/>
      <c r="Z1472" s="8"/>
      <c r="AA1472" s="8"/>
      <c r="AB1472" s="8"/>
      <c r="AC1472" s="8"/>
      <c r="AD1472" s="8"/>
      <c r="AE1472" s="8"/>
      <c r="AF1472" s="8"/>
      <c r="AG1472" s="8"/>
      <c r="AH1472" s="8"/>
      <c r="AI1472" s="8"/>
      <c r="AJ1472" s="8"/>
      <c r="AK1472" s="8"/>
      <c r="AL1472" s="8"/>
      <c r="AM1472" s="8"/>
      <c r="AN1472" s="8"/>
      <c r="AO1472" s="8"/>
      <c r="AP1472" s="8"/>
      <c r="AQ1472" s="8"/>
      <c r="AR1472" s="8"/>
      <c r="AS1472" s="8"/>
      <c r="AT1472" s="8"/>
      <c r="AU1472" s="8"/>
      <c r="AV1472" s="8"/>
      <c r="AW1472" s="8"/>
      <c r="AX1472" s="4" t="s">
        <v>1049</v>
      </c>
      <c r="AY1472" s="5" t="s">
        <v>6528</v>
      </c>
      <c r="AZ1472" s="5" t="s">
        <v>38</v>
      </c>
      <c r="BA1472" s="12"/>
      <c r="BB1472" s="12"/>
      <c r="BC1472" s="12"/>
      <c r="BD1472" s="11">
        <v>0</v>
      </c>
      <c r="BE1472" s="11">
        <v>0</v>
      </c>
    </row>
    <row x14ac:dyDescent="0.25" r="1473" customHeight="1" ht="17.25">
      <c r="A1473" s="11">
        <v>438546</v>
      </c>
      <c r="B1473" s="4" t="s">
        <v>6529</v>
      </c>
      <c r="C1473" s="5" t="s">
        <v>520</v>
      </c>
      <c r="D1473" s="5" t="s">
        <v>521</v>
      </c>
      <c r="E1473" s="5" t="s">
        <v>6530</v>
      </c>
      <c r="F1473" s="13">
        <f>"0674780299"</f>
      </c>
      <c r="G1473" s="13">
        <f>"9780674780293"</f>
      </c>
      <c r="H1473" s="11">
        <v>0</v>
      </c>
      <c r="I1473" s="14">
        <v>4.06</v>
      </c>
      <c r="J1473" s="7" t="s">
        <v>6531</v>
      </c>
      <c r="K1473" s="5" t="s">
        <v>60</v>
      </c>
      <c r="L1473" s="11">
        <v>400</v>
      </c>
      <c r="M1473" s="11">
        <v>1996</v>
      </c>
      <c r="N1473" s="11">
        <v>1983</v>
      </c>
      <c r="O1473" s="15"/>
      <c r="P1473" s="8">
        <v>45101</v>
      </c>
      <c r="Q1473" s="8"/>
      <c r="R1473" s="8"/>
      <c r="S1473" s="8"/>
      <c r="T1473" s="8"/>
      <c r="U1473" s="8"/>
      <c r="V1473" s="8"/>
      <c r="W1473" s="8"/>
      <c r="X1473" s="8"/>
      <c r="Y1473" s="8"/>
      <c r="Z1473" s="8"/>
      <c r="AA1473" s="8"/>
      <c r="AB1473" s="8"/>
      <c r="AC1473" s="8"/>
      <c r="AD1473" s="8"/>
      <c r="AE1473" s="8"/>
      <c r="AF1473" s="8"/>
      <c r="AG1473" s="8"/>
      <c r="AH1473" s="8"/>
      <c r="AI1473" s="8"/>
      <c r="AJ1473" s="8"/>
      <c r="AK1473" s="8"/>
      <c r="AL1473" s="8"/>
      <c r="AM1473" s="8"/>
      <c r="AN1473" s="8"/>
      <c r="AO1473" s="8"/>
      <c r="AP1473" s="8"/>
      <c r="AQ1473" s="8"/>
      <c r="AR1473" s="8"/>
      <c r="AS1473" s="8"/>
      <c r="AT1473" s="8"/>
      <c r="AU1473" s="8"/>
      <c r="AV1473" s="8"/>
      <c r="AW1473" s="8"/>
      <c r="AX1473" s="4" t="s">
        <v>38</v>
      </c>
      <c r="AY1473" s="5" t="s">
        <v>6532</v>
      </c>
      <c r="AZ1473" s="5" t="s">
        <v>38</v>
      </c>
      <c r="BA1473" s="12"/>
      <c r="BB1473" s="12"/>
      <c r="BC1473" s="12"/>
      <c r="BD1473" s="11">
        <v>0</v>
      </c>
      <c r="BE1473" s="11">
        <v>0</v>
      </c>
    </row>
    <row x14ac:dyDescent="0.25" r="1474" customHeight="1" ht="17.25">
      <c r="A1474" s="11">
        <v>439968</v>
      </c>
      <c r="B1474" s="4" t="s">
        <v>6533</v>
      </c>
      <c r="C1474" s="5" t="s">
        <v>618</v>
      </c>
      <c r="D1474" s="5" t="s">
        <v>619</v>
      </c>
      <c r="E1474" s="12"/>
      <c r="F1474" s="13">
        <f>"0674033876"</f>
      </c>
      <c r="G1474" s="13">
        <f>"9780674033870"</f>
      </c>
      <c r="H1474" s="11">
        <v>0</v>
      </c>
      <c r="I1474" s="14">
        <v>3.79</v>
      </c>
      <c r="J1474" s="7" t="s">
        <v>138</v>
      </c>
      <c r="K1474" s="5" t="s">
        <v>60</v>
      </c>
      <c r="L1474" s="11">
        <v>181</v>
      </c>
      <c r="M1474" s="11">
        <v>1989</v>
      </c>
      <c r="N1474" s="11">
        <v>1987</v>
      </c>
      <c r="O1474" s="15"/>
      <c r="P1474" s="8">
        <v>45036</v>
      </c>
      <c r="Q1474" s="8"/>
      <c r="R1474" s="8"/>
      <c r="S1474" s="8"/>
      <c r="T1474" s="8"/>
      <c r="U1474" s="8"/>
      <c r="V1474" s="8"/>
      <c r="W1474" s="8"/>
      <c r="X1474" s="8"/>
      <c r="Y1474" s="8"/>
      <c r="Z1474" s="8"/>
      <c r="AA1474" s="8"/>
      <c r="AB1474" s="8"/>
      <c r="AC1474" s="8"/>
      <c r="AD1474" s="8"/>
      <c r="AE1474" s="8"/>
      <c r="AF1474" s="8"/>
      <c r="AG1474" s="8"/>
      <c r="AH1474" s="8"/>
      <c r="AI1474" s="8"/>
      <c r="AJ1474" s="8"/>
      <c r="AK1474" s="8"/>
      <c r="AL1474" s="8"/>
      <c r="AM1474" s="8"/>
      <c r="AN1474" s="8"/>
      <c r="AO1474" s="8"/>
      <c r="AP1474" s="8"/>
      <c r="AQ1474" s="8"/>
      <c r="AR1474" s="8"/>
      <c r="AS1474" s="8"/>
      <c r="AT1474" s="8"/>
      <c r="AU1474" s="8"/>
      <c r="AV1474" s="8"/>
      <c r="AW1474" s="8"/>
      <c r="AX1474" s="4" t="s">
        <v>38</v>
      </c>
      <c r="AY1474" s="5" t="s">
        <v>6534</v>
      </c>
      <c r="AZ1474" s="5" t="s">
        <v>38</v>
      </c>
      <c r="BA1474" s="12"/>
      <c r="BB1474" s="12"/>
      <c r="BC1474" s="12"/>
      <c r="BD1474" s="11">
        <v>0</v>
      </c>
      <c r="BE1474" s="11">
        <v>0</v>
      </c>
    </row>
    <row x14ac:dyDescent="0.25" r="1475" customHeight="1" ht="17.25">
      <c r="A1475" s="11">
        <v>704571</v>
      </c>
      <c r="B1475" s="4" t="s">
        <v>6535</v>
      </c>
      <c r="C1475" s="5" t="s">
        <v>698</v>
      </c>
      <c r="D1475" s="5" t="s">
        <v>699</v>
      </c>
      <c r="E1475" s="12"/>
      <c r="F1475" s="13">
        <f>"0525485406"</f>
      </c>
      <c r="G1475" s="13">
        <f>"9780525485407"</f>
      </c>
      <c r="H1475" s="11">
        <v>0</v>
      </c>
      <c r="I1475" s="14">
        <v>4.1</v>
      </c>
      <c r="J1475" s="7" t="s">
        <v>6536</v>
      </c>
      <c r="K1475" s="5" t="s">
        <v>60</v>
      </c>
      <c r="L1475" s="11">
        <v>224</v>
      </c>
      <c r="M1475" s="11">
        <v>1988</v>
      </c>
      <c r="N1475" s="11">
        <v>1938</v>
      </c>
      <c r="O1475" s="15"/>
      <c r="P1475" s="8">
        <v>45059</v>
      </c>
      <c r="Q1475" s="8"/>
      <c r="R1475" s="8"/>
      <c r="S1475" s="8"/>
      <c r="T1475" s="8"/>
      <c r="U1475" s="8"/>
      <c r="V1475" s="8"/>
      <c r="W1475" s="8"/>
      <c r="X1475" s="8"/>
      <c r="Y1475" s="8"/>
      <c r="Z1475" s="8"/>
      <c r="AA1475" s="8"/>
      <c r="AB1475" s="8"/>
      <c r="AC1475" s="8"/>
      <c r="AD1475" s="8"/>
      <c r="AE1475" s="8"/>
      <c r="AF1475" s="8"/>
      <c r="AG1475" s="8"/>
      <c r="AH1475" s="8"/>
      <c r="AI1475" s="8"/>
      <c r="AJ1475" s="8"/>
      <c r="AK1475" s="8"/>
      <c r="AL1475" s="8"/>
      <c r="AM1475" s="8"/>
      <c r="AN1475" s="8"/>
      <c r="AO1475" s="8"/>
      <c r="AP1475" s="8"/>
      <c r="AQ1475" s="8"/>
      <c r="AR1475" s="8"/>
      <c r="AS1475" s="8"/>
      <c r="AT1475" s="8"/>
      <c r="AU1475" s="8"/>
      <c r="AV1475" s="8"/>
      <c r="AW1475" s="8"/>
      <c r="AX1475" s="4" t="s">
        <v>38</v>
      </c>
      <c r="AY1475" s="5" t="s">
        <v>6537</v>
      </c>
      <c r="AZ1475" s="5" t="s">
        <v>38</v>
      </c>
      <c r="BA1475" s="12"/>
      <c r="BB1475" s="12"/>
      <c r="BC1475" s="12"/>
      <c r="BD1475" s="11">
        <v>0</v>
      </c>
      <c r="BE1475" s="11">
        <v>0</v>
      </c>
    </row>
    <row x14ac:dyDescent="0.25" r="1476" customHeight="1" ht="17.25">
      <c r="A1476" s="11">
        <v>31171201</v>
      </c>
      <c r="B1476" s="4" t="s">
        <v>6538</v>
      </c>
      <c r="C1476" s="5" t="s">
        <v>698</v>
      </c>
      <c r="D1476" s="5" t="s">
        <v>699</v>
      </c>
      <c r="E1476" s="12"/>
      <c r="F1476" s="13">
        <f>"1681370948"</f>
      </c>
      <c r="G1476" s="13">
        <f>"9781681370941"</f>
      </c>
      <c r="H1476" s="11">
        <v>0</v>
      </c>
      <c r="I1476" s="14">
        <v>4.11</v>
      </c>
      <c r="J1476" s="7" t="s">
        <v>6539</v>
      </c>
      <c r="K1476" s="5" t="s">
        <v>72</v>
      </c>
      <c r="L1476" s="11">
        <v>56</v>
      </c>
      <c r="M1476" s="11">
        <v>2017</v>
      </c>
      <c r="N1476" s="11">
        <v>2013</v>
      </c>
      <c r="O1476" s="15"/>
      <c r="P1476" s="8">
        <v>45059</v>
      </c>
      <c r="Q1476" s="8"/>
      <c r="R1476" s="8"/>
      <c r="S1476" s="8"/>
      <c r="T1476" s="8"/>
      <c r="U1476" s="8"/>
      <c r="V1476" s="8"/>
      <c r="W1476" s="8"/>
      <c r="X1476" s="8"/>
      <c r="Y1476" s="8"/>
      <c r="Z1476" s="8"/>
      <c r="AA1476" s="8"/>
      <c r="AB1476" s="8"/>
      <c r="AC1476" s="8"/>
      <c r="AD1476" s="8"/>
      <c r="AE1476" s="8"/>
      <c r="AF1476" s="8"/>
      <c r="AG1476" s="8"/>
      <c r="AH1476" s="8"/>
      <c r="AI1476" s="8"/>
      <c r="AJ1476" s="8"/>
      <c r="AK1476" s="8"/>
      <c r="AL1476" s="8"/>
      <c r="AM1476" s="8"/>
      <c r="AN1476" s="8"/>
      <c r="AO1476" s="8"/>
      <c r="AP1476" s="8"/>
      <c r="AQ1476" s="8"/>
      <c r="AR1476" s="8"/>
      <c r="AS1476" s="8"/>
      <c r="AT1476" s="8"/>
      <c r="AU1476" s="8"/>
      <c r="AV1476" s="8"/>
      <c r="AW1476" s="8"/>
      <c r="AX1476" s="4" t="s">
        <v>38</v>
      </c>
      <c r="AY1476" s="5" t="s">
        <v>6540</v>
      </c>
      <c r="AZ1476" s="5" t="s">
        <v>38</v>
      </c>
      <c r="BA1476" s="12"/>
      <c r="BB1476" s="12"/>
      <c r="BC1476" s="12"/>
      <c r="BD1476" s="11">
        <v>0</v>
      </c>
      <c r="BE1476" s="11">
        <v>0</v>
      </c>
    </row>
    <row x14ac:dyDescent="0.25" r="1477" customHeight="1" ht="17.25">
      <c r="A1477" s="11">
        <v>7100367</v>
      </c>
      <c r="B1477" s="4" t="s">
        <v>6541</v>
      </c>
      <c r="C1477" s="5" t="s">
        <v>698</v>
      </c>
      <c r="D1477" s="5" t="s">
        <v>699</v>
      </c>
      <c r="E1477" s="5" t="s">
        <v>6542</v>
      </c>
      <c r="F1477" s="13">
        <f>"0941194175"</f>
      </c>
      <c r="G1477" s="13">
        <f>"9780941194174"</f>
      </c>
      <c r="H1477" s="11">
        <v>0</v>
      </c>
      <c r="I1477" s="14">
        <v>3.85</v>
      </c>
      <c r="J1477" s="7" t="s">
        <v>6543</v>
      </c>
      <c r="K1477" s="5" t="s">
        <v>60</v>
      </c>
      <c r="L1477" s="11">
        <v>56</v>
      </c>
      <c r="M1477" s="11">
        <v>1982</v>
      </c>
      <c r="N1477" s="11">
        <v>1945</v>
      </c>
      <c r="O1477" s="15"/>
      <c r="P1477" s="8">
        <v>45059</v>
      </c>
      <c r="Q1477" s="8"/>
      <c r="R1477" s="8"/>
      <c r="S1477" s="8"/>
      <c r="T1477" s="8"/>
      <c r="U1477" s="8"/>
      <c r="V1477" s="8"/>
      <c r="W1477" s="8"/>
      <c r="X1477" s="8"/>
      <c r="Y1477" s="8"/>
      <c r="Z1477" s="8"/>
      <c r="AA1477" s="8"/>
      <c r="AB1477" s="8"/>
      <c r="AC1477" s="8"/>
      <c r="AD1477" s="8"/>
      <c r="AE1477" s="8"/>
      <c r="AF1477" s="8"/>
      <c r="AG1477" s="8"/>
      <c r="AH1477" s="8"/>
      <c r="AI1477" s="8"/>
      <c r="AJ1477" s="8"/>
      <c r="AK1477" s="8"/>
      <c r="AL1477" s="8"/>
      <c r="AM1477" s="8"/>
      <c r="AN1477" s="8"/>
      <c r="AO1477" s="8"/>
      <c r="AP1477" s="8"/>
      <c r="AQ1477" s="8"/>
      <c r="AR1477" s="8"/>
      <c r="AS1477" s="8"/>
      <c r="AT1477" s="8"/>
      <c r="AU1477" s="8"/>
      <c r="AV1477" s="8"/>
      <c r="AW1477" s="8"/>
      <c r="AX1477" s="4" t="s">
        <v>1049</v>
      </c>
      <c r="AY1477" s="5" t="s">
        <v>6544</v>
      </c>
      <c r="AZ1477" s="5" t="s">
        <v>38</v>
      </c>
      <c r="BA1477" s="12"/>
      <c r="BB1477" s="12"/>
      <c r="BC1477" s="12"/>
      <c r="BD1477" s="11">
        <v>0</v>
      </c>
      <c r="BE1477" s="11">
        <v>0</v>
      </c>
    </row>
    <row x14ac:dyDescent="0.25" r="1478" customHeight="1" ht="17.25">
      <c r="A1478" s="11">
        <v>65514</v>
      </c>
      <c r="B1478" s="4" t="s">
        <v>6545</v>
      </c>
      <c r="C1478" s="5" t="s">
        <v>2481</v>
      </c>
      <c r="D1478" s="5" t="s">
        <v>2482</v>
      </c>
      <c r="E1478" s="5" t="s">
        <v>5242</v>
      </c>
      <c r="F1478" s="13">
        <f>"0749301724"</f>
      </c>
      <c r="G1478" s="13">
        <f>"9780749301729"</f>
      </c>
      <c r="H1478" s="11">
        <v>0</v>
      </c>
      <c r="I1478" s="14">
        <v>4.1</v>
      </c>
      <c r="J1478" s="7" t="s">
        <v>6546</v>
      </c>
      <c r="K1478" s="5" t="s">
        <v>60</v>
      </c>
      <c r="L1478" s="11">
        <v>452</v>
      </c>
      <c r="M1478" s="11">
        <v>1990</v>
      </c>
      <c r="N1478" s="11">
        <v>1988</v>
      </c>
      <c r="O1478" s="15"/>
      <c r="P1478" s="8">
        <v>45111</v>
      </c>
      <c r="Q1478" s="8"/>
      <c r="R1478" s="8"/>
      <c r="S1478" s="8"/>
      <c r="T1478" s="8"/>
      <c r="U1478" s="8"/>
      <c r="V1478" s="8"/>
      <c r="W1478" s="8"/>
      <c r="X1478" s="8"/>
      <c r="Y1478" s="8"/>
      <c r="Z1478" s="8"/>
      <c r="AA1478" s="8"/>
      <c r="AB1478" s="8"/>
      <c r="AC1478" s="8"/>
      <c r="AD1478" s="8"/>
      <c r="AE1478" s="8"/>
      <c r="AF1478" s="8"/>
      <c r="AG1478" s="8"/>
      <c r="AH1478" s="8"/>
      <c r="AI1478" s="8"/>
      <c r="AJ1478" s="8"/>
      <c r="AK1478" s="8"/>
      <c r="AL1478" s="8"/>
      <c r="AM1478" s="8"/>
      <c r="AN1478" s="8"/>
      <c r="AO1478" s="8"/>
      <c r="AP1478" s="8"/>
      <c r="AQ1478" s="8"/>
      <c r="AR1478" s="8"/>
      <c r="AS1478" s="8"/>
      <c r="AT1478" s="8"/>
      <c r="AU1478" s="8"/>
      <c r="AV1478" s="8"/>
      <c r="AW1478" s="8"/>
      <c r="AX1478" s="4" t="s">
        <v>38</v>
      </c>
      <c r="AY1478" s="5" t="s">
        <v>6547</v>
      </c>
      <c r="AZ1478" s="5" t="s">
        <v>38</v>
      </c>
      <c r="BA1478" s="12"/>
      <c r="BB1478" s="12"/>
      <c r="BC1478" s="12"/>
      <c r="BD1478" s="11">
        <v>0</v>
      </c>
      <c r="BE1478" s="11">
        <v>0</v>
      </c>
    </row>
    <row x14ac:dyDescent="0.25" r="1479" customHeight="1" ht="17.25">
      <c r="A1479" s="11">
        <v>114721149</v>
      </c>
      <c r="B1479" s="4" t="s">
        <v>6548</v>
      </c>
      <c r="C1479" s="5" t="s">
        <v>6549</v>
      </c>
      <c r="D1479" s="5" t="s">
        <v>6550</v>
      </c>
      <c r="E1479" s="5" t="s">
        <v>6551</v>
      </c>
      <c r="F1479" s="13">
        <f>"168137742X"</f>
      </c>
      <c r="G1479" s="13">
        <f>"9781681377421"</f>
      </c>
      <c r="H1479" s="11">
        <v>0</v>
      </c>
      <c r="I1479" s="14">
        <v>3.31</v>
      </c>
      <c r="J1479" s="7" t="s">
        <v>108</v>
      </c>
      <c r="K1479" s="5" t="s">
        <v>60</v>
      </c>
      <c r="L1479" s="11">
        <v>96</v>
      </c>
      <c r="M1479" s="11">
        <v>2023</v>
      </c>
      <c r="N1479" s="11">
        <v>1945</v>
      </c>
      <c r="O1479" s="15"/>
      <c r="P1479" s="8">
        <v>45102</v>
      </c>
      <c r="Q1479" s="8"/>
      <c r="R1479" s="8"/>
      <c r="S1479" s="8"/>
      <c r="T1479" s="8"/>
      <c r="U1479" s="8"/>
      <c r="V1479" s="8"/>
      <c r="W1479" s="8"/>
      <c r="X1479" s="8"/>
      <c r="Y1479" s="8"/>
      <c r="Z1479" s="8"/>
      <c r="AA1479" s="8"/>
      <c r="AB1479" s="8"/>
      <c r="AC1479" s="8"/>
      <c r="AD1479" s="8"/>
      <c r="AE1479" s="8"/>
      <c r="AF1479" s="8"/>
      <c r="AG1479" s="8"/>
      <c r="AH1479" s="8"/>
      <c r="AI1479" s="8"/>
      <c r="AJ1479" s="8"/>
      <c r="AK1479" s="8"/>
      <c r="AL1479" s="8"/>
      <c r="AM1479" s="8"/>
      <c r="AN1479" s="8"/>
      <c r="AO1479" s="8"/>
      <c r="AP1479" s="8"/>
      <c r="AQ1479" s="8"/>
      <c r="AR1479" s="8"/>
      <c r="AS1479" s="8"/>
      <c r="AT1479" s="8"/>
      <c r="AU1479" s="8"/>
      <c r="AV1479" s="8"/>
      <c r="AW1479" s="8"/>
      <c r="AX1479" s="4" t="s">
        <v>38</v>
      </c>
      <c r="AY1479" s="5" t="s">
        <v>6552</v>
      </c>
      <c r="AZ1479" s="5" t="s">
        <v>38</v>
      </c>
      <c r="BA1479" s="12"/>
      <c r="BB1479" s="12"/>
      <c r="BC1479" s="12"/>
      <c r="BD1479" s="11">
        <v>0</v>
      </c>
      <c r="BE1479" s="11">
        <v>0</v>
      </c>
    </row>
    <row x14ac:dyDescent="0.25" r="1480" customHeight="1" ht="17.25">
      <c r="A1480" s="11">
        <v>32277642</v>
      </c>
      <c r="B1480" s="4" t="s">
        <v>6553</v>
      </c>
      <c r="C1480" s="5" t="s">
        <v>6554</v>
      </c>
      <c r="D1480" s="5" t="s">
        <v>6555</v>
      </c>
      <c r="E1480" s="12"/>
      <c r="F1480" s="13">
        <f>"153905344X"</f>
      </c>
      <c r="G1480" s="13">
        <f>"9781539053446"</f>
      </c>
      <c r="H1480" s="11">
        <v>0</v>
      </c>
      <c r="I1480" s="14">
        <v>3.55</v>
      </c>
      <c r="J1480" s="7" t="s">
        <v>6556</v>
      </c>
      <c r="K1480" s="5" t="s">
        <v>60</v>
      </c>
      <c r="L1480" s="11">
        <v>224</v>
      </c>
      <c r="M1480" s="11">
        <v>2016</v>
      </c>
      <c r="N1480" s="11">
        <v>1895</v>
      </c>
      <c r="O1480" s="15"/>
      <c r="P1480" s="8">
        <v>45110</v>
      </c>
      <c r="Q1480" s="8"/>
      <c r="R1480" s="8"/>
      <c r="S1480" s="8"/>
      <c r="T1480" s="8"/>
      <c r="U1480" s="8"/>
      <c r="V1480" s="8"/>
      <c r="W1480" s="8"/>
      <c r="X1480" s="8"/>
      <c r="Y1480" s="8"/>
      <c r="Z1480" s="8"/>
      <c r="AA1480" s="8"/>
      <c r="AB1480" s="8"/>
      <c r="AC1480" s="8"/>
      <c r="AD1480" s="8"/>
      <c r="AE1480" s="8"/>
      <c r="AF1480" s="8"/>
      <c r="AG1480" s="8"/>
      <c r="AH1480" s="8"/>
      <c r="AI1480" s="8"/>
      <c r="AJ1480" s="8"/>
      <c r="AK1480" s="8"/>
      <c r="AL1480" s="8"/>
      <c r="AM1480" s="8"/>
      <c r="AN1480" s="8"/>
      <c r="AO1480" s="8"/>
      <c r="AP1480" s="8"/>
      <c r="AQ1480" s="8"/>
      <c r="AR1480" s="8"/>
      <c r="AS1480" s="8"/>
      <c r="AT1480" s="8"/>
      <c r="AU1480" s="8"/>
      <c r="AV1480" s="8"/>
      <c r="AW1480" s="8"/>
      <c r="AX1480" s="4" t="s">
        <v>38</v>
      </c>
      <c r="AY1480" s="5" t="s">
        <v>6557</v>
      </c>
      <c r="AZ1480" s="5" t="s">
        <v>38</v>
      </c>
      <c r="BA1480" s="12"/>
      <c r="BB1480" s="12"/>
      <c r="BC1480" s="12"/>
      <c r="BD1480" s="11">
        <v>0</v>
      </c>
      <c r="BE1480" s="11">
        <v>0</v>
      </c>
    </row>
    <row x14ac:dyDescent="0.25" r="1481" customHeight="1" ht="17.25">
      <c r="A1481" s="11">
        <v>34847126</v>
      </c>
      <c r="B1481" s="4" t="s">
        <v>6558</v>
      </c>
      <c r="C1481" s="5" t="s">
        <v>6559</v>
      </c>
      <c r="D1481" s="5" t="s">
        <v>6560</v>
      </c>
      <c r="E1481" s="5" t="s">
        <v>6561</v>
      </c>
      <c r="F1481" s="13">
        <f>"0811225992"</f>
      </c>
      <c r="G1481" s="13">
        <f>"9780811225991"</f>
      </c>
      <c r="H1481" s="11">
        <v>0</v>
      </c>
      <c r="I1481" s="14">
        <v>3.61</v>
      </c>
      <c r="J1481" s="7" t="s">
        <v>126</v>
      </c>
      <c r="K1481" s="5" t="s">
        <v>96</v>
      </c>
      <c r="L1481" s="11">
        <v>128</v>
      </c>
      <c r="M1481" s="11">
        <v>2017</v>
      </c>
      <c r="N1481" s="11">
        <v>2014</v>
      </c>
      <c r="O1481" s="15"/>
      <c r="P1481" s="8">
        <v>45110</v>
      </c>
      <c r="Q1481" s="8"/>
      <c r="R1481" s="8"/>
      <c r="S1481" s="8"/>
      <c r="T1481" s="8"/>
      <c r="U1481" s="8"/>
      <c r="V1481" s="8"/>
      <c r="W1481" s="8"/>
      <c r="X1481" s="8"/>
      <c r="Y1481" s="8"/>
      <c r="Z1481" s="8"/>
      <c r="AA1481" s="8"/>
      <c r="AB1481" s="8"/>
      <c r="AC1481" s="8"/>
      <c r="AD1481" s="8"/>
      <c r="AE1481" s="8"/>
      <c r="AF1481" s="8"/>
      <c r="AG1481" s="8"/>
      <c r="AH1481" s="8"/>
      <c r="AI1481" s="8"/>
      <c r="AJ1481" s="8"/>
      <c r="AK1481" s="8"/>
      <c r="AL1481" s="8"/>
      <c r="AM1481" s="8"/>
      <c r="AN1481" s="8"/>
      <c r="AO1481" s="8"/>
      <c r="AP1481" s="8"/>
      <c r="AQ1481" s="8"/>
      <c r="AR1481" s="8"/>
      <c r="AS1481" s="8"/>
      <c r="AT1481" s="8"/>
      <c r="AU1481" s="8"/>
      <c r="AV1481" s="8"/>
      <c r="AW1481" s="8"/>
      <c r="AX1481" s="4" t="s">
        <v>38</v>
      </c>
      <c r="AY1481" s="5" t="s">
        <v>6562</v>
      </c>
      <c r="AZ1481" s="5" t="s">
        <v>38</v>
      </c>
      <c r="BA1481" s="12"/>
      <c r="BB1481" s="12"/>
      <c r="BC1481" s="12"/>
      <c r="BD1481" s="11">
        <v>0</v>
      </c>
      <c r="BE1481" s="11">
        <v>0</v>
      </c>
    </row>
    <row x14ac:dyDescent="0.25" r="1482" customHeight="1" ht="17.25">
      <c r="A1482" s="11">
        <v>25330309</v>
      </c>
      <c r="B1482" s="4" t="s">
        <v>6563</v>
      </c>
      <c r="C1482" s="5" t="s">
        <v>6564</v>
      </c>
      <c r="D1482" s="5" t="s">
        <v>6565</v>
      </c>
      <c r="E1482" s="5" t="s">
        <v>765</v>
      </c>
      <c r="F1482" s="13">
        <f>"1566894158"</f>
      </c>
      <c r="G1482" s="13">
        <f>"9781566894159"</f>
      </c>
      <c r="H1482" s="11">
        <v>0</v>
      </c>
      <c r="I1482" s="14">
        <v>3.93</v>
      </c>
      <c r="J1482" s="7" t="s">
        <v>4035</v>
      </c>
      <c r="K1482" s="5" t="s">
        <v>60</v>
      </c>
      <c r="L1482" s="11">
        <v>172</v>
      </c>
      <c r="M1482" s="11">
        <v>2016</v>
      </c>
      <c r="N1482" s="11">
        <v>1998</v>
      </c>
      <c r="O1482" s="15"/>
      <c r="P1482" s="8">
        <v>45110</v>
      </c>
      <c r="Q1482" s="8"/>
      <c r="R1482" s="8"/>
      <c r="S1482" s="8"/>
      <c r="T1482" s="8"/>
      <c r="U1482" s="8"/>
      <c r="V1482" s="8"/>
      <c r="W1482" s="8"/>
      <c r="X1482" s="8"/>
      <c r="Y1482" s="8"/>
      <c r="Z1482" s="8"/>
      <c r="AA1482" s="8"/>
      <c r="AB1482" s="8"/>
      <c r="AC1482" s="8"/>
      <c r="AD1482" s="8"/>
      <c r="AE1482" s="8"/>
      <c r="AF1482" s="8"/>
      <c r="AG1482" s="8"/>
      <c r="AH1482" s="8"/>
      <c r="AI1482" s="8"/>
      <c r="AJ1482" s="8"/>
      <c r="AK1482" s="8"/>
      <c r="AL1482" s="8"/>
      <c r="AM1482" s="8"/>
      <c r="AN1482" s="8"/>
      <c r="AO1482" s="8"/>
      <c r="AP1482" s="8"/>
      <c r="AQ1482" s="8"/>
      <c r="AR1482" s="8"/>
      <c r="AS1482" s="8"/>
      <c r="AT1482" s="8"/>
      <c r="AU1482" s="8"/>
      <c r="AV1482" s="8"/>
      <c r="AW1482" s="8"/>
      <c r="AX1482" s="4" t="s">
        <v>38</v>
      </c>
      <c r="AY1482" s="5" t="s">
        <v>6566</v>
      </c>
      <c r="AZ1482" s="5" t="s">
        <v>38</v>
      </c>
      <c r="BA1482" s="12"/>
      <c r="BB1482" s="12"/>
      <c r="BC1482" s="12"/>
      <c r="BD1482" s="11">
        <v>0</v>
      </c>
      <c r="BE1482" s="11">
        <v>0</v>
      </c>
    </row>
    <row x14ac:dyDescent="0.25" r="1483" customHeight="1" ht="17.25">
      <c r="A1483" s="11">
        <v>18162954</v>
      </c>
      <c r="B1483" s="4" t="s">
        <v>6567</v>
      </c>
      <c r="C1483" s="5" t="s">
        <v>6568</v>
      </c>
      <c r="D1483" s="5" t="s">
        <v>6569</v>
      </c>
      <c r="E1483" s="12"/>
      <c r="F1483" s="13">
        <f>"1408848147"</f>
      </c>
      <c r="G1483" s="13">
        <f>""</f>
      </c>
      <c r="H1483" s="11">
        <v>0</v>
      </c>
      <c r="I1483" s="14">
        <v>3.93</v>
      </c>
      <c r="J1483" s="7" t="s">
        <v>4600</v>
      </c>
      <c r="K1483" s="5" t="s">
        <v>90</v>
      </c>
      <c r="L1483" s="11">
        <v>20</v>
      </c>
      <c r="M1483" s="11">
        <v>2013</v>
      </c>
      <c r="N1483" s="11">
        <v>2013</v>
      </c>
      <c r="O1483" s="15"/>
      <c r="P1483" s="8">
        <v>45109</v>
      </c>
      <c r="Q1483" s="8"/>
      <c r="R1483" s="8"/>
      <c r="S1483" s="8"/>
      <c r="T1483" s="8"/>
      <c r="U1483" s="8"/>
      <c r="V1483" s="8"/>
      <c r="W1483" s="8"/>
      <c r="X1483" s="8"/>
      <c r="Y1483" s="8"/>
      <c r="Z1483" s="8"/>
      <c r="AA1483" s="8"/>
      <c r="AB1483" s="8"/>
      <c r="AC1483" s="8"/>
      <c r="AD1483" s="8"/>
      <c r="AE1483" s="8"/>
      <c r="AF1483" s="8"/>
      <c r="AG1483" s="8"/>
      <c r="AH1483" s="8"/>
      <c r="AI1483" s="8"/>
      <c r="AJ1483" s="8"/>
      <c r="AK1483" s="8"/>
      <c r="AL1483" s="8"/>
      <c r="AM1483" s="8"/>
      <c r="AN1483" s="8"/>
      <c r="AO1483" s="8"/>
      <c r="AP1483" s="8"/>
      <c r="AQ1483" s="8"/>
      <c r="AR1483" s="8"/>
      <c r="AS1483" s="8"/>
      <c r="AT1483" s="8"/>
      <c r="AU1483" s="8"/>
      <c r="AV1483" s="8"/>
      <c r="AW1483" s="8"/>
      <c r="AX1483" s="4" t="s">
        <v>38</v>
      </c>
      <c r="AY1483" s="5" t="s">
        <v>6570</v>
      </c>
      <c r="AZ1483" s="5" t="s">
        <v>38</v>
      </c>
      <c r="BA1483" s="12"/>
      <c r="BB1483" s="12"/>
      <c r="BC1483" s="12"/>
      <c r="BD1483" s="11">
        <v>0</v>
      </c>
      <c r="BE1483" s="11">
        <v>0</v>
      </c>
    </row>
    <row x14ac:dyDescent="0.25" r="1484" customHeight="1" ht="17.25">
      <c r="A1484" s="11">
        <v>20941</v>
      </c>
      <c r="B1484" s="4" t="s">
        <v>6571</v>
      </c>
      <c r="C1484" s="5" t="s">
        <v>328</v>
      </c>
      <c r="D1484" s="5" t="s">
        <v>329</v>
      </c>
      <c r="E1484" s="12"/>
      <c r="F1484" s="13">
        <f>"1573225142"</f>
      </c>
      <c r="G1484" s="13">
        <f>"9781573225144"</f>
      </c>
      <c r="H1484" s="11">
        <v>0</v>
      </c>
      <c r="I1484" s="14">
        <v>3.86</v>
      </c>
      <c r="J1484" s="7" t="s">
        <v>418</v>
      </c>
      <c r="K1484" s="5" t="s">
        <v>60</v>
      </c>
      <c r="L1484" s="11">
        <v>546</v>
      </c>
      <c r="M1484" s="11">
        <v>1995</v>
      </c>
      <c r="N1484" s="11">
        <v>1994</v>
      </c>
      <c r="O1484" s="15"/>
      <c r="P1484" s="8">
        <v>45109</v>
      </c>
      <c r="Q1484" s="8"/>
      <c r="R1484" s="8"/>
      <c r="S1484" s="8"/>
      <c r="T1484" s="8"/>
      <c r="U1484" s="8"/>
      <c r="V1484" s="8"/>
      <c r="W1484" s="8"/>
      <c r="X1484" s="8"/>
      <c r="Y1484" s="8"/>
      <c r="Z1484" s="8"/>
      <c r="AA1484" s="8"/>
      <c r="AB1484" s="8"/>
      <c r="AC1484" s="8"/>
      <c r="AD1484" s="8"/>
      <c r="AE1484" s="8"/>
      <c r="AF1484" s="8"/>
      <c r="AG1484" s="8"/>
      <c r="AH1484" s="8"/>
      <c r="AI1484" s="8"/>
      <c r="AJ1484" s="8"/>
      <c r="AK1484" s="8"/>
      <c r="AL1484" s="8"/>
      <c r="AM1484" s="8"/>
      <c r="AN1484" s="8"/>
      <c r="AO1484" s="8"/>
      <c r="AP1484" s="8"/>
      <c r="AQ1484" s="8"/>
      <c r="AR1484" s="8"/>
      <c r="AS1484" s="8"/>
      <c r="AT1484" s="8"/>
      <c r="AU1484" s="8"/>
      <c r="AV1484" s="8"/>
      <c r="AW1484" s="8"/>
      <c r="AX1484" s="4" t="s">
        <v>38</v>
      </c>
      <c r="AY1484" s="5" t="s">
        <v>6572</v>
      </c>
      <c r="AZ1484" s="5" t="s">
        <v>38</v>
      </c>
      <c r="BA1484" s="12"/>
      <c r="BB1484" s="12"/>
      <c r="BC1484" s="12"/>
      <c r="BD1484" s="11">
        <v>0</v>
      </c>
      <c r="BE1484" s="11">
        <v>0</v>
      </c>
    </row>
    <row x14ac:dyDescent="0.25" r="1485" customHeight="1" ht="17.25">
      <c r="A1485" s="11">
        <v>8148</v>
      </c>
      <c r="B1485" s="4" t="s">
        <v>6573</v>
      </c>
      <c r="C1485" s="5" t="s">
        <v>3884</v>
      </c>
      <c r="D1485" s="5" t="s">
        <v>3885</v>
      </c>
      <c r="E1485" s="5" t="s">
        <v>6574</v>
      </c>
      <c r="F1485" s="13">
        <f>"0156027755"</f>
      </c>
      <c r="G1485" s="13">
        <f>"9780156027755"</f>
      </c>
      <c r="H1485" s="11">
        <v>0</v>
      </c>
      <c r="I1485" s="14">
        <v>4.33</v>
      </c>
      <c r="J1485" s="7" t="s">
        <v>434</v>
      </c>
      <c r="K1485" s="5" t="s">
        <v>60</v>
      </c>
      <c r="L1485" s="11">
        <v>385</v>
      </c>
      <c r="M1485" s="11">
        <v>2002</v>
      </c>
      <c r="N1485" s="11">
        <v>1980</v>
      </c>
      <c r="O1485" s="15"/>
      <c r="P1485" s="8">
        <v>45109</v>
      </c>
      <c r="Q1485" s="8"/>
      <c r="R1485" s="8"/>
      <c r="S1485" s="8"/>
      <c r="T1485" s="8"/>
      <c r="U1485" s="8"/>
      <c r="V1485" s="8"/>
      <c r="W1485" s="8"/>
      <c r="X1485" s="8"/>
      <c r="Y1485" s="8"/>
      <c r="Z1485" s="8"/>
      <c r="AA1485" s="8"/>
      <c r="AB1485" s="8"/>
      <c r="AC1485" s="8"/>
      <c r="AD1485" s="8"/>
      <c r="AE1485" s="8"/>
      <c r="AF1485" s="8"/>
      <c r="AG1485" s="8"/>
      <c r="AH1485" s="8"/>
      <c r="AI1485" s="8"/>
      <c r="AJ1485" s="8"/>
      <c r="AK1485" s="8"/>
      <c r="AL1485" s="8"/>
      <c r="AM1485" s="8"/>
      <c r="AN1485" s="8"/>
      <c r="AO1485" s="8"/>
      <c r="AP1485" s="8"/>
      <c r="AQ1485" s="8"/>
      <c r="AR1485" s="8"/>
      <c r="AS1485" s="8"/>
      <c r="AT1485" s="8"/>
      <c r="AU1485" s="8"/>
      <c r="AV1485" s="8"/>
      <c r="AW1485" s="8"/>
      <c r="AX1485" s="4" t="s">
        <v>38</v>
      </c>
      <c r="AY1485" s="5" t="s">
        <v>6575</v>
      </c>
      <c r="AZ1485" s="5" t="s">
        <v>38</v>
      </c>
      <c r="BA1485" s="12"/>
      <c r="BB1485" s="12"/>
      <c r="BC1485" s="12"/>
      <c r="BD1485" s="11">
        <v>0</v>
      </c>
      <c r="BE1485" s="11">
        <v>0</v>
      </c>
    </row>
    <row x14ac:dyDescent="0.25" r="1486" customHeight="1" ht="17.25">
      <c r="A1486" s="11">
        <v>18378002</v>
      </c>
      <c r="B1486" s="4" t="s">
        <v>6576</v>
      </c>
      <c r="C1486" s="5" t="s">
        <v>3866</v>
      </c>
      <c r="D1486" s="5" t="s">
        <v>6577</v>
      </c>
      <c r="E1486" s="12"/>
      <c r="F1486" s="13">
        <f>"0393348784"</f>
      </c>
      <c r="G1486" s="13">
        <f>"9780393348781"</f>
      </c>
      <c r="H1486" s="11">
        <v>0</v>
      </c>
      <c r="I1486" s="14">
        <v>3.78</v>
      </c>
      <c r="J1486" s="7" t="s">
        <v>144</v>
      </c>
      <c r="K1486" s="5" t="s">
        <v>60</v>
      </c>
      <c r="L1486" s="11">
        <v>496</v>
      </c>
      <c r="M1486" s="11">
        <v>2014</v>
      </c>
      <c r="N1486" s="11">
        <v>2013</v>
      </c>
      <c r="O1486" s="15"/>
      <c r="P1486" s="8">
        <v>45108</v>
      </c>
      <c r="Q1486" s="8"/>
      <c r="R1486" s="8"/>
      <c r="S1486" s="8"/>
      <c r="T1486" s="8"/>
      <c r="U1486" s="8"/>
      <c r="V1486" s="8"/>
      <c r="W1486" s="8"/>
      <c r="X1486" s="8"/>
      <c r="Y1486" s="8"/>
      <c r="Z1486" s="8"/>
      <c r="AA1486" s="8"/>
      <c r="AB1486" s="8"/>
      <c r="AC1486" s="8"/>
      <c r="AD1486" s="8"/>
      <c r="AE1486" s="8"/>
      <c r="AF1486" s="8"/>
      <c r="AG1486" s="8"/>
      <c r="AH1486" s="8"/>
      <c r="AI1486" s="8"/>
      <c r="AJ1486" s="8"/>
      <c r="AK1486" s="8"/>
      <c r="AL1486" s="8"/>
      <c r="AM1486" s="8"/>
      <c r="AN1486" s="8"/>
      <c r="AO1486" s="8"/>
      <c r="AP1486" s="8"/>
      <c r="AQ1486" s="8"/>
      <c r="AR1486" s="8"/>
      <c r="AS1486" s="8"/>
      <c r="AT1486" s="8"/>
      <c r="AU1486" s="8"/>
      <c r="AV1486" s="8"/>
      <c r="AW1486" s="8"/>
      <c r="AX1486" s="4" t="s">
        <v>38</v>
      </c>
      <c r="AY1486" s="5" t="s">
        <v>6578</v>
      </c>
      <c r="AZ1486" s="5" t="s">
        <v>38</v>
      </c>
      <c r="BA1486" s="12"/>
      <c r="BB1486" s="12"/>
      <c r="BC1486" s="12"/>
      <c r="BD1486" s="11">
        <v>0</v>
      </c>
      <c r="BE1486" s="11">
        <v>0</v>
      </c>
    </row>
    <row x14ac:dyDescent="0.25" r="1487" customHeight="1" ht="17.25">
      <c r="A1487" s="11">
        <v>1196569</v>
      </c>
      <c r="B1487" s="4" t="s">
        <v>6579</v>
      </c>
      <c r="C1487" s="5" t="s">
        <v>6580</v>
      </c>
      <c r="D1487" s="5" t="s">
        <v>6581</v>
      </c>
      <c r="E1487" s="12"/>
      <c r="F1487" s="13">
        <f>"1406814970"</f>
      </c>
      <c r="G1487" s="13">
        <f>"9781406814972"</f>
      </c>
      <c r="H1487" s="11">
        <v>0</v>
      </c>
      <c r="I1487" s="14">
        <v>3.57</v>
      </c>
      <c r="J1487" s="7" t="s">
        <v>6582</v>
      </c>
      <c r="K1487" s="5" t="s">
        <v>60</v>
      </c>
      <c r="L1487" s="11">
        <v>304</v>
      </c>
      <c r="M1487" s="11">
        <v>2007</v>
      </c>
      <c r="N1487" s="11">
        <v>1834</v>
      </c>
      <c r="O1487" s="15"/>
      <c r="P1487" s="8">
        <v>45108</v>
      </c>
      <c r="Q1487" s="8"/>
      <c r="R1487" s="8"/>
      <c r="S1487" s="8"/>
      <c r="T1487" s="8"/>
      <c r="U1487" s="8"/>
      <c r="V1487" s="8"/>
      <c r="W1487" s="8"/>
      <c r="X1487" s="8"/>
      <c r="Y1487" s="8"/>
      <c r="Z1487" s="8"/>
      <c r="AA1487" s="8"/>
      <c r="AB1487" s="8"/>
      <c r="AC1487" s="8"/>
      <c r="AD1487" s="8"/>
      <c r="AE1487" s="8"/>
      <c r="AF1487" s="8"/>
      <c r="AG1487" s="8"/>
      <c r="AH1487" s="8"/>
      <c r="AI1487" s="8"/>
      <c r="AJ1487" s="8"/>
      <c r="AK1487" s="8"/>
      <c r="AL1487" s="8"/>
      <c r="AM1487" s="8"/>
      <c r="AN1487" s="8"/>
      <c r="AO1487" s="8"/>
      <c r="AP1487" s="8"/>
      <c r="AQ1487" s="8"/>
      <c r="AR1487" s="8"/>
      <c r="AS1487" s="8"/>
      <c r="AT1487" s="8"/>
      <c r="AU1487" s="8"/>
      <c r="AV1487" s="8"/>
      <c r="AW1487" s="8"/>
      <c r="AX1487" s="4" t="s">
        <v>2478</v>
      </c>
      <c r="AY1487" s="5" t="s">
        <v>6583</v>
      </c>
      <c r="AZ1487" s="5" t="s">
        <v>38</v>
      </c>
      <c r="BA1487" s="12"/>
      <c r="BB1487" s="12"/>
      <c r="BC1487" s="12"/>
      <c r="BD1487" s="11">
        <v>0</v>
      </c>
      <c r="BE1487" s="11">
        <v>0</v>
      </c>
    </row>
    <row x14ac:dyDescent="0.25" r="1488" customHeight="1" ht="17.25">
      <c r="A1488" s="11">
        <v>144510</v>
      </c>
      <c r="B1488" s="4" t="s">
        <v>6584</v>
      </c>
      <c r="C1488" s="5" t="s">
        <v>6585</v>
      </c>
      <c r="D1488" s="5" t="s">
        <v>6586</v>
      </c>
      <c r="E1488" s="5" t="s">
        <v>6587</v>
      </c>
      <c r="F1488" s="13">
        <f>"0812966996"</f>
      </c>
      <c r="G1488" s="13">
        <f>"9780812966992"</f>
      </c>
      <c r="H1488" s="11">
        <v>0</v>
      </c>
      <c r="I1488" s="14">
        <v>4.05</v>
      </c>
      <c r="J1488" s="7" t="s">
        <v>553</v>
      </c>
      <c r="K1488" s="5" t="s">
        <v>60</v>
      </c>
      <c r="L1488" s="11">
        <v>640</v>
      </c>
      <c r="M1488" s="11">
        <v>2003</v>
      </c>
      <c r="N1488" s="11">
        <v>1852</v>
      </c>
      <c r="O1488" s="15"/>
      <c r="P1488" s="8">
        <v>45108</v>
      </c>
      <c r="Q1488" s="8"/>
      <c r="R1488" s="8"/>
      <c r="S1488" s="8"/>
      <c r="T1488" s="8"/>
      <c r="U1488" s="8"/>
      <c r="V1488" s="8"/>
      <c r="W1488" s="8"/>
      <c r="X1488" s="8"/>
      <c r="Y1488" s="8"/>
      <c r="Z1488" s="8"/>
      <c r="AA1488" s="8"/>
      <c r="AB1488" s="8"/>
      <c r="AC1488" s="8"/>
      <c r="AD1488" s="8"/>
      <c r="AE1488" s="8"/>
      <c r="AF1488" s="8"/>
      <c r="AG1488" s="8"/>
      <c r="AH1488" s="8"/>
      <c r="AI1488" s="8"/>
      <c r="AJ1488" s="8"/>
      <c r="AK1488" s="8"/>
      <c r="AL1488" s="8"/>
      <c r="AM1488" s="8"/>
      <c r="AN1488" s="8"/>
      <c r="AO1488" s="8"/>
      <c r="AP1488" s="8"/>
      <c r="AQ1488" s="8"/>
      <c r="AR1488" s="8"/>
      <c r="AS1488" s="8"/>
      <c r="AT1488" s="8"/>
      <c r="AU1488" s="8"/>
      <c r="AV1488" s="8"/>
      <c r="AW1488" s="8"/>
      <c r="AX1488" s="4" t="s">
        <v>2478</v>
      </c>
      <c r="AY1488" s="5" t="s">
        <v>6588</v>
      </c>
      <c r="AZ1488" s="5" t="s">
        <v>38</v>
      </c>
      <c r="BA1488" s="12"/>
      <c r="BB1488" s="12"/>
      <c r="BC1488" s="12"/>
      <c r="BD1488" s="11">
        <v>0</v>
      </c>
      <c r="BE1488" s="11">
        <v>0</v>
      </c>
    </row>
    <row x14ac:dyDescent="0.25" r="1489" customHeight="1" ht="17.25">
      <c r="A1489" s="11">
        <v>57282028</v>
      </c>
      <c r="B1489" s="4" t="s">
        <v>6589</v>
      </c>
      <c r="C1489" s="5" t="s">
        <v>6590</v>
      </c>
      <c r="D1489" s="5" t="s">
        <v>6591</v>
      </c>
      <c r="E1489" s="12"/>
      <c r="F1489" s="13">
        <f>"0525520457"</f>
      </c>
      <c r="G1489" s="13">
        <f>"9780525520450"</f>
      </c>
      <c r="H1489" s="11">
        <v>0</v>
      </c>
      <c r="I1489" s="14">
        <v>4.21</v>
      </c>
      <c r="J1489" s="7" t="s">
        <v>665</v>
      </c>
      <c r="K1489" s="5" t="s">
        <v>72</v>
      </c>
      <c r="L1489" s="11">
        <v>608</v>
      </c>
      <c r="M1489" s="11">
        <v>2022</v>
      </c>
      <c r="N1489" s="11">
        <v>2021</v>
      </c>
      <c r="O1489" s="15"/>
      <c r="P1489" s="8">
        <v>45108</v>
      </c>
      <c r="Q1489" s="8"/>
      <c r="R1489" s="8"/>
      <c r="S1489" s="8"/>
      <c r="T1489" s="8"/>
      <c r="U1489" s="8"/>
      <c r="V1489" s="8"/>
      <c r="W1489" s="8"/>
      <c r="X1489" s="8"/>
      <c r="Y1489" s="8"/>
      <c r="Z1489" s="8"/>
      <c r="AA1489" s="8"/>
      <c r="AB1489" s="8"/>
      <c r="AC1489" s="8"/>
      <c r="AD1489" s="8"/>
      <c r="AE1489" s="8"/>
      <c r="AF1489" s="8"/>
      <c r="AG1489" s="8"/>
      <c r="AH1489" s="8"/>
      <c r="AI1489" s="8"/>
      <c r="AJ1489" s="8"/>
      <c r="AK1489" s="8"/>
      <c r="AL1489" s="8"/>
      <c r="AM1489" s="8"/>
      <c r="AN1489" s="8"/>
      <c r="AO1489" s="8"/>
      <c r="AP1489" s="8"/>
      <c r="AQ1489" s="8"/>
      <c r="AR1489" s="8"/>
      <c r="AS1489" s="8"/>
      <c r="AT1489" s="8"/>
      <c r="AU1489" s="8"/>
      <c r="AV1489" s="8"/>
      <c r="AW1489" s="8"/>
      <c r="AX1489" s="4" t="s">
        <v>2478</v>
      </c>
      <c r="AY1489" s="5" t="s">
        <v>6592</v>
      </c>
      <c r="AZ1489" s="5" t="s">
        <v>38</v>
      </c>
      <c r="BA1489" s="12"/>
      <c r="BB1489" s="12"/>
      <c r="BC1489" s="12"/>
      <c r="BD1489" s="11">
        <v>0</v>
      </c>
      <c r="BE1489" s="11">
        <v>0</v>
      </c>
    </row>
    <row x14ac:dyDescent="0.25" r="1490" customHeight="1" ht="17.25">
      <c r="A1490" s="11">
        <v>56587381</v>
      </c>
      <c r="B1490" s="4" t="s">
        <v>6593</v>
      </c>
      <c r="C1490" s="5" t="s">
        <v>6594</v>
      </c>
      <c r="D1490" s="5" t="s">
        <v>6595</v>
      </c>
      <c r="E1490" s="12"/>
      <c r="F1490" s="13">
        <f>"0241413389"</f>
      </c>
      <c r="G1490" s="13">
        <f>"9780241413388"</f>
      </c>
      <c r="H1490" s="11">
        <v>0</v>
      </c>
      <c r="I1490" s="14">
        <v>3.72</v>
      </c>
      <c r="J1490" s="7" t="s">
        <v>231</v>
      </c>
      <c r="K1490" s="5" t="s">
        <v>72</v>
      </c>
      <c r="L1490" s="11">
        <v>336</v>
      </c>
      <c r="M1490" s="11">
        <v>2021</v>
      </c>
      <c r="N1490" s="16"/>
      <c r="O1490" s="15"/>
      <c r="P1490" s="8">
        <v>44987</v>
      </c>
      <c r="Q1490" s="8"/>
      <c r="R1490" s="8"/>
      <c r="S1490" s="8"/>
      <c r="T1490" s="8"/>
      <c r="U1490" s="8"/>
      <c r="V1490" s="8"/>
      <c r="W1490" s="8"/>
      <c r="X1490" s="8"/>
      <c r="Y1490" s="8"/>
      <c r="Z1490" s="8"/>
      <c r="AA1490" s="8"/>
      <c r="AB1490" s="8"/>
      <c r="AC1490" s="8"/>
      <c r="AD1490" s="8"/>
      <c r="AE1490" s="8"/>
      <c r="AF1490" s="8"/>
      <c r="AG1490" s="8"/>
      <c r="AH1490" s="8"/>
      <c r="AI1490" s="8"/>
      <c r="AJ1490" s="8"/>
      <c r="AK1490" s="8"/>
      <c r="AL1490" s="8"/>
      <c r="AM1490" s="8"/>
      <c r="AN1490" s="8"/>
      <c r="AO1490" s="8"/>
      <c r="AP1490" s="8"/>
      <c r="AQ1490" s="8"/>
      <c r="AR1490" s="8"/>
      <c r="AS1490" s="8"/>
      <c r="AT1490" s="8"/>
      <c r="AU1490" s="8"/>
      <c r="AV1490" s="8"/>
      <c r="AW1490" s="8"/>
      <c r="AX1490" s="4" t="s">
        <v>2478</v>
      </c>
      <c r="AY1490" s="5" t="s">
        <v>6596</v>
      </c>
      <c r="AZ1490" s="5" t="s">
        <v>38</v>
      </c>
      <c r="BA1490" s="12"/>
      <c r="BB1490" s="12"/>
      <c r="BC1490" s="12"/>
      <c r="BD1490" s="11">
        <v>0</v>
      </c>
      <c r="BE1490" s="11">
        <v>0</v>
      </c>
    </row>
    <row x14ac:dyDescent="0.25" r="1491" customHeight="1" ht="17.25">
      <c r="A1491" s="11">
        <v>51726</v>
      </c>
      <c r="B1491" s="4" t="s">
        <v>6597</v>
      </c>
      <c r="C1491" s="5" t="s">
        <v>6598</v>
      </c>
      <c r="D1491" s="5" t="s">
        <v>6599</v>
      </c>
      <c r="E1491" s="5" t="s">
        <v>6600</v>
      </c>
      <c r="F1491" s="13">
        <f>"0385058985"</f>
      </c>
      <c r="G1491" s="13">
        <f>"9780385058988"</f>
      </c>
      <c r="H1491" s="11">
        <v>0</v>
      </c>
      <c r="I1491" s="14">
        <v>4.12</v>
      </c>
      <c r="J1491" s="7" t="s">
        <v>2044</v>
      </c>
      <c r="K1491" s="5" t="s">
        <v>60</v>
      </c>
      <c r="L1491" s="11">
        <v>219</v>
      </c>
      <c r="M1491" s="11">
        <v>1967</v>
      </c>
      <c r="N1491" s="11">
        <v>1966</v>
      </c>
      <c r="O1491" s="15"/>
      <c r="P1491" s="8">
        <v>43982</v>
      </c>
      <c r="Q1491" s="8"/>
      <c r="R1491" s="8"/>
      <c r="S1491" s="8"/>
      <c r="T1491" s="8"/>
      <c r="U1491" s="8"/>
      <c r="V1491" s="8"/>
      <c r="W1491" s="8"/>
      <c r="X1491" s="8"/>
      <c r="Y1491" s="8"/>
      <c r="Z1491" s="8"/>
      <c r="AA1491" s="8"/>
      <c r="AB1491" s="8"/>
      <c r="AC1491" s="8"/>
      <c r="AD1491" s="8"/>
      <c r="AE1491" s="8"/>
      <c r="AF1491" s="8"/>
      <c r="AG1491" s="8"/>
      <c r="AH1491" s="8"/>
      <c r="AI1491" s="8"/>
      <c r="AJ1491" s="8"/>
      <c r="AK1491" s="8"/>
      <c r="AL1491" s="8"/>
      <c r="AM1491" s="8"/>
      <c r="AN1491" s="8"/>
      <c r="AO1491" s="8"/>
      <c r="AP1491" s="8"/>
      <c r="AQ1491" s="8"/>
      <c r="AR1491" s="8"/>
      <c r="AS1491" s="8"/>
      <c r="AT1491" s="8"/>
      <c r="AU1491" s="8"/>
      <c r="AV1491" s="8"/>
      <c r="AW1491" s="8"/>
      <c r="AX1491" s="4" t="s">
        <v>38</v>
      </c>
      <c r="AY1491" s="5" t="s">
        <v>6601</v>
      </c>
      <c r="AZ1491" s="5" t="s">
        <v>38</v>
      </c>
      <c r="BA1491" s="12"/>
      <c r="BB1491" s="12"/>
      <c r="BC1491" s="12"/>
      <c r="BD1491" s="11">
        <v>0</v>
      </c>
      <c r="BE1491" s="11">
        <v>0</v>
      </c>
    </row>
    <row x14ac:dyDescent="0.25" r="1492" customHeight="1" ht="17.25">
      <c r="A1492" s="11">
        <v>1380639</v>
      </c>
      <c r="B1492" s="4" t="s">
        <v>6602</v>
      </c>
      <c r="C1492" s="5" t="s">
        <v>6598</v>
      </c>
      <c r="D1492" s="5" t="s">
        <v>6599</v>
      </c>
      <c r="E1492" s="12"/>
      <c r="F1492" s="13">
        <f>"0394719948"</f>
      </c>
      <c r="G1492" s="13">
        <f>"9780394719948"</f>
      </c>
      <c r="H1492" s="11">
        <v>0</v>
      </c>
      <c r="I1492" s="14">
        <v>3.88</v>
      </c>
      <c r="J1492" s="7" t="s">
        <v>114</v>
      </c>
      <c r="K1492" s="5" t="s">
        <v>60</v>
      </c>
      <c r="L1492" s="11">
        <v>270</v>
      </c>
      <c r="M1492" s="11">
        <v>1974</v>
      </c>
      <c r="N1492" s="11">
        <v>1973</v>
      </c>
      <c r="O1492" s="15"/>
      <c r="P1492" s="8">
        <v>45108</v>
      </c>
      <c r="Q1492" s="8"/>
      <c r="R1492" s="8"/>
      <c r="S1492" s="8"/>
      <c r="T1492" s="8"/>
      <c r="U1492" s="8"/>
      <c r="V1492" s="8"/>
      <c r="W1492" s="8"/>
      <c r="X1492" s="8"/>
      <c r="Y1492" s="8"/>
      <c r="Z1492" s="8"/>
      <c r="AA1492" s="8"/>
      <c r="AB1492" s="8"/>
      <c r="AC1492" s="8"/>
      <c r="AD1492" s="8"/>
      <c r="AE1492" s="8"/>
      <c r="AF1492" s="8"/>
      <c r="AG1492" s="8"/>
      <c r="AH1492" s="8"/>
      <c r="AI1492" s="8"/>
      <c r="AJ1492" s="8"/>
      <c r="AK1492" s="8"/>
      <c r="AL1492" s="8"/>
      <c r="AM1492" s="8"/>
      <c r="AN1492" s="8"/>
      <c r="AO1492" s="8"/>
      <c r="AP1492" s="8"/>
      <c r="AQ1492" s="8"/>
      <c r="AR1492" s="8"/>
      <c r="AS1492" s="8"/>
      <c r="AT1492" s="8"/>
      <c r="AU1492" s="8"/>
      <c r="AV1492" s="8"/>
      <c r="AW1492" s="8"/>
      <c r="AX1492" s="4" t="s">
        <v>38</v>
      </c>
      <c r="AY1492" s="5" t="s">
        <v>6603</v>
      </c>
      <c r="AZ1492" s="5" t="s">
        <v>38</v>
      </c>
      <c r="BA1492" s="12"/>
      <c r="BB1492" s="12"/>
      <c r="BC1492" s="12"/>
      <c r="BD1492" s="11">
        <v>0</v>
      </c>
      <c r="BE1492" s="11">
        <v>0</v>
      </c>
    </row>
    <row x14ac:dyDescent="0.25" r="1493" customHeight="1" ht="17.25">
      <c r="A1493" s="11">
        <v>159854</v>
      </c>
      <c r="B1493" s="4" t="s">
        <v>6604</v>
      </c>
      <c r="C1493" s="5" t="s">
        <v>6605</v>
      </c>
      <c r="D1493" s="5" t="s">
        <v>6606</v>
      </c>
      <c r="E1493" s="5" t="s">
        <v>4894</v>
      </c>
      <c r="F1493" s="13">
        <f>"1891270109"</f>
      </c>
      <c r="G1493" s="13">
        <f>"9781891270109"</f>
      </c>
      <c r="H1493" s="11">
        <v>0</v>
      </c>
      <c r="I1493" s="14">
        <v>3.24</v>
      </c>
      <c r="J1493" s="7" t="s">
        <v>6607</v>
      </c>
      <c r="K1493" s="5" t="s">
        <v>60</v>
      </c>
      <c r="L1493" s="11">
        <v>120</v>
      </c>
      <c r="M1493" s="11">
        <v>2000</v>
      </c>
      <c r="N1493" s="11">
        <v>1999</v>
      </c>
      <c r="O1493" s="15"/>
      <c r="P1493" s="8">
        <v>42603</v>
      </c>
      <c r="Q1493" s="8"/>
      <c r="R1493" s="8"/>
      <c r="S1493" s="8"/>
      <c r="T1493" s="8"/>
      <c r="U1493" s="8"/>
      <c r="V1493" s="8"/>
      <c r="W1493" s="8"/>
      <c r="X1493" s="8"/>
      <c r="Y1493" s="8"/>
      <c r="Z1493" s="8"/>
      <c r="AA1493" s="8"/>
      <c r="AB1493" s="8"/>
      <c r="AC1493" s="8"/>
      <c r="AD1493" s="8"/>
      <c r="AE1493" s="8"/>
      <c r="AF1493" s="8"/>
      <c r="AG1493" s="8"/>
      <c r="AH1493" s="8"/>
      <c r="AI1493" s="8"/>
      <c r="AJ1493" s="8"/>
      <c r="AK1493" s="8"/>
      <c r="AL1493" s="8"/>
      <c r="AM1493" s="8"/>
      <c r="AN1493" s="8"/>
      <c r="AO1493" s="8"/>
      <c r="AP1493" s="8"/>
      <c r="AQ1493" s="8"/>
      <c r="AR1493" s="8"/>
      <c r="AS1493" s="8"/>
      <c r="AT1493" s="8"/>
      <c r="AU1493" s="8"/>
      <c r="AV1493" s="8"/>
      <c r="AW1493" s="8"/>
      <c r="AX1493" s="4" t="s">
        <v>38</v>
      </c>
      <c r="AY1493" s="5" t="s">
        <v>6608</v>
      </c>
      <c r="AZ1493" s="5" t="s">
        <v>38</v>
      </c>
      <c r="BA1493" s="12"/>
      <c r="BB1493" s="12"/>
      <c r="BC1493" s="12"/>
      <c r="BD1493" s="11">
        <v>0</v>
      </c>
      <c r="BE1493" s="11">
        <v>0</v>
      </c>
    </row>
    <row x14ac:dyDescent="0.25" r="1494" customHeight="1" ht="17.25">
      <c r="A1494" s="11">
        <v>1264048</v>
      </c>
      <c r="B1494" s="4" t="s">
        <v>6609</v>
      </c>
      <c r="C1494" s="5" t="s">
        <v>6605</v>
      </c>
      <c r="D1494" s="5" t="s">
        <v>6606</v>
      </c>
      <c r="E1494" s="5" t="s">
        <v>6610</v>
      </c>
      <c r="F1494" s="13">
        <f>"0935480927"</f>
      </c>
      <c r="G1494" s="13">
        <f>"9780935480924"</f>
      </c>
      <c r="H1494" s="11">
        <v>0</v>
      </c>
      <c r="I1494" s="14">
        <v>3.71</v>
      </c>
      <c r="J1494" s="7" t="s">
        <v>6607</v>
      </c>
      <c r="K1494" s="5" t="s">
        <v>60</v>
      </c>
      <c r="L1494" s="11">
        <v>128</v>
      </c>
      <c r="M1494" s="11">
        <v>1998</v>
      </c>
      <c r="N1494" s="11">
        <v>1983</v>
      </c>
      <c r="O1494" s="15"/>
      <c r="P1494" s="8">
        <v>42603</v>
      </c>
      <c r="Q1494" s="8"/>
      <c r="R1494" s="8"/>
      <c r="S1494" s="8"/>
      <c r="T1494" s="8"/>
      <c r="U1494" s="8"/>
      <c r="V1494" s="8"/>
      <c r="W1494" s="8"/>
      <c r="X1494" s="8"/>
      <c r="Y1494" s="8"/>
      <c r="Z1494" s="8"/>
      <c r="AA1494" s="8"/>
      <c r="AB1494" s="8"/>
      <c r="AC1494" s="8"/>
      <c r="AD1494" s="8"/>
      <c r="AE1494" s="8"/>
      <c r="AF1494" s="8"/>
      <c r="AG1494" s="8"/>
      <c r="AH1494" s="8"/>
      <c r="AI1494" s="8"/>
      <c r="AJ1494" s="8"/>
      <c r="AK1494" s="8"/>
      <c r="AL1494" s="8"/>
      <c r="AM1494" s="8"/>
      <c r="AN1494" s="8"/>
      <c r="AO1494" s="8"/>
      <c r="AP1494" s="8"/>
      <c r="AQ1494" s="8"/>
      <c r="AR1494" s="8"/>
      <c r="AS1494" s="8"/>
      <c r="AT1494" s="8"/>
      <c r="AU1494" s="8"/>
      <c r="AV1494" s="8"/>
      <c r="AW1494" s="8"/>
      <c r="AX1494" s="4" t="s">
        <v>38</v>
      </c>
      <c r="AY1494" s="5" t="s">
        <v>6611</v>
      </c>
      <c r="AZ1494" s="5" t="s">
        <v>38</v>
      </c>
      <c r="BA1494" s="12"/>
      <c r="BB1494" s="12"/>
      <c r="BC1494" s="12"/>
      <c r="BD1494" s="11">
        <v>0</v>
      </c>
      <c r="BE1494" s="11">
        <v>0</v>
      </c>
    </row>
    <row x14ac:dyDescent="0.25" r="1495" customHeight="1" ht="17.25">
      <c r="A1495" s="11">
        <v>49393809</v>
      </c>
      <c r="B1495" s="4" t="s">
        <v>6612</v>
      </c>
      <c r="C1495" s="5" t="s">
        <v>6613</v>
      </c>
      <c r="D1495" s="5" t="s">
        <v>6614</v>
      </c>
      <c r="E1495" s="5" t="s">
        <v>6615</v>
      </c>
      <c r="F1495" s="13">
        <f>"0375700528"</f>
      </c>
      <c r="G1495" s="13">
        <f>"9780375700521"</f>
      </c>
      <c r="H1495" s="11">
        <v>0</v>
      </c>
      <c r="I1495" s="14">
        <v>3.73</v>
      </c>
      <c r="J1495" s="7" t="s">
        <v>5464</v>
      </c>
      <c r="K1495" s="5" t="s">
        <v>60</v>
      </c>
      <c r="L1495" s="11">
        <v>117</v>
      </c>
      <c r="M1495" s="11">
        <v>1998</v>
      </c>
      <c r="N1495" s="11">
        <v>1984</v>
      </c>
      <c r="O1495" s="15"/>
      <c r="P1495" s="8">
        <v>45105</v>
      </c>
      <c r="Q1495" s="8"/>
      <c r="R1495" s="8"/>
      <c r="S1495" s="8"/>
      <c r="T1495" s="8"/>
      <c r="U1495" s="8"/>
      <c r="V1495" s="8"/>
      <c r="W1495" s="8"/>
      <c r="X1495" s="8"/>
      <c r="Y1495" s="8"/>
      <c r="Z1495" s="8"/>
      <c r="AA1495" s="8"/>
      <c r="AB1495" s="8"/>
      <c r="AC1495" s="8"/>
      <c r="AD1495" s="8"/>
      <c r="AE1495" s="8"/>
      <c r="AF1495" s="8"/>
      <c r="AG1495" s="8"/>
      <c r="AH1495" s="8"/>
      <c r="AI1495" s="8"/>
      <c r="AJ1495" s="8"/>
      <c r="AK1495" s="8"/>
      <c r="AL1495" s="8"/>
      <c r="AM1495" s="8"/>
      <c r="AN1495" s="8"/>
      <c r="AO1495" s="8"/>
      <c r="AP1495" s="8"/>
      <c r="AQ1495" s="8"/>
      <c r="AR1495" s="8"/>
      <c r="AS1495" s="8"/>
      <c r="AT1495" s="8"/>
      <c r="AU1495" s="8"/>
      <c r="AV1495" s="8"/>
      <c r="AW1495" s="8"/>
      <c r="AX1495" s="4" t="s">
        <v>38</v>
      </c>
      <c r="AY1495" s="5" t="s">
        <v>6616</v>
      </c>
      <c r="AZ1495" s="5" t="s">
        <v>38</v>
      </c>
      <c r="BA1495" s="12"/>
      <c r="BB1495" s="12"/>
      <c r="BC1495" s="12"/>
      <c r="BD1495" s="11">
        <v>0</v>
      </c>
      <c r="BE1495" s="11">
        <v>0</v>
      </c>
    </row>
    <row x14ac:dyDescent="0.25" r="1496" customHeight="1" ht="17.25">
      <c r="A1496" s="11">
        <v>2021041</v>
      </c>
      <c r="B1496" s="4" t="s">
        <v>6617</v>
      </c>
      <c r="C1496" s="5" t="s">
        <v>1123</v>
      </c>
      <c r="D1496" s="5" t="s">
        <v>1124</v>
      </c>
      <c r="E1496" s="12"/>
      <c r="F1496" s="13">
        <f>"0140165223"</f>
      </c>
      <c r="G1496" s="13">
        <f>"9780140165227"</f>
      </c>
      <c r="H1496" s="11">
        <v>0</v>
      </c>
      <c r="I1496" s="14">
        <v>3.7</v>
      </c>
      <c r="J1496" s="7" t="s">
        <v>491</v>
      </c>
      <c r="K1496" s="5" t="s">
        <v>60</v>
      </c>
      <c r="L1496" s="11">
        <v>257</v>
      </c>
      <c r="M1496" s="11">
        <v>1992</v>
      </c>
      <c r="N1496" s="11">
        <v>1990</v>
      </c>
      <c r="O1496" s="15"/>
      <c r="P1496" s="8">
        <v>45105</v>
      </c>
      <c r="Q1496" s="8"/>
      <c r="R1496" s="8"/>
      <c r="S1496" s="8"/>
      <c r="T1496" s="8"/>
      <c r="U1496" s="8"/>
      <c r="V1496" s="8"/>
      <c r="W1496" s="8"/>
      <c r="X1496" s="8"/>
      <c r="Y1496" s="8"/>
      <c r="Z1496" s="8"/>
      <c r="AA1496" s="8"/>
      <c r="AB1496" s="8"/>
      <c r="AC1496" s="8"/>
      <c r="AD1496" s="8"/>
      <c r="AE1496" s="8"/>
      <c r="AF1496" s="8"/>
      <c r="AG1496" s="8"/>
      <c r="AH1496" s="8"/>
      <c r="AI1496" s="8"/>
      <c r="AJ1496" s="8"/>
      <c r="AK1496" s="8"/>
      <c r="AL1496" s="8"/>
      <c r="AM1496" s="8"/>
      <c r="AN1496" s="8"/>
      <c r="AO1496" s="8"/>
      <c r="AP1496" s="8"/>
      <c r="AQ1496" s="8"/>
      <c r="AR1496" s="8"/>
      <c r="AS1496" s="8"/>
      <c r="AT1496" s="8"/>
      <c r="AU1496" s="8"/>
      <c r="AV1496" s="8"/>
      <c r="AW1496" s="8"/>
      <c r="AX1496" s="4" t="s">
        <v>38</v>
      </c>
      <c r="AY1496" s="5" t="s">
        <v>6618</v>
      </c>
      <c r="AZ1496" s="5" t="s">
        <v>38</v>
      </c>
      <c r="BA1496" s="12"/>
      <c r="BB1496" s="12"/>
      <c r="BC1496" s="12"/>
      <c r="BD1496" s="11">
        <v>0</v>
      </c>
      <c r="BE1496" s="11">
        <v>0</v>
      </c>
    </row>
    <row x14ac:dyDescent="0.25" r="1497" customHeight="1" ht="17.25">
      <c r="A1497" s="11">
        <v>43432</v>
      </c>
      <c r="B1497" s="4" t="s">
        <v>6619</v>
      </c>
      <c r="C1497" s="5" t="s">
        <v>6620</v>
      </c>
      <c r="D1497" s="5" t="s">
        <v>6621</v>
      </c>
      <c r="E1497" s="5" t="s">
        <v>2336</v>
      </c>
      <c r="F1497" s="13">
        <f>"1590170709"</f>
      </c>
      <c r="G1497" s="13">
        <f>"9781590170700"</f>
      </c>
      <c r="H1497" s="11">
        <v>0</v>
      </c>
      <c r="I1497" s="14">
        <v>3.87</v>
      </c>
      <c r="J1497" s="7" t="s">
        <v>108</v>
      </c>
      <c r="K1497" s="5" t="s">
        <v>60</v>
      </c>
      <c r="L1497" s="11">
        <v>264</v>
      </c>
      <c r="M1497" s="11">
        <v>2003</v>
      </c>
      <c r="N1497" s="11">
        <v>1963</v>
      </c>
      <c r="O1497" s="15"/>
      <c r="P1497" s="8">
        <v>45102</v>
      </c>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c r="AO1497" s="8"/>
      <c r="AP1497" s="8"/>
      <c r="AQ1497" s="8"/>
      <c r="AR1497" s="8"/>
      <c r="AS1497" s="8"/>
      <c r="AT1497" s="8"/>
      <c r="AU1497" s="8"/>
      <c r="AV1497" s="8"/>
      <c r="AW1497" s="8"/>
      <c r="AX1497" s="4" t="s">
        <v>38</v>
      </c>
      <c r="AY1497" s="5" t="s">
        <v>6622</v>
      </c>
      <c r="AZ1497" s="5" t="s">
        <v>38</v>
      </c>
      <c r="BA1497" s="12"/>
      <c r="BB1497" s="12"/>
      <c r="BC1497" s="12"/>
      <c r="BD1497" s="11">
        <v>0</v>
      </c>
      <c r="BE1497" s="11">
        <v>0</v>
      </c>
    </row>
    <row x14ac:dyDescent="0.25" r="1498" customHeight="1" ht="17.25">
      <c r="A1498" s="11">
        <v>54318983</v>
      </c>
      <c r="B1498" s="4" t="s">
        <v>6623</v>
      </c>
      <c r="C1498" s="5" t="s">
        <v>6624</v>
      </c>
      <c r="D1498" s="5" t="s">
        <v>6625</v>
      </c>
      <c r="E1498" s="5" t="s">
        <v>107</v>
      </c>
      <c r="F1498" s="13">
        <f>"168137529X"</f>
      </c>
      <c r="G1498" s="13">
        <f>"9781681375298"</f>
      </c>
      <c r="H1498" s="11">
        <v>0</v>
      </c>
      <c r="I1498" s="14">
        <v>3.88</v>
      </c>
      <c r="J1498" s="7" t="s">
        <v>108</v>
      </c>
      <c r="K1498" s="5" t="s">
        <v>60</v>
      </c>
      <c r="L1498" s="11">
        <v>320</v>
      </c>
      <c r="M1498" s="11">
        <v>2021</v>
      </c>
      <c r="N1498" s="11">
        <v>1981</v>
      </c>
      <c r="O1498" s="15"/>
      <c r="P1498" s="8">
        <v>45102</v>
      </c>
      <c r="Q1498" s="8"/>
      <c r="R1498" s="8"/>
      <c r="S1498" s="8"/>
      <c r="T1498" s="8"/>
      <c r="U1498" s="8"/>
      <c r="V1498" s="8"/>
      <c r="W1498" s="8"/>
      <c r="X1498" s="8"/>
      <c r="Y1498" s="8"/>
      <c r="Z1498" s="8"/>
      <c r="AA1498" s="8"/>
      <c r="AB1498" s="8"/>
      <c r="AC1498" s="8"/>
      <c r="AD1498" s="8"/>
      <c r="AE1498" s="8"/>
      <c r="AF1498" s="8"/>
      <c r="AG1498" s="8"/>
      <c r="AH1498" s="8"/>
      <c r="AI1498" s="8"/>
      <c r="AJ1498" s="8"/>
      <c r="AK1498" s="8"/>
      <c r="AL1498" s="8"/>
      <c r="AM1498" s="8"/>
      <c r="AN1498" s="8"/>
      <c r="AO1498" s="8"/>
      <c r="AP1498" s="8"/>
      <c r="AQ1498" s="8"/>
      <c r="AR1498" s="8"/>
      <c r="AS1498" s="8"/>
      <c r="AT1498" s="8"/>
      <c r="AU1498" s="8"/>
      <c r="AV1498" s="8"/>
      <c r="AW1498" s="8"/>
      <c r="AX1498" s="4" t="s">
        <v>38</v>
      </c>
      <c r="AY1498" s="5" t="s">
        <v>6626</v>
      </c>
      <c r="AZ1498" s="5" t="s">
        <v>38</v>
      </c>
      <c r="BA1498" s="12"/>
      <c r="BB1498" s="12"/>
      <c r="BC1498" s="12"/>
      <c r="BD1498" s="11">
        <v>0</v>
      </c>
      <c r="BE1498" s="11">
        <v>0</v>
      </c>
    </row>
    <row x14ac:dyDescent="0.25" r="1499" customHeight="1" ht="17.25">
      <c r="A1499" s="11">
        <v>58089771</v>
      </c>
      <c r="B1499" s="4" t="s">
        <v>6627</v>
      </c>
      <c r="C1499" s="5" t="s">
        <v>6628</v>
      </c>
      <c r="D1499" s="5" t="s">
        <v>6629</v>
      </c>
      <c r="E1499" s="12"/>
      <c r="F1499" s="13">
        <f>"1681375729"</f>
      </c>
      <c r="G1499" s="13">
        <f>"9781681375724"</f>
      </c>
      <c r="H1499" s="11">
        <v>0</v>
      </c>
      <c r="I1499" s="14">
        <v>3.89</v>
      </c>
      <c r="J1499" s="7" t="s">
        <v>701</v>
      </c>
      <c r="K1499" s="5" t="s">
        <v>60</v>
      </c>
      <c r="L1499" s="11">
        <v>288</v>
      </c>
      <c r="M1499" s="11">
        <v>2021</v>
      </c>
      <c r="N1499" s="11">
        <v>1934</v>
      </c>
      <c r="O1499" s="15"/>
      <c r="P1499" s="8">
        <v>45102</v>
      </c>
      <c r="Q1499" s="8"/>
      <c r="R1499" s="8"/>
      <c r="S1499" s="8"/>
      <c r="T1499" s="8"/>
      <c r="U1499" s="8"/>
      <c r="V1499" s="8"/>
      <c r="W1499" s="8"/>
      <c r="X1499" s="8"/>
      <c r="Y1499" s="8"/>
      <c r="Z1499" s="8"/>
      <c r="AA1499" s="8"/>
      <c r="AB1499" s="8"/>
      <c r="AC1499" s="8"/>
      <c r="AD1499" s="8"/>
      <c r="AE1499" s="8"/>
      <c r="AF1499" s="8"/>
      <c r="AG1499" s="8"/>
      <c r="AH1499" s="8"/>
      <c r="AI1499" s="8"/>
      <c r="AJ1499" s="8"/>
      <c r="AK1499" s="8"/>
      <c r="AL1499" s="8"/>
      <c r="AM1499" s="8"/>
      <c r="AN1499" s="8"/>
      <c r="AO1499" s="8"/>
      <c r="AP1499" s="8"/>
      <c r="AQ1499" s="8"/>
      <c r="AR1499" s="8"/>
      <c r="AS1499" s="8"/>
      <c r="AT1499" s="8"/>
      <c r="AU1499" s="8"/>
      <c r="AV1499" s="8"/>
      <c r="AW1499" s="8"/>
      <c r="AX1499" s="4" t="s">
        <v>38</v>
      </c>
      <c r="AY1499" s="5" t="s">
        <v>6630</v>
      </c>
      <c r="AZ1499" s="5" t="s">
        <v>38</v>
      </c>
      <c r="BA1499" s="12"/>
      <c r="BB1499" s="12"/>
      <c r="BC1499" s="12"/>
      <c r="BD1499" s="11">
        <v>0</v>
      </c>
      <c r="BE1499" s="11">
        <v>0</v>
      </c>
    </row>
    <row x14ac:dyDescent="0.25" r="1500" customHeight="1" ht="17.25">
      <c r="A1500" s="11">
        <v>58535239</v>
      </c>
      <c r="B1500" s="4" t="s">
        <v>6631</v>
      </c>
      <c r="C1500" s="5" t="s">
        <v>6632</v>
      </c>
      <c r="D1500" s="5" t="s">
        <v>6633</v>
      </c>
      <c r="E1500" s="5" t="s">
        <v>6634</v>
      </c>
      <c r="F1500" s="13">
        <f>""</f>
      </c>
      <c r="G1500" s="13">
        <f>""</f>
      </c>
      <c r="H1500" s="11">
        <v>0</v>
      </c>
      <c r="I1500" s="14">
        <v>4.01</v>
      </c>
      <c r="J1500" s="7" t="s">
        <v>108</v>
      </c>
      <c r="K1500" s="5" t="s">
        <v>90</v>
      </c>
      <c r="L1500" s="11">
        <v>209</v>
      </c>
      <c r="M1500" s="11">
        <v>2021</v>
      </c>
      <c r="N1500" s="11">
        <v>1971</v>
      </c>
      <c r="O1500" s="15"/>
      <c r="P1500" s="8">
        <v>45102</v>
      </c>
      <c r="Q1500" s="8"/>
      <c r="R1500" s="8"/>
      <c r="S1500" s="8"/>
      <c r="T1500" s="8"/>
      <c r="U1500" s="8"/>
      <c r="V1500" s="8"/>
      <c r="W1500" s="8"/>
      <c r="X1500" s="8"/>
      <c r="Y1500" s="8"/>
      <c r="Z1500" s="8"/>
      <c r="AA1500" s="8"/>
      <c r="AB1500" s="8"/>
      <c r="AC1500" s="8"/>
      <c r="AD1500" s="8"/>
      <c r="AE1500" s="8"/>
      <c r="AF1500" s="8"/>
      <c r="AG1500" s="8"/>
      <c r="AH1500" s="8"/>
      <c r="AI1500" s="8"/>
      <c r="AJ1500" s="8"/>
      <c r="AK1500" s="8"/>
      <c r="AL1500" s="8"/>
      <c r="AM1500" s="8"/>
      <c r="AN1500" s="8"/>
      <c r="AO1500" s="8"/>
      <c r="AP1500" s="8"/>
      <c r="AQ1500" s="8"/>
      <c r="AR1500" s="8"/>
      <c r="AS1500" s="8"/>
      <c r="AT1500" s="8"/>
      <c r="AU1500" s="8"/>
      <c r="AV1500" s="8"/>
      <c r="AW1500" s="8"/>
      <c r="AX1500" s="4" t="s">
        <v>38</v>
      </c>
      <c r="AY1500" s="5" t="s">
        <v>6635</v>
      </c>
      <c r="AZ1500" s="5" t="s">
        <v>38</v>
      </c>
      <c r="BA1500" s="12"/>
      <c r="BB1500" s="12"/>
      <c r="BC1500" s="12"/>
      <c r="BD1500" s="11">
        <v>0</v>
      </c>
      <c r="BE1500" s="11">
        <v>0</v>
      </c>
    </row>
    <row x14ac:dyDescent="0.25" r="1501" customHeight="1" ht="17.25">
      <c r="A1501" s="11">
        <v>57496542</v>
      </c>
      <c r="B1501" s="4" t="s">
        <v>6636</v>
      </c>
      <c r="C1501" s="5" t="s">
        <v>6637</v>
      </c>
      <c r="D1501" s="5" t="s">
        <v>6638</v>
      </c>
      <c r="E1501" s="5" t="s">
        <v>6639</v>
      </c>
      <c r="F1501" s="13">
        <f>""</f>
      </c>
      <c r="G1501" s="13">
        <f>"9781681375625"</f>
      </c>
      <c r="H1501" s="11">
        <v>0</v>
      </c>
      <c r="I1501" s="14">
        <v>3.89</v>
      </c>
      <c r="J1501" s="7" t="s">
        <v>701</v>
      </c>
      <c r="K1501" s="5" t="s">
        <v>60</v>
      </c>
      <c r="L1501" s="11">
        <v>176</v>
      </c>
      <c r="M1501" s="11">
        <v>2021</v>
      </c>
      <c r="N1501" s="11">
        <v>1964</v>
      </c>
      <c r="O1501" s="15"/>
      <c r="P1501" s="8">
        <v>45102</v>
      </c>
      <c r="Q1501" s="8"/>
      <c r="R1501" s="8"/>
      <c r="S1501" s="8"/>
      <c r="T1501" s="8"/>
      <c r="U1501" s="8"/>
      <c r="V1501" s="8"/>
      <c r="W1501" s="8"/>
      <c r="X1501" s="8"/>
      <c r="Y1501" s="8"/>
      <c r="Z1501" s="8"/>
      <c r="AA1501" s="8"/>
      <c r="AB1501" s="8"/>
      <c r="AC1501" s="8"/>
      <c r="AD1501" s="8"/>
      <c r="AE1501" s="8"/>
      <c r="AF1501" s="8"/>
      <c r="AG1501" s="8"/>
      <c r="AH1501" s="8"/>
      <c r="AI1501" s="8"/>
      <c r="AJ1501" s="8"/>
      <c r="AK1501" s="8"/>
      <c r="AL1501" s="8"/>
      <c r="AM1501" s="8"/>
      <c r="AN1501" s="8"/>
      <c r="AO1501" s="8"/>
      <c r="AP1501" s="8"/>
      <c r="AQ1501" s="8"/>
      <c r="AR1501" s="8"/>
      <c r="AS1501" s="8"/>
      <c r="AT1501" s="8"/>
      <c r="AU1501" s="8"/>
      <c r="AV1501" s="8"/>
      <c r="AW1501" s="8"/>
      <c r="AX1501" s="4" t="s">
        <v>38</v>
      </c>
      <c r="AY1501" s="5" t="s">
        <v>6640</v>
      </c>
      <c r="AZ1501" s="5" t="s">
        <v>38</v>
      </c>
      <c r="BA1501" s="12"/>
      <c r="BB1501" s="12"/>
      <c r="BC1501" s="12"/>
      <c r="BD1501" s="11">
        <v>0</v>
      </c>
      <c r="BE1501" s="11">
        <v>0</v>
      </c>
    </row>
    <row x14ac:dyDescent="0.25" r="1502" customHeight="1" ht="17.25">
      <c r="A1502" s="11">
        <v>57321632</v>
      </c>
      <c r="B1502" s="4" t="s">
        <v>6641</v>
      </c>
      <c r="C1502" s="5" t="s">
        <v>6642</v>
      </c>
      <c r="D1502" s="5" t="s">
        <v>6643</v>
      </c>
      <c r="E1502" s="5" t="s">
        <v>6644</v>
      </c>
      <c r="F1502" s="13">
        <f>"1681375974"</f>
      </c>
      <c r="G1502" s="13">
        <f>"9781681375977"</f>
      </c>
      <c r="H1502" s="11">
        <v>0</v>
      </c>
      <c r="I1502" s="14">
        <v>3.87</v>
      </c>
      <c r="J1502" s="7" t="s">
        <v>701</v>
      </c>
      <c r="K1502" s="5" t="s">
        <v>60</v>
      </c>
      <c r="L1502" s="11">
        <v>275</v>
      </c>
      <c r="M1502" s="11">
        <v>2022</v>
      </c>
      <c r="N1502" s="11">
        <v>1980</v>
      </c>
      <c r="O1502" s="15"/>
      <c r="P1502" s="8">
        <v>45102</v>
      </c>
      <c r="Q1502" s="8"/>
      <c r="R1502" s="8"/>
      <c r="S1502" s="8"/>
      <c r="T1502" s="8"/>
      <c r="U1502" s="8"/>
      <c r="V1502" s="8"/>
      <c r="W1502" s="8"/>
      <c r="X1502" s="8"/>
      <c r="Y1502" s="8"/>
      <c r="Z1502" s="8"/>
      <c r="AA1502" s="8"/>
      <c r="AB1502" s="8"/>
      <c r="AC1502" s="8"/>
      <c r="AD1502" s="8"/>
      <c r="AE1502" s="8"/>
      <c r="AF1502" s="8"/>
      <c r="AG1502" s="8"/>
      <c r="AH1502" s="8"/>
      <c r="AI1502" s="8"/>
      <c r="AJ1502" s="8"/>
      <c r="AK1502" s="8"/>
      <c r="AL1502" s="8"/>
      <c r="AM1502" s="8"/>
      <c r="AN1502" s="8"/>
      <c r="AO1502" s="8"/>
      <c r="AP1502" s="8"/>
      <c r="AQ1502" s="8"/>
      <c r="AR1502" s="8"/>
      <c r="AS1502" s="8"/>
      <c r="AT1502" s="8"/>
      <c r="AU1502" s="8"/>
      <c r="AV1502" s="8"/>
      <c r="AW1502" s="8"/>
      <c r="AX1502" s="4" t="s">
        <v>38</v>
      </c>
      <c r="AY1502" s="5" t="s">
        <v>6645</v>
      </c>
      <c r="AZ1502" s="5" t="s">
        <v>38</v>
      </c>
      <c r="BA1502" s="12"/>
      <c r="BB1502" s="12"/>
      <c r="BC1502" s="12"/>
      <c r="BD1502" s="11">
        <v>0</v>
      </c>
      <c r="BE1502" s="11">
        <v>0</v>
      </c>
    </row>
    <row x14ac:dyDescent="0.25" r="1503" customHeight="1" ht="17.25">
      <c r="A1503" s="11">
        <v>59204169</v>
      </c>
      <c r="B1503" s="4" t="s">
        <v>6646</v>
      </c>
      <c r="C1503" s="5" t="s">
        <v>3623</v>
      </c>
      <c r="D1503" s="5" t="s">
        <v>3624</v>
      </c>
      <c r="E1503" s="12"/>
      <c r="F1503" s="13">
        <f>"1681376431"</f>
      </c>
      <c r="G1503" s="13">
        <f>"9781681376431"</f>
      </c>
      <c r="H1503" s="11">
        <v>0</v>
      </c>
      <c r="I1503" s="14">
        <v>3.75</v>
      </c>
      <c r="J1503" s="7" t="s">
        <v>4572</v>
      </c>
      <c r="K1503" s="5" t="s">
        <v>96</v>
      </c>
      <c r="L1503" s="16"/>
      <c r="M1503" s="11">
        <v>2022</v>
      </c>
      <c r="N1503" s="11">
        <v>2022</v>
      </c>
      <c r="O1503" s="15"/>
      <c r="P1503" s="8">
        <v>45102</v>
      </c>
      <c r="Q1503" s="8"/>
      <c r="R1503" s="8"/>
      <c r="S1503" s="8"/>
      <c r="T1503" s="8"/>
      <c r="U1503" s="8"/>
      <c r="V1503" s="8"/>
      <c r="W1503" s="8"/>
      <c r="X1503" s="8"/>
      <c r="Y1503" s="8"/>
      <c r="Z1503" s="8"/>
      <c r="AA1503" s="8"/>
      <c r="AB1503" s="8"/>
      <c r="AC1503" s="8"/>
      <c r="AD1503" s="8"/>
      <c r="AE1503" s="8"/>
      <c r="AF1503" s="8"/>
      <c r="AG1503" s="8"/>
      <c r="AH1503" s="8"/>
      <c r="AI1503" s="8"/>
      <c r="AJ1503" s="8"/>
      <c r="AK1503" s="8"/>
      <c r="AL1503" s="8"/>
      <c r="AM1503" s="8"/>
      <c r="AN1503" s="8"/>
      <c r="AO1503" s="8"/>
      <c r="AP1503" s="8"/>
      <c r="AQ1503" s="8"/>
      <c r="AR1503" s="8"/>
      <c r="AS1503" s="8"/>
      <c r="AT1503" s="8"/>
      <c r="AU1503" s="8"/>
      <c r="AV1503" s="8"/>
      <c r="AW1503" s="8"/>
      <c r="AX1503" s="4" t="s">
        <v>38</v>
      </c>
      <c r="AY1503" s="5" t="s">
        <v>6647</v>
      </c>
      <c r="AZ1503" s="5" t="s">
        <v>38</v>
      </c>
      <c r="BA1503" s="12"/>
      <c r="BB1503" s="12"/>
      <c r="BC1503" s="12"/>
      <c r="BD1503" s="11">
        <v>0</v>
      </c>
      <c r="BE1503" s="11">
        <v>0</v>
      </c>
    </row>
    <row x14ac:dyDescent="0.25" r="1504" customHeight="1" ht="17.25">
      <c r="A1504" s="11">
        <v>58559133</v>
      </c>
      <c r="B1504" s="4" t="s">
        <v>6648</v>
      </c>
      <c r="C1504" s="5" t="s">
        <v>93</v>
      </c>
      <c r="D1504" s="5" t="s">
        <v>94</v>
      </c>
      <c r="E1504" s="5" t="s">
        <v>6649</v>
      </c>
      <c r="F1504" s="13">
        <f>""</f>
      </c>
      <c r="G1504" s="13">
        <f>"9781681376332"</f>
      </c>
      <c r="H1504" s="11">
        <v>0</v>
      </c>
      <c r="I1504" s="14">
        <v>3.76</v>
      </c>
      <c r="J1504" s="7" t="s">
        <v>108</v>
      </c>
      <c r="K1504" s="5" t="s">
        <v>60</v>
      </c>
      <c r="L1504" s="11">
        <v>336</v>
      </c>
      <c r="M1504" s="11">
        <v>2022</v>
      </c>
      <c r="N1504" s="11">
        <v>2013</v>
      </c>
      <c r="O1504" s="15"/>
      <c r="P1504" s="8">
        <v>45102</v>
      </c>
      <c r="Q1504" s="8"/>
      <c r="R1504" s="8"/>
      <c r="S1504" s="8"/>
      <c r="T1504" s="8"/>
      <c r="U1504" s="8"/>
      <c r="V1504" s="8"/>
      <c r="W1504" s="8"/>
      <c r="X1504" s="8"/>
      <c r="Y1504" s="8"/>
      <c r="Z1504" s="8"/>
      <c r="AA1504" s="8"/>
      <c r="AB1504" s="8"/>
      <c r="AC1504" s="8"/>
      <c r="AD1504" s="8"/>
      <c r="AE1504" s="8"/>
      <c r="AF1504" s="8"/>
      <c r="AG1504" s="8"/>
      <c r="AH1504" s="8"/>
      <c r="AI1504" s="8"/>
      <c r="AJ1504" s="8"/>
      <c r="AK1504" s="8"/>
      <c r="AL1504" s="8"/>
      <c r="AM1504" s="8"/>
      <c r="AN1504" s="8"/>
      <c r="AO1504" s="8"/>
      <c r="AP1504" s="8"/>
      <c r="AQ1504" s="8"/>
      <c r="AR1504" s="8"/>
      <c r="AS1504" s="8"/>
      <c r="AT1504" s="8"/>
      <c r="AU1504" s="8"/>
      <c r="AV1504" s="8"/>
      <c r="AW1504" s="8"/>
      <c r="AX1504" s="4" t="s">
        <v>38</v>
      </c>
      <c r="AY1504" s="5" t="s">
        <v>6650</v>
      </c>
      <c r="AZ1504" s="5" t="s">
        <v>38</v>
      </c>
      <c r="BA1504" s="12"/>
      <c r="BB1504" s="12"/>
      <c r="BC1504" s="12"/>
      <c r="BD1504" s="11">
        <v>0</v>
      </c>
      <c r="BE1504" s="11">
        <v>0</v>
      </c>
    </row>
    <row x14ac:dyDescent="0.25" r="1505" customHeight="1" ht="17.25">
      <c r="A1505" s="11">
        <v>61258974</v>
      </c>
      <c r="B1505" s="4" t="s">
        <v>6651</v>
      </c>
      <c r="C1505" s="5" t="s">
        <v>6652</v>
      </c>
      <c r="D1505" s="5" t="s">
        <v>6653</v>
      </c>
      <c r="E1505" s="12"/>
      <c r="F1505" s="13">
        <f>"1681376814"</f>
      </c>
      <c r="G1505" s="13">
        <f>"9781681376813"</f>
      </c>
      <c r="H1505" s="11">
        <v>0</v>
      </c>
      <c r="I1505" s="14">
        <v>3.86</v>
      </c>
      <c r="J1505" s="7" t="s">
        <v>701</v>
      </c>
      <c r="K1505" s="5" t="s">
        <v>60</v>
      </c>
      <c r="L1505" s="11">
        <v>208</v>
      </c>
      <c r="M1505" s="11">
        <v>2022</v>
      </c>
      <c r="N1505" s="11">
        <v>2021</v>
      </c>
      <c r="O1505" s="15"/>
      <c r="P1505" s="8">
        <v>45102</v>
      </c>
      <c r="Q1505" s="8"/>
      <c r="R1505" s="8"/>
      <c r="S1505" s="8"/>
      <c r="T1505" s="8"/>
      <c r="U1505" s="8"/>
      <c r="V1505" s="8"/>
      <c r="W1505" s="8"/>
      <c r="X1505" s="8"/>
      <c r="Y1505" s="8"/>
      <c r="Z1505" s="8"/>
      <c r="AA1505" s="8"/>
      <c r="AB1505" s="8"/>
      <c r="AC1505" s="8"/>
      <c r="AD1505" s="8"/>
      <c r="AE1505" s="8"/>
      <c r="AF1505" s="8"/>
      <c r="AG1505" s="8"/>
      <c r="AH1505" s="8"/>
      <c r="AI1505" s="8"/>
      <c r="AJ1505" s="8"/>
      <c r="AK1505" s="8"/>
      <c r="AL1505" s="8"/>
      <c r="AM1505" s="8"/>
      <c r="AN1505" s="8"/>
      <c r="AO1505" s="8"/>
      <c r="AP1505" s="8"/>
      <c r="AQ1505" s="8"/>
      <c r="AR1505" s="8"/>
      <c r="AS1505" s="8"/>
      <c r="AT1505" s="8"/>
      <c r="AU1505" s="8"/>
      <c r="AV1505" s="8"/>
      <c r="AW1505" s="8"/>
      <c r="AX1505" s="4" t="s">
        <v>38</v>
      </c>
      <c r="AY1505" s="5" t="s">
        <v>6654</v>
      </c>
      <c r="AZ1505" s="5" t="s">
        <v>38</v>
      </c>
      <c r="BA1505" s="12"/>
      <c r="BB1505" s="12"/>
      <c r="BC1505" s="12"/>
      <c r="BD1505" s="11">
        <v>0</v>
      </c>
      <c r="BE1505" s="11">
        <v>0</v>
      </c>
    </row>
    <row x14ac:dyDescent="0.25" r="1506" customHeight="1" ht="17.25">
      <c r="A1506" s="11">
        <v>60911482</v>
      </c>
      <c r="B1506" s="4" t="s">
        <v>6655</v>
      </c>
      <c r="C1506" s="5" t="s">
        <v>6656</v>
      </c>
      <c r="D1506" s="5" t="s">
        <v>6657</v>
      </c>
      <c r="E1506" s="5" t="s">
        <v>6658</v>
      </c>
      <c r="F1506" s="13">
        <f>"1681376709"</f>
      </c>
      <c r="G1506" s="13">
        <f>"9781681376707"</f>
      </c>
      <c r="H1506" s="11">
        <v>0</v>
      </c>
      <c r="I1506" s="14">
        <v>3.9</v>
      </c>
      <c r="J1506" s="7" t="s">
        <v>108</v>
      </c>
      <c r="K1506" s="5" t="s">
        <v>60</v>
      </c>
      <c r="L1506" s="11">
        <v>320</v>
      </c>
      <c r="M1506" s="11">
        <v>2022</v>
      </c>
      <c r="N1506" s="11">
        <v>1926</v>
      </c>
      <c r="O1506" s="15"/>
      <c r="P1506" s="8">
        <v>45102</v>
      </c>
      <c r="Q1506" s="8"/>
      <c r="R1506" s="8"/>
      <c r="S1506" s="8"/>
      <c r="T1506" s="8"/>
      <c r="U1506" s="8"/>
      <c r="V1506" s="8"/>
      <c r="W1506" s="8"/>
      <c r="X1506" s="8"/>
      <c r="Y1506" s="8"/>
      <c r="Z1506" s="8"/>
      <c r="AA1506" s="8"/>
      <c r="AB1506" s="8"/>
      <c r="AC1506" s="8"/>
      <c r="AD1506" s="8"/>
      <c r="AE1506" s="8"/>
      <c r="AF1506" s="8"/>
      <c r="AG1506" s="8"/>
      <c r="AH1506" s="8"/>
      <c r="AI1506" s="8"/>
      <c r="AJ1506" s="8"/>
      <c r="AK1506" s="8"/>
      <c r="AL1506" s="8"/>
      <c r="AM1506" s="8"/>
      <c r="AN1506" s="8"/>
      <c r="AO1506" s="8"/>
      <c r="AP1506" s="8"/>
      <c r="AQ1506" s="8"/>
      <c r="AR1506" s="8"/>
      <c r="AS1506" s="8"/>
      <c r="AT1506" s="8"/>
      <c r="AU1506" s="8"/>
      <c r="AV1506" s="8"/>
      <c r="AW1506" s="8"/>
      <c r="AX1506" s="4" t="s">
        <v>38</v>
      </c>
      <c r="AY1506" s="5" t="s">
        <v>6659</v>
      </c>
      <c r="AZ1506" s="5" t="s">
        <v>38</v>
      </c>
      <c r="BA1506" s="12"/>
      <c r="BB1506" s="12"/>
      <c r="BC1506" s="12"/>
      <c r="BD1506" s="11">
        <v>0</v>
      </c>
      <c r="BE1506" s="11">
        <v>0</v>
      </c>
    </row>
    <row x14ac:dyDescent="0.25" r="1507" customHeight="1" ht="17.25">
      <c r="A1507" s="11">
        <v>62819085</v>
      </c>
      <c r="B1507" s="4" t="s">
        <v>6660</v>
      </c>
      <c r="C1507" s="5" t="s">
        <v>6661</v>
      </c>
      <c r="D1507" s="5" t="s">
        <v>6662</v>
      </c>
      <c r="E1507" s="5" t="s">
        <v>6663</v>
      </c>
      <c r="F1507" s="13">
        <f>"1681377373"</f>
      </c>
      <c r="G1507" s="13">
        <f>"9781681377377"</f>
      </c>
      <c r="H1507" s="11">
        <v>0</v>
      </c>
      <c r="I1507" s="14">
        <v>4.25</v>
      </c>
      <c r="J1507" s="7" t="s">
        <v>108</v>
      </c>
      <c r="K1507" s="5" t="s">
        <v>60</v>
      </c>
      <c r="L1507" s="11">
        <v>200</v>
      </c>
      <c r="M1507" s="11">
        <v>2023</v>
      </c>
      <c r="N1507" s="11">
        <v>1959</v>
      </c>
      <c r="O1507" s="15"/>
      <c r="P1507" s="8">
        <v>45102</v>
      </c>
      <c r="Q1507" s="8"/>
      <c r="R1507" s="8"/>
      <c r="S1507" s="8"/>
      <c r="T1507" s="8"/>
      <c r="U1507" s="8"/>
      <c r="V1507" s="8"/>
      <c r="W1507" s="8"/>
      <c r="X1507" s="8"/>
      <c r="Y1507" s="8"/>
      <c r="Z1507" s="8"/>
      <c r="AA1507" s="8"/>
      <c r="AB1507" s="8"/>
      <c r="AC1507" s="8"/>
      <c r="AD1507" s="8"/>
      <c r="AE1507" s="8"/>
      <c r="AF1507" s="8"/>
      <c r="AG1507" s="8"/>
      <c r="AH1507" s="8"/>
      <c r="AI1507" s="8"/>
      <c r="AJ1507" s="8"/>
      <c r="AK1507" s="8"/>
      <c r="AL1507" s="8"/>
      <c r="AM1507" s="8"/>
      <c r="AN1507" s="8"/>
      <c r="AO1507" s="8"/>
      <c r="AP1507" s="8"/>
      <c r="AQ1507" s="8"/>
      <c r="AR1507" s="8"/>
      <c r="AS1507" s="8"/>
      <c r="AT1507" s="8"/>
      <c r="AU1507" s="8"/>
      <c r="AV1507" s="8"/>
      <c r="AW1507" s="8"/>
      <c r="AX1507" s="4" t="s">
        <v>38</v>
      </c>
      <c r="AY1507" s="5" t="s">
        <v>6664</v>
      </c>
      <c r="AZ1507" s="5" t="s">
        <v>38</v>
      </c>
      <c r="BA1507" s="12"/>
      <c r="BB1507" s="12"/>
      <c r="BC1507" s="12"/>
      <c r="BD1507" s="11">
        <v>0</v>
      </c>
      <c r="BE1507" s="11">
        <v>0</v>
      </c>
    </row>
    <row x14ac:dyDescent="0.25" r="1508" customHeight="1" ht="17.25">
      <c r="A1508" s="11">
        <v>53244193</v>
      </c>
      <c r="B1508" s="4" t="s">
        <v>6665</v>
      </c>
      <c r="C1508" s="5" t="s">
        <v>3229</v>
      </c>
      <c r="D1508" s="5" t="s">
        <v>3230</v>
      </c>
      <c r="E1508" s="5" t="s">
        <v>2387</v>
      </c>
      <c r="F1508" s="13">
        <f>""</f>
      </c>
      <c r="G1508" s="13">
        <f>"9781681374949"</f>
      </c>
      <c r="H1508" s="11">
        <v>0</v>
      </c>
      <c r="I1508" s="14">
        <v>3.66</v>
      </c>
      <c r="J1508" s="7" t="s">
        <v>701</v>
      </c>
      <c r="K1508" s="5" t="s">
        <v>60</v>
      </c>
      <c r="L1508" s="11">
        <v>288</v>
      </c>
      <c r="M1508" s="11">
        <v>2020</v>
      </c>
      <c r="N1508" s="11">
        <v>1969</v>
      </c>
      <c r="O1508" s="15"/>
      <c r="P1508" s="8">
        <v>45102</v>
      </c>
      <c r="Q1508" s="8"/>
      <c r="R1508" s="8"/>
      <c r="S1508" s="8"/>
      <c r="T1508" s="8"/>
      <c r="U1508" s="8"/>
      <c r="V1508" s="8"/>
      <c r="W1508" s="8"/>
      <c r="X1508" s="8"/>
      <c r="Y1508" s="8"/>
      <c r="Z1508" s="8"/>
      <c r="AA1508" s="8"/>
      <c r="AB1508" s="8"/>
      <c r="AC1508" s="8"/>
      <c r="AD1508" s="8"/>
      <c r="AE1508" s="8"/>
      <c r="AF1508" s="8"/>
      <c r="AG1508" s="8"/>
      <c r="AH1508" s="8"/>
      <c r="AI1508" s="8"/>
      <c r="AJ1508" s="8"/>
      <c r="AK1508" s="8"/>
      <c r="AL1508" s="8"/>
      <c r="AM1508" s="8"/>
      <c r="AN1508" s="8"/>
      <c r="AO1508" s="8"/>
      <c r="AP1508" s="8"/>
      <c r="AQ1508" s="8"/>
      <c r="AR1508" s="8"/>
      <c r="AS1508" s="8"/>
      <c r="AT1508" s="8"/>
      <c r="AU1508" s="8"/>
      <c r="AV1508" s="8"/>
      <c r="AW1508" s="8"/>
      <c r="AX1508" s="4" t="s">
        <v>38</v>
      </c>
      <c r="AY1508" s="5" t="s">
        <v>6666</v>
      </c>
      <c r="AZ1508" s="5" t="s">
        <v>38</v>
      </c>
      <c r="BA1508" s="12"/>
      <c r="BB1508" s="12"/>
      <c r="BC1508" s="12"/>
      <c r="BD1508" s="11">
        <v>0</v>
      </c>
      <c r="BE1508" s="11">
        <v>0</v>
      </c>
    </row>
    <row x14ac:dyDescent="0.25" r="1509" customHeight="1" ht="17.25">
      <c r="A1509" s="11">
        <v>359157</v>
      </c>
      <c r="B1509" s="4" t="s">
        <v>6667</v>
      </c>
      <c r="C1509" s="5" t="s">
        <v>6668</v>
      </c>
      <c r="D1509" s="5" t="s">
        <v>6669</v>
      </c>
      <c r="E1509" s="5" t="s">
        <v>6670</v>
      </c>
      <c r="F1509" s="13">
        <f>"0940322676"</f>
      </c>
      <c r="G1509" s="13">
        <f>"9780940322677"</f>
      </c>
      <c r="H1509" s="11">
        <v>0</v>
      </c>
      <c r="I1509" s="14">
        <v>3.59</v>
      </c>
      <c r="J1509" s="7" t="s">
        <v>108</v>
      </c>
      <c r="K1509" s="5" t="s">
        <v>60</v>
      </c>
      <c r="L1509" s="11">
        <v>232</v>
      </c>
      <c r="M1509" s="11">
        <v>1999</v>
      </c>
      <c r="N1509" s="11">
        <v>1927</v>
      </c>
      <c r="O1509" s="15"/>
      <c r="P1509" s="8">
        <v>45102</v>
      </c>
      <c r="Q1509" s="8"/>
      <c r="R1509" s="8"/>
      <c r="S1509" s="8"/>
      <c r="T1509" s="8"/>
      <c r="U1509" s="8"/>
      <c r="V1509" s="8"/>
      <c r="W1509" s="8"/>
      <c r="X1509" s="8"/>
      <c r="Y1509" s="8"/>
      <c r="Z1509" s="8"/>
      <c r="AA1509" s="8"/>
      <c r="AB1509" s="8"/>
      <c r="AC1509" s="8"/>
      <c r="AD1509" s="8"/>
      <c r="AE1509" s="8"/>
      <c r="AF1509" s="8"/>
      <c r="AG1509" s="8"/>
      <c r="AH1509" s="8"/>
      <c r="AI1509" s="8"/>
      <c r="AJ1509" s="8"/>
      <c r="AK1509" s="8"/>
      <c r="AL1509" s="8"/>
      <c r="AM1509" s="8"/>
      <c r="AN1509" s="8"/>
      <c r="AO1509" s="8"/>
      <c r="AP1509" s="8"/>
      <c r="AQ1509" s="8"/>
      <c r="AR1509" s="8"/>
      <c r="AS1509" s="8"/>
      <c r="AT1509" s="8"/>
      <c r="AU1509" s="8"/>
      <c r="AV1509" s="8"/>
      <c r="AW1509" s="8"/>
      <c r="AX1509" s="4" t="s">
        <v>38</v>
      </c>
      <c r="AY1509" s="5" t="s">
        <v>6671</v>
      </c>
      <c r="AZ1509" s="5" t="s">
        <v>38</v>
      </c>
      <c r="BA1509" s="12"/>
      <c r="BB1509" s="12"/>
      <c r="BC1509" s="12"/>
      <c r="BD1509" s="11">
        <v>0</v>
      </c>
      <c r="BE1509" s="11">
        <v>0</v>
      </c>
    </row>
    <row x14ac:dyDescent="0.25" r="1510" customHeight="1" ht="17.25">
      <c r="A1510" s="11">
        <v>31057755</v>
      </c>
      <c r="B1510" s="4" t="s">
        <v>6672</v>
      </c>
      <c r="C1510" s="5" t="s">
        <v>669</v>
      </c>
      <c r="D1510" s="5" t="s">
        <v>670</v>
      </c>
      <c r="E1510" s="5" t="s">
        <v>6673</v>
      </c>
      <c r="F1510" s="13">
        <f>""</f>
      </c>
      <c r="G1510" s="13">
        <f>"9789569235184"</f>
      </c>
      <c r="H1510" s="11">
        <v>0</v>
      </c>
      <c r="I1510" s="14">
        <v>4.41</v>
      </c>
      <c r="J1510" s="7" t="s">
        <v>6674</v>
      </c>
      <c r="K1510" s="5" t="s">
        <v>6675</v>
      </c>
      <c r="L1510" s="11">
        <v>25</v>
      </c>
      <c r="M1510" s="11">
        <v>2016</v>
      </c>
      <c r="N1510" s="11">
        <v>2013</v>
      </c>
      <c r="O1510" s="15"/>
      <c r="P1510" s="8">
        <v>45102</v>
      </c>
      <c r="Q1510" s="8"/>
      <c r="R1510" s="8"/>
      <c r="S1510" s="8"/>
      <c r="T1510" s="8"/>
      <c r="U1510" s="8"/>
      <c r="V1510" s="8"/>
      <c r="W1510" s="8"/>
      <c r="X1510" s="8"/>
      <c r="Y1510" s="8"/>
      <c r="Z1510" s="8"/>
      <c r="AA1510" s="8"/>
      <c r="AB1510" s="8"/>
      <c r="AC1510" s="8"/>
      <c r="AD1510" s="8"/>
      <c r="AE1510" s="8"/>
      <c r="AF1510" s="8"/>
      <c r="AG1510" s="8"/>
      <c r="AH1510" s="8"/>
      <c r="AI1510" s="8"/>
      <c r="AJ1510" s="8"/>
      <c r="AK1510" s="8"/>
      <c r="AL1510" s="8"/>
      <c r="AM1510" s="8"/>
      <c r="AN1510" s="8"/>
      <c r="AO1510" s="8"/>
      <c r="AP1510" s="8"/>
      <c r="AQ1510" s="8"/>
      <c r="AR1510" s="8"/>
      <c r="AS1510" s="8"/>
      <c r="AT1510" s="8"/>
      <c r="AU1510" s="8"/>
      <c r="AV1510" s="8"/>
      <c r="AW1510" s="8"/>
      <c r="AX1510" s="4" t="s">
        <v>38</v>
      </c>
      <c r="AY1510" s="5" t="s">
        <v>6676</v>
      </c>
      <c r="AZ1510" s="5" t="s">
        <v>38</v>
      </c>
      <c r="BA1510" s="12"/>
      <c r="BB1510" s="12"/>
      <c r="BC1510" s="12"/>
      <c r="BD1510" s="11">
        <v>0</v>
      </c>
      <c r="BE1510" s="11">
        <v>0</v>
      </c>
    </row>
    <row x14ac:dyDescent="0.25" r="1511" customHeight="1" ht="17.25">
      <c r="A1511" s="11">
        <v>138428</v>
      </c>
      <c r="B1511" s="4" t="s">
        <v>6677</v>
      </c>
      <c r="C1511" s="5" t="s">
        <v>6678</v>
      </c>
      <c r="D1511" s="5" t="s">
        <v>6679</v>
      </c>
      <c r="E1511" s="5" t="s">
        <v>6680</v>
      </c>
      <c r="F1511" s="13">
        <f>"1590171470"</f>
      </c>
      <c r="G1511" s="13">
        <f>"9781590171479"</f>
      </c>
      <c r="H1511" s="11">
        <v>0</v>
      </c>
      <c r="I1511" s="14">
        <v>4.17</v>
      </c>
      <c r="J1511" s="7" t="s">
        <v>701</v>
      </c>
      <c r="K1511" s="5" t="s">
        <v>60</v>
      </c>
      <c r="L1511" s="11">
        <v>437</v>
      </c>
      <c r="M1511" s="11">
        <v>2005</v>
      </c>
      <c r="N1511" s="11">
        <v>1944</v>
      </c>
      <c r="O1511" s="15"/>
      <c r="P1511" s="8">
        <v>45102</v>
      </c>
      <c r="Q1511" s="8"/>
      <c r="R1511" s="8"/>
      <c r="S1511" s="8"/>
      <c r="T1511" s="8"/>
      <c r="U1511" s="8"/>
      <c r="V1511" s="8"/>
      <c r="W1511" s="8"/>
      <c r="X1511" s="8"/>
      <c r="Y1511" s="8"/>
      <c r="Z1511" s="8"/>
      <c r="AA1511" s="8"/>
      <c r="AB1511" s="8"/>
      <c r="AC1511" s="8"/>
      <c r="AD1511" s="8"/>
      <c r="AE1511" s="8"/>
      <c r="AF1511" s="8"/>
      <c r="AG1511" s="8"/>
      <c r="AH1511" s="8"/>
      <c r="AI1511" s="8"/>
      <c r="AJ1511" s="8"/>
      <c r="AK1511" s="8"/>
      <c r="AL1511" s="8"/>
      <c r="AM1511" s="8"/>
      <c r="AN1511" s="8"/>
      <c r="AO1511" s="8"/>
      <c r="AP1511" s="8"/>
      <c r="AQ1511" s="8"/>
      <c r="AR1511" s="8"/>
      <c r="AS1511" s="8"/>
      <c r="AT1511" s="8"/>
      <c r="AU1511" s="8"/>
      <c r="AV1511" s="8"/>
      <c r="AW1511" s="8"/>
      <c r="AX1511" s="4" t="s">
        <v>38</v>
      </c>
      <c r="AY1511" s="5" t="s">
        <v>6681</v>
      </c>
      <c r="AZ1511" s="5" t="s">
        <v>38</v>
      </c>
      <c r="BA1511" s="12"/>
      <c r="BB1511" s="12"/>
      <c r="BC1511" s="12"/>
      <c r="BD1511" s="11">
        <v>0</v>
      </c>
      <c r="BE1511" s="11">
        <v>0</v>
      </c>
    </row>
    <row x14ac:dyDescent="0.25" r="1512" customHeight="1" ht="17.25">
      <c r="A1512" s="11">
        <v>193755</v>
      </c>
      <c r="B1512" s="4" t="s">
        <v>6682</v>
      </c>
      <c r="C1512" s="5" t="s">
        <v>6683</v>
      </c>
      <c r="D1512" s="5" t="s">
        <v>6684</v>
      </c>
      <c r="E1512" s="5" t="s">
        <v>6685</v>
      </c>
      <c r="F1512" s="13">
        <f>"0375701214"</f>
      </c>
      <c r="G1512" s="13">
        <f>"9780375701214"</f>
      </c>
      <c r="H1512" s="11">
        <v>0</v>
      </c>
      <c r="I1512" s="14">
        <v>3.98</v>
      </c>
      <c r="J1512" s="7" t="s">
        <v>114</v>
      </c>
      <c r="K1512" s="5" t="s">
        <v>60</v>
      </c>
      <c r="L1512" s="11">
        <v>132</v>
      </c>
      <c r="M1512" s="11">
        <v>1998</v>
      </c>
      <c r="N1512" s="11">
        <v>1997</v>
      </c>
      <c r="O1512" s="15"/>
      <c r="P1512" s="8">
        <v>45101</v>
      </c>
      <c r="Q1512" s="8"/>
      <c r="R1512" s="8"/>
      <c r="S1512" s="8"/>
      <c r="T1512" s="8"/>
      <c r="U1512" s="8"/>
      <c r="V1512" s="8"/>
      <c r="W1512" s="8"/>
      <c r="X1512" s="8"/>
      <c r="Y1512" s="8"/>
      <c r="Z1512" s="8"/>
      <c r="AA1512" s="8"/>
      <c r="AB1512" s="8"/>
      <c r="AC1512" s="8"/>
      <c r="AD1512" s="8"/>
      <c r="AE1512" s="8"/>
      <c r="AF1512" s="8"/>
      <c r="AG1512" s="8"/>
      <c r="AH1512" s="8"/>
      <c r="AI1512" s="8"/>
      <c r="AJ1512" s="8"/>
      <c r="AK1512" s="8"/>
      <c r="AL1512" s="8"/>
      <c r="AM1512" s="8"/>
      <c r="AN1512" s="8"/>
      <c r="AO1512" s="8"/>
      <c r="AP1512" s="8"/>
      <c r="AQ1512" s="8"/>
      <c r="AR1512" s="8"/>
      <c r="AS1512" s="8"/>
      <c r="AT1512" s="8"/>
      <c r="AU1512" s="8"/>
      <c r="AV1512" s="8"/>
      <c r="AW1512" s="8"/>
      <c r="AX1512" s="4" t="s">
        <v>38</v>
      </c>
      <c r="AY1512" s="5" t="s">
        <v>6686</v>
      </c>
      <c r="AZ1512" s="5" t="s">
        <v>38</v>
      </c>
      <c r="BA1512" s="12"/>
      <c r="BB1512" s="12"/>
      <c r="BC1512" s="12"/>
      <c r="BD1512" s="11">
        <v>0</v>
      </c>
      <c r="BE1512" s="11">
        <v>0</v>
      </c>
    </row>
    <row x14ac:dyDescent="0.25" r="1513" customHeight="1" ht="17.25">
      <c r="A1513" s="11">
        <v>56929856</v>
      </c>
      <c r="B1513" s="4" t="s">
        <v>6687</v>
      </c>
      <c r="C1513" s="5" t="s">
        <v>520</v>
      </c>
      <c r="D1513" s="5" t="s">
        <v>521</v>
      </c>
      <c r="E1513" s="5" t="s">
        <v>6688</v>
      </c>
      <c r="F1513" s="13">
        <f>"8433916467"</f>
      </c>
      <c r="G1513" s="13">
        <f>"9788433916464"</f>
      </c>
      <c r="H1513" s="11">
        <v>0</v>
      </c>
      <c r="I1513" s="14">
        <v>3.26</v>
      </c>
      <c r="J1513" s="7" t="s">
        <v>1710</v>
      </c>
      <c r="K1513" s="5" t="s">
        <v>60</v>
      </c>
      <c r="L1513" s="11">
        <v>144</v>
      </c>
      <c r="M1513" s="11">
        <v>2020</v>
      </c>
      <c r="N1513" s="11">
        <v>2020</v>
      </c>
      <c r="O1513" s="15"/>
      <c r="P1513" s="8">
        <v>44243</v>
      </c>
      <c r="Q1513" s="8"/>
      <c r="R1513" s="8"/>
      <c r="S1513" s="8"/>
      <c r="T1513" s="8"/>
      <c r="U1513" s="8"/>
      <c r="V1513" s="8"/>
      <c r="W1513" s="8"/>
      <c r="X1513" s="8"/>
      <c r="Y1513" s="8"/>
      <c r="Z1513" s="8"/>
      <c r="AA1513" s="8"/>
      <c r="AB1513" s="8"/>
      <c r="AC1513" s="8"/>
      <c r="AD1513" s="8"/>
      <c r="AE1513" s="8"/>
      <c r="AF1513" s="8"/>
      <c r="AG1513" s="8"/>
      <c r="AH1513" s="8"/>
      <c r="AI1513" s="8"/>
      <c r="AJ1513" s="8"/>
      <c r="AK1513" s="8"/>
      <c r="AL1513" s="8"/>
      <c r="AM1513" s="8"/>
      <c r="AN1513" s="8"/>
      <c r="AO1513" s="8"/>
      <c r="AP1513" s="8"/>
      <c r="AQ1513" s="8"/>
      <c r="AR1513" s="8"/>
      <c r="AS1513" s="8"/>
      <c r="AT1513" s="8"/>
      <c r="AU1513" s="8"/>
      <c r="AV1513" s="8"/>
      <c r="AW1513" s="8"/>
      <c r="AX1513" s="4" t="s">
        <v>38</v>
      </c>
      <c r="AY1513" s="5" t="s">
        <v>6689</v>
      </c>
      <c r="AZ1513" s="5" t="s">
        <v>38</v>
      </c>
      <c r="BA1513" s="12"/>
      <c r="BB1513" s="12"/>
      <c r="BC1513" s="12"/>
      <c r="BD1513" s="11">
        <v>0</v>
      </c>
      <c r="BE1513" s="11">
        <v>0</v>
      </c>
    </row>
    <row x14ac:dyDescent="0.25" r="1514" customHeight="1" ht="17.25">
      <c r="A1514" s="11">
        <v>30233546</v>
      </c>
      <c r="B1514" s="4" t="s">
        <v>1542</v>
      </c>
      <c r="C1514" s="5" t="s">
        <v>6690</v>
      </c>
      <c r="D1514" s="5" t="s">
        <v>6691</v>
      </c>
      <c r="E1514" s="12"/>
      <c r="F1514" s="13">
        <f>""</f>
      </c>
      <c r="G1514" s="13">
        <f>""</f>
      </c>
      <c r="H1514" s="11">
        <v>0</v>
      </c>
      <c r="I1514" s="11">
        <v>5</v>
      </c>
      <c r="J1514" s="18"/>
      <c r="K1514" s="5" t="s">
        <v>90</v>
      </c>
      <c r="L1514" s="11">
        <v>78</v>
      </c>
      <c r="M1514" s="11">
        <v>2015</v>
      </c>
      <c r="N1514" s="16"/>
      <c r="O1514" s="15"/>
      <c r="P1514" s="8">
        <v>44455</v>
      </c>
      <c r="Q1514" s="8"/>
      <c r="R1514" s="8"/>
      <c r="S1514" s="8"/>
      <c r="T1514" s="8"/>
      <c r="U1514" s="8"/>
      <c r="V1514" s="8"/>
      <c r="W1514" s="8"/>
      <c r="X1514" s="8"/>
      <c r="Y1514" s="8"/>
      <c r="Z1514" s="8"/>
      <c r="AA1514" s="8"/>
      <c r="AB1514" s="8"/>
      <c r="AC1514" s="8"/>
      <c r="AD1514" s="8"/>
      <c r="AE1514" s="8"/>
      <c r="AF1514" s="8"/>
      <c r="AG1514" s="8"/>
      <c r="AH1514" s="8"/>
      <c r="AI1514" s="8"/>
      <c r="AJ1514" s="8"/>
      <c r="AK1514" s="8"/>
      <c r="AL1514" s="8"/>
      <c r="AM1514" s="8"/>
      <c r="AN1514" s="8"/>
      <c r="AO1514" s="8"/>
      <c r="AP1514" s="8"/>
      <c r="AQ1514" s="8"/>
      <c r="AR1514" s="8"/>
      <c r="AS1514" s="8"/>
      <c r="AT1514" s="8"/>
      <c r="AU1514" s="8"/>
      <c r="AV1514" s="8"/>
      <c r="AW1514" s="8"/>
      <c r="AX1514" s="4" t="s">
        <v>2566</v>
      </c>
      <c r="AY1514" s="5" t="s">
        <v>6692</v>
      </c>
      <c r="AZ1514" s="5" t="s">
        <v>38</v>
      </c>
      <c r="BA1514" s="12"/>
      <c r="BB1514" s="12"/>
      <c r="BC1514" s="12"/>
      <c r="BD1514" s="11">
        <v>0</v>
      </c>
      <c r="BE1514" s="11">
        <v>0</v>
      </c>
    </row>
    <row x14ac:dyDescent="0.25" r="1515" customHeight="1" ht="17.25">
      <c r="A1515" s="11">
        <v>793647</v>
      </c>
      <c r="B1515" s="4" t="s">
        <v>6693</v>
      </c>
      <c r="C1515" s="5" t="s">
        <v>6694</v>
      </c>
      <c r="D1515" s="5" t="s">
        <v>6695</v>
      </c>
      <c r="E1515" s="12"/>
      <c r="F1515" s="13">
        <f>"0517362457"</f>
      </c>
      <c r="G1515" s="13">
        <f>"9780517362457"</f>
      </c>
      <c r="H1515" s="11">
        <v>0</v>
      </c>
      <c r="I1515" s="14">
        <v>4.04</v>
      </c>
      <c r="J1515" s="7" t="s">
        <v>6696</v>
      </c>
      <c r="K1515" s="5" t="s">
        <v>72</v>
      </c>
      <c r="L1515" s="11">
        <v>557</v>
      </c>
      <c r="M1515" s="11">
        <v>1981</v>
      </c>
      <c r="N1515" s="11">
        <v>1959</v>
      </c>
      <c r="O1515" s="15"/>
      <c r="P1515" s="8">
        <v>43967</v>
      </c>
      <c r="Q1515" s="8"/>
      <c r="R1515" s="8"/>
      <c r="S1515" s="8"/>
      <c r="T1515" s="8"/>
      <c r="U1515" s="8"/>
      <c r="V1515" s="8"/>
      <c r="W1515" s="8"/>
      <c r="X1515" s="8"/>
      <c r="Y1515" s="8"/>
      <c r="Z1515" s="8"/>
      <c r="AA1515" s="8"/>
      <c r="AB1515" s="8"/>
      <c r="AC1515" s="8"/>
      <c r="AD1515" s="8"/>
      <c r="AE1515" s="8"/>
      <c r="AF1515" s="8"/>
      <c r="AG1515" s="8"/>
      <c r="AH1515" s="8"/>
      <c r="AI1515" s="8"/>
      <c r="AJ1515" s="8"/>
      <c r="AK1515" s="8"/>
      <c r="AL1515" s="8"/>
      <c r="AM1515" s="8"/>
      <c r="AN1515" s="8"/>
      <c r="AO1515" s="8"/>
      <c r="AP1515" s="8"/>
      <c r="AQ1515" s="8"/>
      <c r="AR1515" s="8"/>
      <c r="AS1515" s="8"/>
      <c r="AT1515" s="8"/>
      <c r="AU1515" s="8"/>
      <c r="AV1515" s="8"/>
      <c r="AW1515" s="8"/>
      <c r="AX1515" s="4" t="s">
        <v>2566</v>
      </c>
      <c r="AY1515" s="5" t="s">
        <v>6697</v>
      </c>
      <c r="AZ1515" s="5" t="s">
        <v>38</v>
      </c>
      <c r="BA1515" s="12"/>
      <c r="BB1515" s="12"/>
      <c r="BC1515" s="12"/>
      <c r="BD1515" s="11">
        <v>0</v>
      </c>
      <c r="BE1515" s="11">
        <v>0</v>
      </c>
    </row>
    <row x14ac:dyDescent="0.25" r="1516" customHeight="1" ht="17.25">
      <c r="A1516" s="11">
        <v>1117964</v>
      </c>
      <c r="B1516" s="4" t="s">
        <v>6698</v>
      </c>
      <c r="C1516" s="5" t="s">
        <v>6699</v>
      </c>
      <c r="D1516" s="5" t="s">
        <v>6700</v>
      </c>
      <c r="E1516" s="12"/>
      <c r="F1516" s="13">
        <f>"0140080295"</f>
      </c>
      <c r="G1516" s="13">
        <f>"9780140080292"</f>
      </c>
      <c r="H1516" s="11">
        <v>0</v>
      </c>
      <c r="I1516" s="14">
        <v>3.99</v>
      </c>
      <c r="J1516" s="7" t="s">
        <v>491</v>
      </c>
      <c r="K1516" s="5" t="s">
        <v>60</v>
      </c>
      <c r="L1516" s="11">
        <v>229</v>
      </c>
      <c r="M1516" s="11">
        <v>1987</v>
      </c>
      <c r="N1516" s="11">
        <v>1968</v>
      </c>
      <c r="O1516" s="15"/>
      <c r="P1516" s="9">
        <v>41601</v>
      </c>
      <c r="Q1516" s="9"/>
      <c r="R1516" s="9"/>
      <c r="S1516" s="9"/>
      <c r="T1516" s="9"/>
      <c r="U1516" s="9"/>
      <c r="V1516" s="9"/>
      <c r="W1516" s="9"/>
      <c r="X1516" s="9"/>
      <c r="Y1516" s="9"/>
      <c r="Z1516" s="9"/>
      <c r="AA1516" s="9"/>
      <c r="AB1516" s="9"/>
      <c r="AC1516" s="9"/>
      <c r="AD1516" s="9"/>
      <c r="AE1516" s="9"/>
      <c r="AF1516" s="9"/>
      <c r="AG1516" s="9"/>
      <c r="AH1516" s="9"/>
      <c r="AI1516" s="9"/>
      <c r="AJ1516" s="9"/>
      <c r="AK1516" s="9"/>
      <c r="AL1516" s="9"/>
      <c r="AM1516" s="9"/>
      <c r="AN1516" s="9"/>
      <c r="AO1516" s="9"/>
      <c r="AP1516" s="9"/>
      <c r="AQ1516" s="9"/>
      <c r="AR1516" s="9"/>
      <c r="AS1516" s="9"/>
      <c r="AT1516" s="9"/>
      <c r="AU1516" s="9"/>
      <c r="AV1516" s="9"/>
      <c r="AW1516" s="9"/>
      <c r="AX1516" s="4" t="s">
        <v>2566</v>
      </c>
      <c r="AY1516" s="5" t="s">
        <v>6701</v>
      </c>
      <c r="AZ1516" s="5" t="s">
        <v>38</v>
      </c>
      <c r="BA1516" s="12"/>
      <c r="BB1516" s="12"/>
      <c r="BC1516" s="12"/>
      <c r="BD1516" s="11">
        <v>0</v>
      </c>
      <c r="BE1516" s="11">
        <v>0</v>
      </c>
    </row>
    <row x14ac:dyDescent="0.25" r="1517" customHeight="1" ht="17.25">
      <c r="A1517" s="11">
        <v>25893849</v>
      </c>
      <c r="B1517" s="4" t="s">
        <v>6702</v>
      </c>
      <c r="C1517" s="5" t="s">
        <v>6703</v>
      </c>
      <c r="D1517" s="5" t="s">
        <v>6704</v>
      </c>
      <c r="E1517" s="5" t="s">
        <v>6705</v>
      </c>
      <c r="F1517" s="13">
        <f>"1784783048"</f>
      </c>
      <c r="G1517" s="13">
        <f>"9781784783044"</f>
      </c>
      <c r="H1517" s="11">
        <v>0</v>
      </c>
      <c r="I1517" s="14">
        <v>3.66</v>
      </c>
      <c r="J1517" s="7" t="s">
        <v>2001</v>
      </c>
      <c r="K1517" s="5" t="s">
        <v>60</v>
      </c>
      <c r="L1517" s="11">
        <v>240</v>
      </c>
      <c r="M1517" s="11">
        <v>2016</v>
      </c>
      <c r="N1517" s="11">
        <v>2016</v>
      </c>
      <c r="O1517" s="15"/>
      <c r="P1517" s="8">
        <v>45098</v>
      </c>
      <c r="Q1517" s="8"/>
      <c r="R1517" s="8"/>
      <c r="S1517" s="8"/>
      <c r="T1517" s="8"/>
      <c r="U1517" s="8"/>
      <c r="V1517" s="8"/>
      <c r="W1517" s="8"/>
      <c r="X1517" s="8"/>
      <c r="Y1517" s="8"/>
      <c r="Z1517" s="8"/>
      <c r="AA1517" s="8"/>
      <c r="AB1517" s="8"/>
      <c r="AC1517" s="8"/>
      <c r="AD1517" s="8"/>
      <c r="AE1517" s="8"/>
      <c r="AF1517" s="8"/>
      <c r="AG1517" s="8"/>
      <c r="AH1517" s="8"/>
      <c r="AI1517" s="8"/>
      <c r="AJ1517" s="8"/>
      <c r="AK1517" s="8"/>
      <c r="AL1517" s="8"/>
      <c r="AM1517" s="8"/>
      <c r="AN1517" s="8"/>
      <c r="AO1517" s="8"/>
      <c r="AP1517" s="8"/>
      <c r="AQ1517" s="8"/>
      <c r="AR1517" s="8"/>
      <c r="AS1517" s="8"/>
      <c r="AT1517" s="8"/>
      <c r="AU1517" s="8"/>
      <c r="AV1517" s="8"/>
      <c r="AW1517" s="8"/>
      <c r="AX1517" s="4" t="s">
        <v>38</v>
      </c>
      <c r="AY1517" s="5" t="s">
        <v>6706</v>
      </c>
      <c r="AZ1517" s="5" t="s">
        <v>38</v>
      </c>
      <c r="BA1517" s="12"/>
      <c r="BB1517" s="12"/>
      <c r="BC1517" s="12"/>
      <c r="BD1517" s="11">
        <v>0</v>
      </c>
      <c r="BE1517" s="11">
        <v>0</v>
      </c>
    </row>
    <row x14ac:dyDescent="0.25" r="1518" customHeight="1" ht="17.25">
      <c r="A1518" s="11">
        <v>15797986</v>
      </c>
      <c r="B1518" s="4" t="s">
        <v>6707</v>
      </c>
      <c r="C1518" s="5" t="s">
        <v>6708</v>
      </c>
      <c r="D1518" s="5" t="s">
        <v>6709</v>
      </c>
      <c r="E1518" s="5" t="s">
        <v>6710</v>
      </c>
      <c r="F1518" s="13">
        <f>"1612191940"</f>
      </c>
      <c r="G1518" s="13">
        <f>"9781612191942"</f>
      </c>
      <c r="H1518" s="11">
        <v>0</v>
      </c>
      <c r="I1518" s="14">
        <v>3.56</v>
      </c>
      <c r="J1518" s="7" t="s">
        <v>1737</v>
      </c>
      <c r="K1518" s="5" t="s">
        <v>60</v>
      </c>
      <c r="L1518" s="11">
        <v>162</v>
      </c>
      <c r="M1518" s="11">
        <v>2013</v>
      </c>
      <c r="N1518" s="11">
        <v>1902</v>
      </c>
      <c r="O1518" s="15"/>
      <c r="P1518" s="8">
        <v>42603</v>
      </c>
      <c r="Q1518" s="8"/>
      <c r="R1518" s="8"/>
      <c r="S1518" s="8"/>
      <c r="T1518" s="8"/>
      <c r="U1518" s="8"/>
      <c r="V1518" s="8"/>
      <c r="W1518" s="8"/>
      <c r="X1518" s="8"/>
      <c r="Y1518" s="8"/>
      <c r="Z1518" s="8"/>
      <c r="AA1518" s="8"/>
      <c r="AB1518" s="8"/>
      <c r="AC1518" s="8"/>
      <c r="AD1518" s="8"/>
      <c r="AE1518" s="8"/>
      <c r="AF1518" s="8"/>
      <c r="AG1518" s="8"/>
      <c r="AH1518" s="8"/>
      <c r="AI1518" s="8"/>
      <c r="AJ1518" s="8"/>
      <c r="AK1518" s="8"/>
      <c r="AL1518" s="8"/>
      <c r="AM1518" s="8"/>
      <c r="AN1518" s="8"/>
      <c r="AO1518" s="8"/>
      <c r="AP1518" s="8"/>
      <c r="AQ1518" s="8"/>
      <c r="AR1518" s="8"/>
      <c r="AS1518" s="8"/>
      <c r="AT1518" s="8"/>
      <c r="AU1518" s="8"/>
      <c r="AV1518" s="8"/>
      <c r="AW1518" s="8"/>
      <c r="AX1518" s="4" t="s">
        <v>38</v>
      </c>
      <c r="AY1518" s="5" t="s">
        <v>6711</v>
      </c>
      <c r="AZ1518" s="5" t="s">
        <v>38</v>
      </c>
      <c r="BA1518" s="12"/>
      <c r="BB1518" s="12"/>
      <c r="BC1518" s="12"/>
      <c r="BD1518" s="11">
        <v>0</v>
      </c>
      <c r="BE1518" s="11">
        <v>0</v>
      </c>
    </row>
    <row x14ac:dyDescent="0.25" r="1519" customHeight="1" ht="17.25">
      <c r="A1519" s="11">
        <v>6976853</v>
      </c>
      <c r="B1519" s="4" t="s">
        <v>6712</v>
      </c>
      <c r="C1519" s="5" t="s">
        <v>5544</v>
      </c>
      <c r="D1519" s="5" t="s">
        <v>5545</v>
      </c>
      <c r="E1519" s="5" t="s">
        <v>6713</v>
      </c>
      <c r="F1519" s="13">
        <f>"1844674193"</f>
      </c>
      <c r="G1519" s="13">
        <f>"9781844674190"</f>
      </c>
      <c r="H1519" s="11">
        <v>3</v>
      </c>
      <c r="I1519" s="14">
        <v>3.84</v>
      </c>
      <c r="J1519" s="7" t="s">
        <v>2001</v>
      </c>
      <c r="K1519" s="5" t="s">
        <v>72</v>
      </c>
      <c r="L1519" s="11">
        <v>96</v>
      </c>
      <c r="M1519" s="11">
        <v>2011</v>
      </c>
      <c r="N1519" s="11">
        <v>1968</v>
      </c>
      <c r="O1519" s="15"/>
      <c r="P1519" s="8">
        <v>43914</v>
      </c>
      <c r="Q1519" s="8"/>
      <c r="R1519" s="8"/>
      <c r="S1519" s="8"/>
      <c r="T1519" s="8"/>
      <c r="U1519" s="8"/>
      <c r="V1519" s="8"/>
      <c r="W1519" s="8"/>
      <c r="X1519" s="8"/>
      <c r="Y1519" s="8"/>
      <c r="Z1519" s="8"/>
      <c r="AA1519" s="8"/>
      <c r="AB1519" s="8"/>
      <c r="AC1519" s="8"/>
      <c r="AD1519" s="8"/>
      <c r="AE1519" s="8"/>
      <c r="AF1519" s="8"/>
      <c r="AG1519" s="8"/>
      <c r="AH1519" s="8"/>
      <c r="AI1519" s="8"/>
      <c r="AJ1519" s="8"/>
      <c r="AK1519" s="8"/>
      <c r="AL1519" s="8"/>
      <c r="AM1519" s="8"/>
      <c r="AN1519" s="8"/>
      <c r="AO1519" s="8"/>
      <c r="AP1519" s="8"/>
      <c r="AQ1519" s="8"/>
      <c r="AR1519" s="8"/>
      <c r="AS1519" s="8"/>
      <c r="AT1519" s="8"/>
      <c r="AU1519" s="8"/>
      <c r="AV1519" s="8"/>
      <c r="AW1519" s="8"/>
      <c r="AX1519" s="16"/>
      <c r="AY1519" s="12"/>
      <c r="AZ1519" s="5" t="s">
        <v>158</v>
      </c>
      <c r="BA1519" s="12"/>
      <c r="BB1519" s="12"/>
      <c r="BC1519" s="12"/>
      <c r="BD1519" s="11">
        <v>1</v>
      </c>
      <c r="BE1519" s="11">
        <v>0</v>
      </c>
    </row>
    <row x14ac:dyDescent="0.25" r="1520" customHeight="1" ht="17.25">
      <c r="A1520" s="11">
        <v>12543</v>
      </c>
      <c r="B1520" s="4" t="s">
        <v>6714</v>
      </c>
      <c r="C1520" s="5" t="s">
        <v>6715</v>
      </c>
      <c r="D1520" s="5" t="s">
        <v>6716</v>
      </c>
      <c r="E1520" s="12"/>
      <c r="F1520" s="13">
        <f>""</f>
      </c>
      <c r="G1520" s="13">
        <f>""</f>
      </c>
      <c r="H1520" s="11">
        <v>0</v>
      </c>
      <c r="I1520" s="14">
        <v>4.24</v>
      </c>
      <c r="J1520" s="7" t="s">
        <v>2044</v>
      </c>
      <c r="K1520" s="5" t="s">
        <v>60</v>
      </c>
      <c r="L1520" s="11">
        <v>237</v>
      </c>
      <c r="M1520" s="11">
        <v>1995</v>
      </c>
      <c r="N1520" s="11">
        <v>1994</v>
      </c>
      <c r="O1520" s="15"/>
      <c r="P1520" s="8">
        <v>43919</v>
      </c>
      <c r="Q1520" s="8"/>
      <c r="R1520" s="8"/>
      <c r="S1520" s="8"/>
      <c r="T1520" s="8"/>
      <c r="U1520" s="8"/>
      <c r="V1520" s="8"/>
      <c r="W1520" s="8"/>
      <c r="X1520" s="8"/>
      <c r="Y1520" s="8"/>
      <c r="Z1520" s="8"/>
      <c r="AA1520" s="8"/>
      <c r="AB1520" s="8"/>
      <c r="AC1520" s="8"/>
      <c r="AD1520" s="8"/>
      <c r="AE1520" s="8"/>
      <c r="AF1520" s="8"/>
      <c r="AG1520" s="8"/>
      <c r="AH1520" s="8"/>
      <c r="AI1520" s="8"/>
      <c r="AJ1520" s="8"/>
      <c r="AK1520" s="8"/>
      <c r="AL1520" s="8"/>
      <c r="AM1520" s="8"/>
      <c r="AN1520" s="8"/>
      <c r="AO1520" s="8"/>
      <c r="AP1520" s="8"/>
      <c r="AQ1520" s="8"/>
      <c r="AR1520" s="8"/>
      <c r="AS1520" s="8"/>
      <c r="AT1520" s="8"/>
      <c r="AU1520" s="8"/>
      <c r="AV1520" s="8"/>
      <c r="AW1520" s="8"/>
      <c r="AX1520" s="4" t="s">
        <v>38</v>
      </c>
      <c r="AY1520" s="5" t="s">
        <v>6717</v>
      </c>
      <c r="AZ1520" s="5" t="s">
        <v>38</v>
      </c>
      <c r="BA1520" s="12"/>
      <c r="BB1520" s="12"/>
      <c r="BC1520" s="12"/>
      <c r="BD1520" s="11">
        <v>0</v>
      </c>
      <c r="BE1520" s="11">
        <v>0</v>
      </c>
    </row>
    <row x14ac:dyDescent="0.25" r="1521" customHeight="1" ht="17.25">
      <c r="A1521" s="11">
        <v>418209</v>
      </c>
      <c r="B1521" s="4" t="s">
        <v>6718</v>
      </c>
      <c r="C1521" s="5" t="s">
        <v>3884</v>
      </c>
      <c r="D1521" s="5" t="s">
        <v>3885</v>
      </c>
      <c r="E1521" s="12"/>
      <c r="F1521" s="13">
        <f>"0679723439"</f>
      </c>
      <c r="G1521" s="13">
        <f>"9780679723431"</f>
      </c>
      <c r="H1521" s="11">
        <v>0</v>
      </c>
      <c r="I1521" s="14">
        <v>3.92</v>
      </c>
      <c r="J1521" s="7" t="s">
        <v>114</v>
      </c>
      <c r="K1521" s="5" t="s">
        <v>60</v>
      </c>
      <c r="L1521" s="11">
        <v>212</v>
      </c>
      <c r="M1521" s="11">
        <v>1989</v>
      </c>
      <c r="N1521" s="11">
        <v>1934</v>
      </c>
      <c r="O1521" s="15"/>
      <c r="P1521" s="8">
        <v>45078</v>
      </c>
      <c r="Q1521" s="8"/>
      <c r="R1521" s="8"/>
      <c r="S1521" s="8"/>
      <c r="T1521" s="8"/>
      <c r="U1521" s="8"/>
      <c r="V1521" s="8"/>
      <c r="W1521" s="8"/>
      <c r="X1521" s="8"/>
      <c r="Y1521" s="8"/>
      <c r="Z1521" s="8"/>
      <c r="AA1521" s="8"/>
      <c r="AB1521" s="8"/>
      <c r="AC1521" s="8"/>
      <c r="AD1521" s="8"/>
      <c r="AE1521" s="8"/>
      <c r="AF1521" s="8"/>
      <c r="AG1521" s="8"/>
      <c r="AH1521" s="8"/>
      <c r="AI1521" s="8"/>
      <c r="AJ1521" s="8"/>
      <c r="AK1521" s="8"/>
      <c r="AL1521" s="8"/>
      <c r="AM1521" s="8"/>
      <c r="AN1521" s="8"/>
      <c r="AO1521" s="8"/>
      <c r="AP1521" s="8"/>
      <c r="AQ1521" s="8"/>
      <c r="AR1521" s="8"/>
      <c r="AS1521" s="8"/>
      <c r="AT1521" s="8"/>
      <c r="AU1521" s="8"/>
      <c r="AV1521" s="8"/>
      <c r="AW1521" s="8"/>
      <c r="AX1521" s="4" t="s">
        <v>38</v>
      </c>
      <c r="AY1521" s="5" t="s">
        <v>6719</v>
      </c>
      <c r="AZ1521" s="5" t="s">
        <v>38</v>
      </c>
      <c r="BA1521" s="12"/>
      <c r="BB1521" s="12"/>
      <c r="BC1521" s="12"/>
      <c r="BD1521" s="11">
        <v>0</v>
      </c>
      <c r="BE1521" s="11">
        <v>0</v>
      </c>
    </row>
    <row x14ac:dyDescent="0.25" r="1522" customHeight="1" ht="17.25">
      <c r="A1522" s="11">
        <v>7805</v>
      </c>
      <c r="B1522" s="4" t="s">
        <v>6720</v>
      </c>
      <c r="C1522" s="5" t="s">
        <v>3884</v>
      </c>
      <c r="D1522" s="5" t="s">
        <v>3885</v>
      </c>
      <c r="E1522" s="12"/>
      <c r="F1522" s="13">
        <f>""</f>
      </c>
      <c r="G1522" s="13">
        <f>""</f>
      </c>
      <c r="H1522" s="11">
        <v>0</v>
      </c>
      <c r="I1522" s="14">
        <v>4.16</v>
      </c>
      <c r="J1522" s="7" t="s">
        <v>150</v>
      </c>
      <c r="K1522" s="5" t="s">
        <v>60</v>
      </c>
      <c r="L1522" s="11">
        <v>246</v>
      </c>
      <c r="M1522" s="11">
        <v>2000</v>
      </c>
      <c r="N1522" s="11">
        <v>1962</v>
      </c>
      <c r="O1522" s="15"/>
      <c r="P1522" s="8">
        <v>45080</v>
      </c>
      <c r="Q1522" s="8"/>
      <c r="R1522" s="8"/>
      <c r="S1522" s="8"/>
      <c r="T1522" s="8"/>
      <c r="U1522" s="8"/>
      <c r="V1522" s="8"/>
      <c r="W1522" s="8"/>
      <c r="X1522" s="8"/>
      <c r="Y1522" s="8"/>
      <c r="Z1522" s="8"/>
      <c r="AA1522" s="8"/>
      <c r="AB1522" s="8"/>
      <c r="AC1522" s="8"/>
      <c r="AD1522" s="8"/>
      <c r="AE1522" s="8"/>
      <c r="AF1522" s="8"/>
      <c r="AG1522" s="8"/>
      <c r="AH1522" s="8"/>
      <c r="AI1522" s="8"/>
      <c r="AJ1522" s="8"/>
      <c r="AK1522" s="8"/>
      <c r="AL1522" s="8"/>
      <c r="AM1522" s="8"/>
      <c r="AN1522" s="8"/>
      <c r="AO1522" s="8"/>
      <c r="AP1522" s="8"/>
      <c r="AQ1522" s="8"/>
      <c r="AR1522" s="8"/>
      <c r="AS1522" s="8"/>
      <c r="AT1522" s="8"/>
      <c r="AU1522" s="8"/>
      <c r="AV1522" s="8"/>
      <c r="AW1522" s="8"/>
      <c r="AX1522" s="4" t="s">
        <v>38</v>
      </c>
      <c r="AY1522" s="5" t="s">
        <v>6721</v>
      </c>
      <c r="AZ1522" s="5" t="s">
        <v>38</v>
      </c>
      <c r="BA1522" s="12"/>
      <c r="BB1522" s="12"/>
      <c r="BC1522" s="12"/>
      <c r="BD1522" s="11">
        <v>0</v>
      </c>
      <c r="BE1522" s="11">
        <v>0</v>
      </c>
    </row>
    <row x14ac:dyDescent="0.25" r="1523" customHeight="1" ht="17.25">
      <c r="A1523" s="11">
        <v>40113187</v>
      </c>
      <c r="B1523" s="4" t="s">
        <v>6722</v>
      </c>
      <c r="C1523" s="5" t="s">
        <v>5912</v>
      </c>
      <c r="D1523" s="5" t="s">
        <v>5913</v>
      </c>
      <c r="E1523" s="5" t="s">
        <v>6723</v>
      </c>
      <c r="F1523" s="13">
        <f>"157281912X"</f>
      </c>
      <c r="G1523" s="13">
        <f>"9781572819122"</f>
      </c>
      <c r="H1523" s="11">
        <v>0</v>
      </c>
      <c r="I1523" s="14">
        <v>4.36</v>
      </c>
      <c r="J1523" s="7" t="s">
        <v>6724</v>
      </c>
      <c r="K1523" s="5" t="s">
        <v>72</v>
      </c>
      <c r="L1523" s="11">
        <v>440</v>
      </c>
      <c r="M1523" s="11">
        <v>2018</v>
      </c>
      <c r="N1523" s="16"/>
      <c r="O1523" s="15"/>
      <c r="P1523" s="8">
        <v>45087</v>
      </c>
      <c r="Q1523" s="8"/>
      <c r="R1523" s="8"/>
      <c r="S1523" s="8"/>
      <c r="T1523" s="8"/>
      <c r="U1523" s="8"/>
      <c r="V1523" s="8"/>
      <c r="W1523" s="8"/>
      <c r="X1523" s="8"/>
      <c r="Y1523" s="8"/>
      <c r="Z1523" s="8"/>
      <c r="AA1523" s="8"/>
      <c r="AB1523" s="8"/>
      <c r="AC1523" s="8"/>
      <c r="AD1523" s="8"/>
      <c r="AE1523" s="8"/>
      <c r="AF1523" s="8"/>
      <c r="AG1523" s="8"/>
      <c r="AH1523" s="8"/>
      <c r="AI1523" s="8"/>
      <c r="AJ1523" s="8"/>
      <c r="AK1523" s="8"/>
      <c r="AL1523" s="8"/>
      <c r="AM1523" s="8"/>
      <c r="AN1523" s="8"/>
      <c r="AO1523" s="8"/>
      <c r="AP1523" s="8"/>
      <c r="AQ1523" s="8"/>
      <c r="AR1523" s="8"/>
      <c r="AS1523" s="8"/>
      <c r="AT1523" s="8"/>
      <c r="AU1523" s="8"/>
      <c r="AV1523" s="8"/>
      <c r="AW1523" s="8"/>
      <c r="AX1523" s="4" t="s">
        <v>1049</v>
      </c>
      <c r="AY1523" s="5" t="s">
        <v>6725</v>
      </c>
      <c r="AZ1523" s="5" t="s">
        <v>38</v>
      </c>
      <c r="BA1523" s="12"/>
      <c r="BB1523" s="12"/>
      <c r="BC1523" s="12"/>
      <c r="BD1523" s="11">
        <v>0</v>
      </c>
      <c r="BE1523" s="11">
        <v>0</v>
      </c>
    </row>
    <row x14ac:dyDescent="0.25" r="1524" customHeight="1" ht="17.25">
      <c r="A1524" s="11">
        <v>1189914</v>
      </c>
      <c r="B1524" s="4" t="s">
        <v>6726</v>
      </c>
      <c r="C1524" s="5" t="s">
        <v>6727</v>
      </c>
      <c r="D1524" s="5" t="s">
        <v>6728</v>
      </c>
      <c r="E1524" s="12"/>
      <c r="F1524" s="13">
        <f>"0349106576"</f>
      </c>
      <c r="G1524" s="13">
        <f>"9780349106571"</f>
      </c>
      <c r="H1524" s="11">
        <v>0</v>
      </c>
      <c r="I1524" s="14">
        <v>3.84</v>
      </c>
      <c r="J1524" s="7" t="s">
        <v>6729</v>
      </c>
      <c r="K1524" s="5" t="s">
        <v>60</v>
      </c>
      <c r="L1524" s="11">
        <v>186</v>
      </c>
      <c r="M1524" s="11">
        <v>1997</v>
      </c>
      <c r="N1524" s="11">
        <v>1948</v>
      </c>
      <c r="O1524" s="8">
        <v>41763</v>
      </c>
      <c r="P1524" s="8">
        <v>41746</v>
      </c>
      <c r="Q1524" s="8"/>
      <c r="R1524" s="8"/>
      <c r="S1524" s="8"/>
      <c r="T1524" s="8"/>
      <c r="U1524" s="8"/>
      <c r="V1524" s="8"/>
      <c r="W1524" s="8"/>
      <c r="X1524" s="8"/>
      <c r="Y1524" s="8"/>
      <c r="Z1524" s="8"/>
      <c r="AA1524" s="8"/>
      <c r="AB1524" s="8"/>
      <c r="AC1524" s="8"/>
      <c r="AD1524" s="8"/>
      <c r="AE1524" s="8"/>
      <c r="AF1524" s="8"/>
      <c r="AG1524" s="8"/>
      <c r="AH1524" s="8"/>
      <c r="AI1524" s="8"/>
      <c r="AJ1524" s="8"/>
      <c r="AK1524" s="8"/>
      <c r="AL1524" s="8"/>
      <c r="AM1524" s="8"/>
      <c r="AN1524" s="8"/>
      <c r="AO1524" s="8"/>
      <c r="AP1524" s="8"/>
      <c r="AQ1524" s="8"/>
      <c r="AR1524" s="8"/>
      <c r="AS1524" s="8"/>
      <c r="AT1524" s="8"/>
      <c r="AU1524" s="8"/>
      <c r="AV1524" s="8"/>
      <c r="AW1524" s="8"/>
      <c r="AX1524" s="16"/>
      <c r="AY1524" s="12"/>
      <c r="AZ1524" s="5" t="s">
        <v>158</v>
      </c>
      <c r="BA1524" s="12"/>
      <c r="BB1524" s="12"/>
      <c r="BC1524" s="12"/>
      <c r="BD1524" s="11">
        <v>1</v>
      </c>
      <c r="BE1524" s="11">
        <v>0</v>
      </c>
    </row>
    <row x14ac:dyDescent="0.25" r="1525" customHeight="1" ht="17.25">
      <c r="A1525" s="11">
        <v>12948</v>
      </c>
      <c r="B1525" s="4" t="s">
        <v>6730</v>
      </c>
      <c r="C1525" s="5" t="s">
        <v>6731</v>
      </c>
      <c r="D1525" s="5" t="s">
        <v>6732</v>
      </c>
      <c r="E1525" s="12"/>
      <c r="F1525" s="13">
        <f>"0140620613"</f>
      </c>
      <c r="G1525" s="13">
        <f>"9780140620610"</f>
      </c>
      <c r="H1525" s="11">
        <v>0</v>
      </c>
      <c r="I1525" s="14">
        <v>3.39</v>
      </c>
      <c r="J1525" s="7" t="s">
        <v>182</v>
      </c>
      <c r="K1525" s="5" t="s">
        <v>346</v>
      </c>
      <c r="L1525" s="11">
        <v>121</v>
      </c>
      <c r="M1525" s="11">
        <v>1994</v>
      </c>
      <c r="N1525" s="11">
        <v>1898</v>
      </c>
      <c r="O1525" s="15"/>
      <c r="P1525" s="8">
        <v>41341</v>
      </c>
      <c r="Q1525" s="8"/>
      <c r="R1525" s="8"/>
      <c r="S1525" s="8"/>
      <c r="T1525" s="8"/>
      <c r="U1525" s="8"/>
      <c r="V1525" s="8"/>
      <c r="W1525" s="8"/>
      <c r="X1525" s="8"/>
      <c r="Y1525" s="8"/>
      <c r="Z1525" s="8"/>
      <c r="AA1525" s="8"/>
      <c r="AB1525" s="8"/>
      <c r="AC1525" s="8"/>
      <c r="AD1525" s="8"/>
      <c r="AE1525" s="8"/>
      <c r="AF1525" s="8"/>
      <c r="AG1525" s="8"/>
      <c r="AH1525" s="8"/>
      <c r="AI1525" s="8"/>
      <c r="AJ1525" s="8"/>
      <c r="AK1525" s="8"/>
      <c r="AL1525" s="8"/>
      <c r="AM1525" s="8"/>
      <c r="AN1525" s="8"/>
      <c r="AO1525" s="8"/>
      <c r="AP1525" s="8"/>
      <c r="AQ1525" s="8"/>
      <c r="AR1525" s="8"/>
      <c r="AS1525" s="8"/>
      <c r="AT1525" s="8"/>
      <c r="AU1525" s="8"/>
      <c r="AV1525" s="8"/>
      <c r="AW1525" s="8"/>
      <c r="AX1525" s="4" t="s">
        <v>38</v>
      </c>
      <c r="AY1525" s="5" t="s">
        <v>6733</v>
      </c>
      <c r="AZ1525" s="5" t="s">
        <v>38</v>
      </c>
      <c r="BA1525" s="12"/>
      <c r="BB1525" s="12"/>
      <c r="BC1525" s="12"/>
      <c r="BD1525" s="11">
        <v>0</v>
      </c>
      <c r="BE1525" s="11">
        <v>0</v>
      </c>
    </row>
    <row x14ac:dyDescent="0.25" r="1526" customHeight="1" ht="17.25">
      <c r="A1526" s="11">
        <v>398337</v>
      </c>
      <c r="B1526" s="4" t="s">
        <v>6734</v>
      </c>
      <c r="C1526" s="5" t="s">
        <v>6735</v>
      </c>
      <c r="D1526" s="5" t="s">
        <v>6736</v>
      </c>
      <c r="E1526" s="5" t="s">
        <v>6737</v>
      </c>
      <c r="F1526" s="13">
        <f>"1904634176"</f>
      </c>
      <c r="G1526" s="13">
        <f>"9781904634171"</f>
      </c>
      <c r="H1526" s="11">
        <v>0</v>
      </c>
      <c r="I1526" s="14">
        <v>4.15</v>
      </c>
      <c r="J1526" s="7" t="s">
        <v>6738</v>
      </c>
      <c r="K1526" s="5" t="s">
        <v>72</v>
      </c>
      <c r="L1526" s="11">
        <v>144</v>
      </c>
      <c r="M1526" s="11">
        <v>2005</v>
      </c>
      <c r="N1526" s="11">
        <v>1945</v>
      </c>
      <c r="O1526" s="15"/>
      <c r="P1526" s="8">
        <v>43952</v>
      </c>
      <c r="Q1526" s="8"/>
      <c r="R1526" s="8"/>
      <c r="S1526" s="8"/>
      <c r="T1526" s="8"/>
      <c r="U1526" s="8"/>
      <c r="V1526" s="8"/>
      <c r="W1526" s="8"/>
      <c r="X1526" s="8"/>
      <c r="Y1526" s="8"/>
      <c r="Z1526" s="8"/>
      <c r="AA1526" s="8"/>
      <c r="AB1526" s="8"/>
      <c r="AC1526" s="8"/>
      <c r="AD1526" s="8"/>
      <c r="AE1526" s="8"/>
      <c r="AF1526" s="8"/>
      <c r="AG1526" s="8"/>
      <c r="AH1526" s="8"/>
      <c r="AI1526" s="8"/>
      <c r="AJ1526" s="8"/>
      <c r="AK1526" s="8"/>
      <c r="AL1526" s="8"/>
      <c r="AM1526" s="8"/>
      <c r="AN1526" s="8"/>
      <c r="AO1526" s="8"/>
      <c r="AP1526" s="8"/>
      <c r="AQ1526" s="8"/>
      <c r="AR1526" s="8"/>
      <c r="AS1526" s="8"/>
      <c r="AT1526" s="8"/>
      <c r="AU1526" s="8"/>
      <c r="AV1526" s="8"/>
      <c r="AW1526" s="8"/>
      <c r="AX1526" s="4" t="s">
        <v>38</v>
      </c>
      <c r="AY1526" s="5" t="s">
        <v>6739</v>
      </c>
      <c r="AZ1526" s="5" t="s">
        <v>38</v>
      </c>
      <c r="BA1526" s="12"/>
      <c r="BB1526" s="12"/>
      <c r="BC1526" s="12"/>
      <c r="BD1526" s="11">
        <v>0</v>
      </c>
      <c r="BE1526" s="11">
        <v>0</v>
      </c>
    </row>
    <row x14ac:dyDescent="0.25" r="1527" customHeight="1" ht="17.25">
      <c r="A1527" s="11">
        <v>13422780</v>
      </c>
      <c r="B1527" s="4" t="s">
        <v>6740</v>
      </c>
      <c r="C1527" s="5" t="s">
        <v>6741</v>
      </c>
      <c r="D1527" s="5" t="s">
        <v>6742</v>
      </c>
      <c r="E1527" s="12"/>
      <c r="F1527" s="13">
        <f>""</f>
      </c>
      <c r="G1527" s="13">
        <f>""</f>
      </c>
      <c r="H1527" s="11">
        <v>0</v>
      </c>
      <c r="I1527" s="14">
        <v>4.5</v>
      </c>
      <c r="J1527" s="18"/>
      <c r="K1527" s="5" t="s">
        <v>60</v>
      </c>
      <c r="L1527" s="11">
        <v>272</v>
      </c>
      <c r="M1527" s="11">
        <v>1916</v>
      </c>
      <c r="N1527" s="16"/>
      <c r="O1527" s="15"/>
      <c r="P1527" s="8">
        <v>44206</v>
      </c>
      <c r="Q1527" s="8"/>
      <c r="R1527" s="8"/>
      <c r="S1527" s="8"/>
      <c r="T1527" s="8"/>
      <c r="U1527" s="8"/>
      <c r="V1527" s="8"/>
      <c r="W1527" s="8"/>
      <c r="X1527" s="8"/>
      <c r="Y1527" s="8"/>
      <c r="Z1527" s="8"/>
      <c r="AA1527" s="8"/>
      <c r="AB1527" s="8"/>
      <c r="AC1527" s="8"/>
      <c r="AD1527" s="8"/>
      <c r="AE1527" s="8"/>
      <c r="AF1527" s="8"/>
      <c r="AG1527" s="8"/>
      <c r="AH1527" s="8"/>
      <c r="AI1527" s="8"/>
      <c r="AJ1527" s="8"/>
      <c r="AK1527" s="8"/>
      <c r="AL1527" s="8"/>
      <c r="AM1527" s="8"/>
      <c r="AN1527" s="8"/>
      <c r="AO1527" s="8"/>
      <c r="AP1527" s="8"/>
      <c r="AQ1527" s="8"/>
      <c r="AR1527" s="8"/>
      <c r="AS1527" s="8"/>
      <c r="AT1527" s="8"/>
      <c r="AU1527" s="8"/>
      <c r="AV1527" s="8"/>
      <c r="AW1527" s="8"/>
      <c r="AX1527" s="4" t="s">
        <v>38</v>
      </c>
      <c r="AY1527" s="5" t="s">
        <v>6743</v>
      </c>
      <c r="AZ1527" s="5" t="s">
        <v>38</v>
      </c>
      <c r="BA1527" s="12"/>
      <c r="BB1527" s="12"/>
      <c r="BC1527" s="12"/>
      <c r="BD1527" s="11">
        <v>0</v>
      </c>
      <c r="BE1527" s="11">
        <v>0</v>
      </c>
    </row>
    <row x14ac:dyDescent="0.25" r="1528" customHeight="1" ht="17.25">
      <c r="A1528" s="11">
        <v>22056496</v>
      </c>
      <c r="B1528" s="4" t="s">
        <v>6744</v>
      </c>
      <c r="C1528" s="5" t="s">
        <v>1169</v>
      </c>
      <c r="D1528" s="5" t="s">
        <v>1170</v>
      </c>
      <c r="E1528" s="5" t="s">
        <v>6745</v>
      </c>
      <c r="F1528" s="13">
        <f>"1590177673"</f>
      </c>
      <c r="G1528" s="13">
        <f>"9781590177679"</f>
      </c>
      <c r="H1528" s="11">
        <v>0</v>
      </c>
      <c r="I1528" s="14">
        <v>3.92</v>
      </c>
      <c r="J1528" s="7" t="s">
        <v>108</v>
      </c>
      <c r="K1528" s="5" t="s">
        <v>60</v>
      </c>
      <c r="L1528" s="11">
        <v>354</v>
      </c>
      <c r="M1528" s="11">
        <v>2015</v>
      </c>
      <c r="N1528" s="11">
        <v>1988</v>
      </c>
      <c r="O1528" s="15"/>
      <c r="P1528" s="8">
        <v>45078</v>
      </c>
      <c r="Q1528" s="8"/>
      <c r="R1528" s="8"/>
      <c r="S1528" s="8"/>
      <c r="T1528" s="8"/>
      <c r="U1528" s="8"/>
      <c r="V1528" s="8"/>
      <c r="W1528" s="8"/>
      <c r="X1528" s="8"/>
      <c r="Y1528" s="8"/>
      <c r="Z1528" s="8"/>
      <c r="AA1528" s="8"/>
      <c r="AB1528" s="8"/>
      <c r="AC1528" s="8"/>
      <c r="AD1528" s="8"/>
      <c r="AE1528" s="8"/>
      <c r="AF1528" s="8"/>
      <c r="AG1528" s="8"/>
      <c r="AH1528" s="8"/>
      <c r="AI1528" s="8"/>
      <c r="AJ1528" s="8"/>
      <c r="AK1528" s="8"/>
      <c r="AL1528" s="8"/>
      <c r="AM1528" s="8"/>
      <c r="AN1528" s="8"/>
      <c r="AO1528" s="8"/>
      <c r="AP1528" s="8"/>
      <c r="AQ1528" s="8"/>
      <c r="AR1528" s="8"/>
      <c r="AS1528" s="8"/>
      <c r="AT1528" s="8"/>
      <c r="AU1528" s="8"/>
      <c r="AV1528" s="8"/>
      <c r="AW1528" s="8"/>
      <c r="AX1528" s="4" t="s">
        <v>38</v>
      </c>
      <c r="AY1528" s="5" t="s">
        <v>6746</v>
      </c>
      <c r="AZ1528" s="5" t="s">
        <v>38</v>
      </c>
      <c r="BA1528" s="12"/>
      <c r="BB1528" s="12"/>
      <c r="BC1528" s="12"/>
      <c r="BD1528" s="11">
        <v>0</v>
      </c>
      <c r="BE1528" s="11">
        <v>0</v>
      </c>
    </row>
    <row x14ac:dyDescent="0.25" r="1529" customHeight="1" ht="17.25">
      <c r="A1529" s="11">
        <v>6135735</v>
      </c>
      <c r="B1529" s="4" t="s">
        <v>6747</v>
      </c>
      <c r="C1529" s="5" t="s">
        <v>6748</v>
      </c>
      <c r="D1529" s="5" t="s">
        <v>6749</v>
      </c>
      <c r="E1529" s="12"/>
      <c r="F1529" s="13">
        <f>"9879334965"</f>
      </c>
      <c r="G1529" s="13">
        <f>"9789879334966"</f>
      </c>
      <c r="H1529" s="11">
        <v>0</v>
      </c>
      <c r="I1529" s="14">
        <v>3.85</v>
      </c>
      <c r="J1529" s="7" t="s">
        <v>6750</v>
      </c>
      <c r="K1529" s="5" t="s">
        <v>60</v>
      </c>
      <c r="L1529" s="11">
        <v>140</v>
      </c>
      <c r="M1529" s="11">
        <v>2003</v>
      </c>
      <c r="N1529" s="11">
        <v>2000</v>
      </c>
      <c r="O1529" s="15"/>
      <c r="P1529" s="8">
        <v>44869</v>
      </c>
      <c r="Q1529" s="8"/>
      <c r="R1529" s="8"/>
      <c r="S1529" s="8"/>
      <c r="T1529" s="8"/>
      <c r="U1529" s="8"/>
      <c r="V1529" s="8"/>
      <c r="W1529" s="8"/>
      <c r="X1529" s="8"/>
      <c r="Y1529" s="8"/>
      <c r="Z1529" s="8"/>
      <c r="AA1529" s="8"/>
      <c r="AB1529" s="8"/>
      <c r="AC1529" s="8"/>
      <c r="AD1529" s="8"/>
      <c r="AE1529" s="8"/>
      <c r="AF1529" s="8"/>
      <c r="AG1529" s="8"/>
      <c r="AH1529" s="8"/>
      <c r="AI1529" s="8"/>
      <c r="AJ1529" s="8"/>
      <c r="AK1529" s="8"/>
      <c r="AL1529" s="8"/>
      <c r="AM1529" s="8"/>
      <c r="AN1529" s="8"/>
      <c r="AO1529" s="8"/>
      <c r="AP1529" s="8"/>
      <c r="AQ1529" s="8"/>
      <c r="AR1529" s="8"/>
      <c r="AS1529" s="8"/>
      <c r="AT1529" s="8"/>
      <c r="AU1529" s="8"/>
      <c r="AV1529" s="8"/>
      <c r="AW1529" s="8"/>
      <c r="AX1529" s="4" t="s">
        <v>38</v>
      </c>
      <c r="AY1529" s="5" t="s">
        <v>6751</v>
      </c>
      <c r="AZ1529" s="5" t="s">
        <v>38</v>
      </c>
      <c r="BA1529" s="12"/>
      <c r="BB1529" s="12"/>
      <c r="BC1529" s="12"/>
      <c r="BD1529" s="11">
        <v>0</v>
      </c>
      <c r="BE1529" s="11">
        <v>0</v>
      </c>
    </row>
    <row x14ac:dyDescent="0.25" r="1530" customHeight="1" ht="17.25">
      <c r="A1530" s="11">
        <v>23848148</v>
      </c>
      <c r="B1530" s="4" t="s">
        <v>6752</v>
      </c>
      <c r="C1530" s="5" t="s">
        <v>6753</v>
      </c>
      <c r="D1530" s="5" t="s">
        <v>6754</v>
      </c>
      <c r="E1530" s="5" t="s">
        <v>6755</v>
      </c>
      <c r="F1530" s="13">
        <f>"0374248281"</f>
      </c>
      <c r="G1530" s="13">
        <f>"9780374248284"</f>
      </c>
      <c r="H1530" s="11">
        <v>3</v>
      </c>
      <c r="I1530" s="11">
        <v>4</v>
      </c>
      <c r="J1530" s="7" t="s">
        <v>120</v>
      </c>
      <c r="K1530" s="5" t="s">
        <v>72</v>
      </c>
      <c r="L1530" s="11">
        <v>64</v>
      </c>
      <c r="M1530" s="11">
        <v>2015</v>
      </c>
      <c r="N1530" s="11">
        <v>2015</v>
      </c>
      <c r="O1530" s="8">
        <v>44172</v>
      </c>
      <c r="P1530" s="8">
        <v>44171</v>
      </c>
      <c r="Q1530" s="8"/>
      <c r="R1530" s="8"/>
      <c r="S1530" s="8"/>
      <c r="T1530" s="8"/>
      <c r="U1530" s="8"/>
      <c r="V1530" s="8"/>
      <c r="W1530" s="8"/>
      <c r="X1530" s="8"/>
      <c r="Y1530" s="8"/>
      <c r="Z1530" s="8"/>
      <c r="AA1530" s="8"/>
      <c r="AB1530" s="8"/>
      <c r="AC1530" s="8"/>
      <c r="AD1530" s="8"/>
      <c r="AE1530" s="8"/>
      <c r="AF1530" s="8"/>
      <c r="AG1530" s="8"/>
      <c r="AH1530" s="8"/>
      <c r="AI1530" s="8"/>
      <c r="AJ1530" s="8"/>
      <c r="AK1530" s="8"/>
      <c r="AL1530" s="8"/>
      <c r="AM1530" s="8"/>
      <c r="AN1530" s="8"/>
      <c r="AO1530" s="8"/>
      <c r="AP1530" s="8"/>
      <c r="AQ1530" s="8"/>
      <c r="AR1530" s="8"/>
      <c r="AS1530" s="8"/>
      <c r="AT1530" s="8"/>
      <c r="AU1530" s="8"/>
      <c r="AV1530" s="8"/>
      <c r="AW1530" s="8"/>
      <c r="AX1530" s="16"/>
      <c r="AY1530" s="12"/>
      <c r="AZ1530" s="5" t="s">
        <v>158</v>
      </c>
      <c r="BA1530" s="12"/>
      <c r="BB1530" s="12"/>
      <c r="BC1530" s="12"/>
      <c r="BD1530" s="11">
        <v>2</v>
      </c>
      <c r="BE1530" s="11">
        <v>0</v>
      </c>
    </row>
    <row x14ac:dyDescent="0.25" r="1531" customHeight="1" ht="17.25">
      <c r="A1531" s="11">
        <v>10473365</v>
      </c>
      <c r="B1531" s="4" t="s">
        <v>6756</v>
      </c>
      <c r="C1531" s="5" t="s">
        <v>6757</v>
      </c>
      <c r="D1531" s="5" t="s">
        <v>6758</v>
      </c>
      <c r="E1531" s="12"/>
      <c r="F1531" s="13">
        <f>"1608195198"</f>
      </c>
      <c r="G1531" s="13">
        <f>"9781608195190"</f>
      </c>
      <c r="H1531" s="11">
        <v>0</v>
      </c>
      <c r="I1531" s="14">
        <v>3.51</v>
      </c>
      <c r="J1531" s="7" t="s">
        <v>881</v>
      </c>
      <c r="K1531" s="5" t="s">
        <v>72</v>
      </c>
      <c r="L1531" s="11">
        <v>256</v>
      </c>
      <c r="M1531" s="11">
        <v>2011</v>
      </c>
      <c r="N1531" s="11">
        <v>2011</v>
      </c>
      <c r="O1531" s="15"/>
      <c r="P1531" s="8">
        <v>44242</v>
      </c>
      <c r="Q1531" s="8"/>
      <c r="R1531" s="8"/>
      <c r="S1531" s="8"/>
      <c r="T1531" s="8"/>
      <c r="U1531" s="8"/>
      <c r="V1531" s="8"/>
      <c r="W1531" s="8"/>
      <c r="X1531" s="8"/>
      <c r="Y1531" s="8"/>
      <c r="Z1531" s="8"/>
      <c r="AA1531" s="8"/>
      <c r="AB1531" s="8"/>
      <c r="AC1531" s="8"/>
      <c r="AD1531" s="8"/>
      <c r="AE1531" s="8"/>
      <c r="AF1531" s="8"/>
      <c r="AG1531" s="8"/>
      <c r="AH1531" s="8"/>
      <c r="AI1531" s="8"/>
      <c r="AJ1531" s="8"/>
      <c r="AK1531" s="8"/>
      <c r="AL1531" s="8"/>
      <c r="AM1531" s="8"/>
      <c r="AN1531" s="8"/>
      <c r="AO1531" s="8"/>
      <c r="AP1531" s="8"/>
      <c r="AQ1531" s="8"/>
      <c r="AR1531" s="8"/>
      <c r="AS1531" s="8"/>
      <c r="AT1531" s="8"/>
      <c r="AU1531" s="8"/>
      <c r="AV1531" s="8"/>
      <c r="AW1531" s="8"/>
      <c r="AX1531" s="4" t="s">
        <v>6759</v>
      </c>
      <c r="AY1531" s="5" t="s">
        <v>6760</v>
      </c>
      <c r="AZ1531" s="5" t="s">
        <v>38</v>
      </c>
      <c r="BA1531" s="12"/>
      <c r="BB1531" s="12"/>
      <c r="BC1531" s="12"/>
      <c r="BD1531" s="11">
        <v>0</v>
      </c>
      <c r="BE1531" s="11">
        <v>0</v>
      </c>
    </row>
    <row x14ac:dyDescent="0.25" r="1532" customHeight="1" ht="17.25">
      <c r="A1532" s="11">
        <v>56760369</v>
      </c>
      <c r="B1532" s="4" t="s">
        <v>6761</v>
      </c>
      <c r="C1532" s="5" t="s">
        <v>669</v>
      </c>
      <c r="D1532" s="5" t="s">
        <v>670</v>
      </c>
      <c r="E1532" s="12"/>
      <c r="F1532" s="13">
        <f>"0811231232"</f>
      </c>
      <c r="G1532" s="13">
        <f>"9780811231237"</f>
      </c>
      <c r="H1532" s="11">
        <v>0</v>
      </c>
      <c r="I1532" s="14">
        <v>4.42</v>
      </c>
      <c r="J1532" s="7" t="s">
        <v>126</v>
      </c>
      <c r="K1532" s="5" t="s">
        <v>72</v>
      </c>
      <c r="L1532" s="11">
        <v>112</v>
      </c>
      <c r="M1532" s="11">
        <v>2021</v>
      </c>
      <c r="N1532" s="11">
        <v>2021</v>
      </c>
      <c r="O1532" s="15"/>
      <c r="P1532" s="8">
        <v>45078</v>
      </c>
      <c r="Q1532" s="8"/>
      <c r="R1532" s="8"/>
      <c r="S1532" s="8"/>
      <c r="T1532" s="8"/>
      <c r="U1532" s="8"/>
      <c r="V1532" s="8"/>
      <c r="W1532" s="8"/>
      <c r="X1532" s="8"/>
      <c r="Y1532" s="8"/>
      <c r="Z1532" s="8"/>
      <c r="AA1532" s="8"/>
      <c r="AB1532" s="8"/>
      <c r="AC1532" s="8"/>
      <c r="AD1532" s="8"/>
      <c r="AE1532" s="8"/>
      <c r="AF1532" s="8"/>
      <c r="AG1532" s="8"/>
      <c r="AH1532" s="8"/>
      <c r="AI1532" s="8"/>
      <c r="AJ1532" s="8"/>
      <c r="AK1532" s="8"/>
      <c r="AL1532" s="8"/>
      <c r="AM1532" s="8"/>
      <c r="AN1532" s="8"/>
      <c r="AO1532" s="8"/>
      <c r="AP1532" s="8"/>
      <c r="AQ1532" s="8"/>
      <c r="AR1532" s="8"/>
      <c r="AS1532" s="8"/>
      <c r="AT1532" s="8"/>
      <c r="AU1532" s="8"/>
      <c r="AV1532" s="8"/>
      <c r="AW1532" s="8"/>
      <c r="AX1532" s="4" t="s">
        <v>38</v>
      </c>
      <c r="AY1532" s="5" t="s">
        <v>6762</v>
      </c>
      <c r="AZ1532" s="5" t="s">
        <v>38</v>
      </c>
      <c r="BA1532" s="12"/>
      <c r="BB1532" s="12"/>
      <c r="BC1532" s="12"/>
      <c r="BD1532" s="11">
        <v>0</v>
      </c>
      <c r="BE1532" s="11">
        <v>0</v>
      </c>
    </row>
    <row x14ac:dyDescent="0.25" r="1533" customHeight="1" ht="17.25">
      <c r="A1533" s="11">
        <v>195725</v>
      </c>
      <c r="B1533" s="4" t="s">
        <v>6763</v>
      </c>
      <c r="C1533" s="5" t="s">
        <v>669</v>
      </c>
      <c r="D1533" s="5" t="s">
        <v>670</v>
      </c>
      <c r="E1533" s="12"/>
      <c r="F1533" s="13">
        <f>"0375707565"</f>
      </c>
      <c r="G1533" s="13">
        <f>"9780375707568"</f>
      </c>
      <c r="H1533" s="11">
        <v>0</v>
      </c>
      <c r="I1533" s="14">
        <v>4.08</v>
      </c>
      <c r="J1533" s="7" t="s">
        <v>114</v>
      </c>
      <c r="K1533" s="5" t="s">
        <v>60</v>
      </c>
      <c r="L1533" s="11">
        <v>176</v>
      </c>
      <c r="M1533" s="11">
        <v>2001</v>
      </c>
      <c r="N1533" s="11">
        <v>2000</v>
      </c>
      <c r="O1533" s="15"/>
      <c r="P1533" s="8">
        <v>43922</v>
      </c>
      <c r="Q1533" s="8"/>
      <c r="R1533" s="8"/>
      <c r="S1533" s="8"/>
      <c r="T1533" s="8"/>
      <c r="U1533" s="8"/>
      <c r="V1533" s="8"/>
      <c r="W1533" s="8"/>
      <c r="X1533" s="8"/>
      <c r="Y1533" s="8"/>
      <c r="Z1533" s="8"/>
      <c r="AA1533" s="8"/>
      <c r="AB1533" s="8"/>
      <c r="AC1533" s="8"/>
      <c r="AD1533" s="8"/>
      <c r="AE1533" s="8"/>
      <c r="AF1533" s="8"/>
      <c r="AG1533" s="8"/>
      <c r="AH1533" s="8"/>
      <c r="AI1533" s="8"/>
      <c r="AJ1533" s="8"/>
      <c r="AK1533" s="8"/>
      <c r="AL1533" s="8"/>
      <c r="AM1533" s="8"/>
      <c r="AN1533" s="8"/>
      <c r="AO1533" s="8"/>
      <c r="AP1533" s="8"/>
      <c r="AQ1533" s="8"/>
      <c r="AR1533" s="8"/>
      <c r="AS1533" s="8"/>
      <c r="AT1533" s="8"/>
      <c r="AU1533" s="8"/>
      <c r="AV1533" s="8"/>
      <c r="AW1533" s="8"/>
      <c r="AX1533" s="4" t="s">
        <v>38</v>
      </c>
      <c r="AY1533" s="5" t="s">
        <v>6764</v>
      </c>
      <c r="AZ1533" s="5" t="s">
        <v>38</v>
      </c>
      <c r="BA1533" s="12"/>
      <c r="BB1533" s="12"/>
      <c r="BC1533" s="12"/>
      <c r="BD1533" s="11">
        <v>0</v>
      </c>
      <c r="BE1533" s="11">
        <v>0</v>
      </c>
    </row>
    <row x14ac:dyDescent="0.25" r="1534" customHeight="1" ht="17.25">
      <c r="A1534" s="11">
        <v>15797355</v>
      </c>
      <c r="B1534" s="4" t="s">
        <v>6765</v>
      </c>
      <c r="C1534" s="5" t="s">
        <v>669</v>
      </c>
      <c r="D1534" s="5" t="s">
        <v>670</v>
      </c>
      <c r="E1534" s="12"/>
      <c r="F1534" s="13">
        <f>"0307960587"</f>
      </c>
      <c r="G1534" s="13">
        <f>"9780307960580"</f>
      </c>
      <c r="H1534" s="11">
        <v>0</v>
      </c>
      <c r="I1534" s="14">
        <v>4.1</v>
      </c>
      <c r="J1534" s="7" t="s">
        <v>1765</v>
      </c>
      <c r="K1534" s="5" t="s">
        <v>72</v>
      </c>
      <c r="L1534" s="11">
        <v>171</v>
      </c>
      <c r="M1534" s="11">
        <v>2013</v>
      </c>
      <c r="N1534" s="11">
        <v>2013</v>
      </c>
      <c r="O1534" s="15"/>
      <c r="P1534" s="9">
        <v>44152</v>
      </c>
      <c r="Q1534" s="9"/>
      <c r="R1534" s="9"/>
      <c r="S1534" s="9"/>
      <c r="T1534" s="9"/>
      <c r="U1534" s="9"/>
      <c r="V1534" s="9"/>
      <c r="W1534" s="9"/>
      <c r="X1534" s="9"/>
      <c r="Y1534" s="9"/>
      <c r="Z1534" s="9"/>
      <c r="AA1534" s="9"/>
      <c r="AB1534" s="9"/>
      <c r="AC1534" s="9"/>
      <c r="AD1534" s="9"/>
      <c r="AE1534" s="9"/>
      <c r="AF1534" s="9"/>
      <c r="AG1534" s="9"/>
      <c r="AH1534" s="9"/>
      <c r="AI1534" s="9"/>
      <c r="AJ1534" s="9"/>
      <c r="AK1534" s="9"/>
      <c r="AL1534" s="9"/>
      <c r="AM1534" s="9"/>
      <c r="AN1534" s="9"/>
      <c r="AO1534" s="9"/>
      <c r="AP1534" s="9"/>
      <c r="AQ1534" s="9"/>
      <c r="AR1534" s="9"/>
      <c r="AS1534" s="9"/>
      <c r="AT1534" s="9"/>
      <c r="AU1534" s="9"/>
      <c r="AV1534" s="9"/>
      <c r="AW1534" s="9"/>
      <c r="AX1534" s="4" t="s">
        <v>38</v>
      </c>
      <c r="AY1534" s="5" t="s">
        <v>6766</v>
      </c>
      <c r="AZ1534" s="5" t="s">
        <v>38</v>
      </c>
      <c r="BA1534" s="12"/>
      <c r="BB1534" s="12"/>
      <c r="BC1534" s="12"/>
      <c r="BD1534" s="11">
        <v>0</v>
      </c>
      <c r="BE1534" s="11">
        <v>0</v>
      </c>
    </row>
    <row x14ac:dyDescent="0.25" r="1535" customHeight="1" ht="17.25">
      <c r="A1535" s="11">
        <v>7694071</v>
      </c>
      <c r="B1535" s="4" t="s">
        <v>6767</v>
      </c>
      <c r="C1535" s="5" t="s">
        <v>1285</v>
      </c>
      <c r="D1535" s="5" t="s">
        <v>1286</v>
      </c>
      <c r="E1535" s="5" t="s">
        <v>6768</v>
      </c>
      <c r="F1535" s="13">
        <f>"0143105736"</f>
      </c>
      <c r="G1535" s="13">
        <f>"9780143105732"</f>
      </c>
      <c r="H1535" s="11">
        <v>0</v>
      </c>
      <c r="I1535" s="14">
        <v>3.72</v>
      </c>
      <c r="J1535" s="7" t="s">
        <v>263</v>
      </c>
      <c r="K1535" s="5" t="s">
        <v>60</v>
      </c>
      <c r="L1535" s="11">
        <v>192</v>
      </c>
      <c r="M1535" s="11">
        <v>2010</v>
      </c>
      <c r="N1535" s="11">
        <v>2010</v>
      </c>
      <c r="O1535" s="15"/>
      <c r="P1535" s="8">
        <v>42162</v>
      </c>
      <c r="Q1535" s="8"/>
      <c r="R1535" s="8"/>
      <c r="S1535" s="8"/>
      <c r="T1535" s="8"/>
      <c r="U1535" s="8"/>
      <c r="V1535" s="8"/>
      <c r="W1535" s="8"/>
      <c r="X1535" s="8"/>
      <c r="Y1535" s="8"/>
      <c r="Z1535" s="8"/>
      <c r="AA1535" s="8"/>
      <c r="AB1535" s="8"/>
      <c r="AC1535" s="8"/>
      <c r="AD1535" s="8"/>
      <c r="AE1535" s="8"/>
      <c r="AF1535" s="8"/>
      <c r="AG1535" s="8"/>
      <c r="AH1535" s="8"/>
      <c r="AI1535" s="8"/>
      <c r="AJ1535" s="8"/>
      <c r="AK1535" s="8"/>
      <c r="AL1535" s="8"/>
      <c r="AM1535" s="8"/>
      <c r="AN1535" s="8"/>
      <c r="AO1535" s="8"/>
      <c r="AP1535" s="8"/>
      <c r="AQ1535" s="8"/>
      <c r="AR1535" s="8"/>
      <c r="AS1535" s="8"/>
      <c r="AT1535" s="8"/>
      <c r="AU1535" s="8"/>
      <c r="AV1535" s="8"/>
      <c r="AW1535" s="8"/>
      <c r="AX1535" s="4" t="s">
        <v>38</v>
      </c>
      <c r="AY1535" s="5" t="s">
        <v>6769</v>
      </c>
      <c r="AZ1535" s="5" t="s">
        <v>38</v>
      </c>
      <c r="BA1535" s="12"/>
      <c r="BB1535" s="12"/>
      <c r="BC1535" s="12"/>
      <c r="BD1535" s="11">
        <v>0</v>
      </c>
      <c r="BE1535" s="11">
        <v>0</v>
      </c>
    </row>
    <row x14ac:dyDescent="0.25" r="1536" customHeight="1" ht="17.25">
      <c r="A1536" s="11">
        <v>49079377</v>
      </c>
      <c r="B1536" s="4" t="s">
        <v>6770</v>
      </c>
      <c r="C1536" s="5" t="s">
        <v>1238</v>
      </c>
      <c r="D1536" s="5" t="s">
        <v>1239</v>
      </c>
      <c r="E1536" s="12"/>
      <c r="F1536" s="13">
        <f>"9569667362"</f>
      </c>
      <c r="G1536" s="13">
        <f>"9789569667367"</f>
      </c>
      <c r="H1536" s="11">
        <v>0</v>
      </c>
      <c r="I1536" s="14">
        <v>4.13</v>
      </c>
      <c r="J1536" s="7" t="s">
        <v>6771</v>
      </c>
      <c r="K1536" s="5" t="s">
        <v>60</v>
      </c>
      <c r="L1536" s="11">
        <v>86</v>
      </c>
      <c r="M1536" s="11">
        <v>2019</v>
      </c>
      <c r="N1536" s="16"/>
      <c r="O1536" s="15"/>
      <c r="P1536" s="8">
        <v>44284</v>
      </c>
      <c r="Q1536" s="8"/>
      <c r="R1536" s="8"/>
      <c r="S1536" s="8"/>
      <c r="T1536" s="8"/>
      <c r="U1536" s="8"/>
      <c r="V1536" s="8"/>
      <c r="W1536" s="8"/>
      <c r="X1536" s="8"/>
      <c r="Y1536" s="8"/>
      <c r="Z1536" s="8"/>
      <c r="AA1536" s="8"/>
      <c r="AB1536" s="8"/>
      <c r="AC1536" s="8"/>
      <c r="AD1536" s="8"/>
      <c r="AE1536" s="8"/>
      <c r="AF1536" s="8"/>
      <c r="AG1536" s="8"/>
      <c r="AH1536" s="8"/>
      <c r="AI1536" s="8"/>
      <c r="AJ1536" s="8"/>
      <c r="AK1536" s="8"/>
      <c r="AL1536" s="8"/>
      <c r="AM1536" s="8"/>
      <c r="AN1536" s="8"/>
      <c r="AO1536" s="8"/>
      <c r="AP1536" s="8"/>
      <c r="AQ1536" s="8"/>
      <c r="AR1536" s="8"/>
      <c r="AS1536" s="8"/>
      <c r="AT1536" s="8"/>
      <c r="AU1536" s="8"/>
      <c r="AV1536" s="8"/>
      <c r="AW1536" s="8"/>
      <c r="AX1536" s="4" t="s">
        <v>38</v>
      </c>
      <c r="AY1536" s="5" t="s">
        <v>6772</v>
      </c>
      <c r="AZ1536" s="5" t="s">
        <v>38</v>
      </c>
      <c r="BA1536" s="12"/>
      <c r="BB1536" s="12"/>
      <c r="BC1536" s="12"/>
      <c r="BD1536" s="11">
        <v>0</v>
      </c>
      <c r="BE1536" s="11">
        <v>0</v>
      </c>
    </row>
    <row x14ac:dyDescent="0.25" r="1537" customHeight="1" ht="17.25">
      <c r="A1537" s="11">
        <v>53411</v>
      </c>
      <c r="B1537" s="4" t="s">
        <v>6773</v>
      </c>
      <c r="C1537" s="5" t="s">
        <v>3467</v>
      </c>
      <c r="D1537" s="5" t="s">
        <v>3468</v>
      </c>
      <c r="E1537" s="5" t="s">
        <v>1925</v>
      </c>
      <c r="F1537" s="13">
        <f>"9681903110"</f>
      </c>
      <c r="G1537" s="13">
        <f>"9789681903114"</f>
      </c>
      <c r="H1537" s="11">
        <v>0</v>
      </c>
      <c r="I1537" s="14">
        <v>4.6</v>
      </c>
      <c r="J1537" s="7" t="s">
        <v>6774</v>
      </c>
      <c r="K1537" s="5" t="s">
        <v>60</v>
      </c>
      <c r="L1537" s="11">
        <v>606</v>
      </c>
      <c r="M1537" s="11">
        <v>2002</v>
      </c>
      <c r="N1537" s="11">
        <v>1996</v>
      </c>
      <c r="O1537" s="15"/>
      <c r="P1537" s="8">
        <v>44814</v>
      </c>
      <c r="Q1537" s="8"/>
      <c r="R1537" s="8"/>
      <c r="S1537" s="8"/>
      <c r="T1537" s="8"/>
      <c r="U1537" s="8"/>
      <c r="V1537" s="8"/>
      <c r="W1537" s="8"/>
      <c r="X1537" s="8"/>
      <c r="Y1537" s="8"/>
      <c r="Z1537" s="8"/>
      <c r="AA1537" s="8"/>
      <c r="AB1537" s="8"/>
      <c r="AC1537" s="8"/>
      <c r="AD1537" s="8"/>
      <c r="AE1537" s="8"/>
      <c r="AF1537" s="8"/>
      <c r="AG1537" s="8"/>
      <c r="AH1537" s="8"/>
      <c r="AI1537" s="8"/>
      <c r="AJ1537" s="8"/>
      <c r="AK1537" s="8"/>
      <c r="AL1537" s="8"/>
      <c r="AM1537" s="8"/>
      <c r="AN1537" s="8"/>
      <c r="AO1537" s="8"/>
      <c r="AP1537" s="8"/>
      <c r="AQ1537" s="8"/>
      <c r="AR1537" s="8"/>
      <c r="AS1537" s="8"/>
      <c r="AT1537" s="8"/>
      <c r="AU1537" s="8"/>
      <c r="AV1537" s="8"/>
      <c r="AW1537" s="8"/>
      <c r="AX1537" s="4" t="s">
        <v>38</v>
      </c>
      <c r="AY1537" s="5" t="s">
        <v>6775</v>
      </c>
      <c r="AZ1537" s="5" t="s">
        <v>38</v>
      </c>
      <c r="BA1537" s="12"/>
      <c r="BB1537" s="12"/>
      <c r="BC1537" s="12"/>
      <c r="BD1537" s="11">
        <v>0</v>
      </c>
      <c r="BE1537" s="11">
        <v>0</v>
      </c>
    </row>
    <row x14ac:dyDescent="0.25" r="1538" customHeight="1" ht="17.25">
      <c r="A1538" s="11">
        <v>17707709</v>
      </c>
      <c r="B1538" s="4" t="s">
        <v>6776</v>
      </c>
      <c r="C1538" s="5" t="s">
        <v>6777</v>
      </c>
      <c r="D1538" s="5" t="s">
        <v>6778</v>
      </c>
      <c r="E1538" s="12"/>
      <c r="F1538" s="13">
        <f>"1594631719"</f>
      </c>
      <c r="G1538" s="13">
        <f>"9781594631719"</f>
      </c>
      <c r="H1538" s="11">
        <v>0</v>
      </c>
      <c r="I1538" s="14">
        <v>3.61</v>
      </c>
      <c r="J1538" s="7" t="s">
        <v>418</v>
      </c>
      <c r="K1538" s="5" t="s">
        <v>72</v>
      </c>
      <c r="L1538" s="11">
        <v>384</v>
      </c>
      <c r="M1538" s="11">
        <v>2013</v>
      </c>
      <c r="N1538" s="11">
        <v>2013</v>
      </c>
      <c r="O1538" s="15"/>
      <c r="P1538" s="8">
        <v>42372</v>
      </c>
      <c r="Q1538" s="8"/>
      <c r="R1538" s="8"/>
      <c r="S1538" s="8"/>
      <c r="T1538" s="8"/>
      <c r="U1538" s="8"/>
      <c r="V1538" s="8"/>
      <c r="W1538" s="8"/>
      <c r="X1538" s="8"/>
      <c r="Y1538" s="8"/>
      <c r="Z1538" s="8"/>
      <c r="AA1538" s="8"/>
      <c r="AB1538" s="8"/>
      <c r="AC1538" s="8"/>
      <c r="AD1538" s="8"/>
      <c r="AE1538" s="8"/>
      <c r="AF1538" s="8"/>
      <c r="AG1538" s="8"/>
      <c r="AH1538" s="8"/>
      <c r="AI1538" s="8"/>
      <c r="AJ1538" s="8"/>
      <c r="AK1538" s="8"/>
      <c r="AL1538" s="8"/>
      <c r="AM1538" s="8"/>
      <c r="AN1538" s="8"/>
      <c r="AO1538" s="8"/>
      <c r="AP1538" s="8"/>
      <c r="AQ1538" s="8"/>
      <c r="AR1538" s="8"/>
      <c r="AS1538" s="8"/>
      <c r="AT1538" s="8"/>
      <c r="AU1538" s="8"/>
      <c r="AV1538" s="8"/>
      <c r="AW1538" s="8"/>
      <c r="AX1538" s="4" t="s">
        <v>38</v>
      </c>
      <c r="AY1538" s="5" t="s">
        <v>6779</v>
      </c>
      <c r="AZ1538" s="5" t="s">
        <v>38</v>
      </c>
      <c r="BA1538" s="12"/>
      <c r="BB1538" s="12"/>
      <c r="BC1538" s="12"/>
      <c r="BD1538" s="11">
        <v>0</v>
      </c>
      <c r="BE1538" s="11">
        <v>0</v>
      </c>
    </row>
    <row x14ac:dyDescent="0.25" r="1539" customHeight="1" ht="17.25">
      <c r="A1539" s="11">
        <v>1207644</v>
      </c>
      <c r="B1539" s="4" t="s">
        <v>6780</v>
      </c>
      <c r="C1539" s="5" t="s">
        <v>6781</v>
      </c>
      <c r="D1539" s="5" t="s">
        <v>6782</v>
      </c>
      <c r="E1539" s="12"/>
      <c r="F1539" s="13">
        <f>"950515352X"</f>
      </c>
      <c r="G1539" s="13">
        <f>"9789505153527"</f>
      </c>
      <c r="H1539" s="11">
        <v>0</v>
      </c>
      <c r="I1539" s="14">
        <v>4.22</v>
      </c>
      <c r="J1539" s="7" t="s">
        <v>6783</v>
      </c>
      <c r="K1539" s="5" t="s">
        <v>60</v>
      </c>
      <c r="L1539" s="11">
        <v>213</v>
      </c>
      <c r="M1539" s="11">
        <v>1972</v>
      </c>
      <c r="N1539" s="11">
        <v>1957</v>
      </c>
      <c r="O1539" s="15"/>
      <c r="P1539" s="9">
        <v>44132</v>
      </c>
      <c r="Q1539" s="9"/>
      <c r="R1539" s="9"/>
      <c r="S1539" s="9"/>
      <c r="T1539" s="9"/>
      <c r="U1539" s="9"/>
      <c r="V1539" s="9"/>
      <c r="W1539" s="9"/>
      <c r="X1539" s="9"/>
      <c r="Y1539" s="9"/>
      <c r="Z1539" s="9"/>
      <c r="AA1539" s="9"/>
      <c r="AB1539" s="9"/>
      <c r="AC1539" s="9"/>
      <c r="AD1539" s="9"/>
      <c r="AE1539" s="9"/>
      <c r="AF1539" s="9"/>
      <c r="AG1539" s="9"/>
      <c r="AH1539" s="9"/>
      <c r="AI1539" s="9"/>
      <c r="AJ1539" s="9"/>
      <c r="AK1539" s="9"/>
      <c r="AL1539" s="9"/>
      <c r="AM1539" s="9"/>
      <c r="AN1539" s="9"/>
      <c r="AO1539" s="9"/>
      <c r="AP1539" s="9"/>
      <c r="AQ1539" s="9"/>
      <c r="AR1539" s="9"/>
      <c r="AS1539" s="9"/>
      <c r="AT1539" s="9"/>
      <c r="AU1539" s="9"/>
      <c r="AV1539" s="9"/>
      <c r="AW1539" s="9"/>
      <c r="AX1539" s="4" t="s">
        <v>38</v>
      </c>
      <c r="AY1539" s="5" t="s">
        <v>6784</v>
      </c>
      <c r="AZ1539" s="5" t="s">
        <v>38</v>
      </c>
      <c r="BA1539" s="12"/>
      <c r="BB1539" s="12"/>
      <c r="BC1539" s="12"/>
      <c r="BD1539" s="11">
        <v>0</v>
      </c>
      <c r="BE1539" s="11">
        <v>0</v>
      </c>
    </row>
    <row x14ac:dyDescent="0.25" r="1540" customHeight="1" ht="17.25">
      <c r="A1540" s="11">
        <v>18840</v>
      </c>
      <c r="B1540" s="4" t="s">
        <v>6785</v>
      </c>
      <c r="C1540" s="5" t="s">
        <v>4184</v>
      </c>
      <c r="D1540" s="5" t="s">
        <v>4185</v>
      </c>
      <c r="E1540" s="12"/>
      <c r="F1540" s="13">
        <f>"015602778X"</f>
      </c>
      <c r="G1540" s="13">
        <f>"9780156027786"</f>
      </c>
      <c r="H1540" s="11">
        <v>0</v>
      </c>
      <c r="I1540" s="14">
        <v>4.13</v>
      </c>
      <c r="J1540" s="7" t="s">
        <v>434</v>
      </c>
      <c r="K1540" s="5" t="s">
        <v>60</v>
      </c>
      <c r="L1540" s="11">
        <v>272</v>
      </c>
      <c r="M1540" s="11">
        <v>2002</v>
      </c>
      <c r="N1540" s="11">
        <v>1925</v>
      </c>
      <c r="O1540" s="15"/>
      <c r="P1540" s="8">
        <v>43919</v>
      </c>
      <c r="Q1540" s="8"/>
      <c r="R1540" s="8"/>
      <c r="S1540" s="8"/>
      <c r="T1540" s="8"/>
      <c r="U1540" s="8"/>
      <c r="V1540" s="8"/>
      <c r="W1540" s="8"/>
      <c r="X1540" s="8"/>
      <c r="Y1540" s="8"/>
      <c r="Z1540" s="8"/>
      <c r="AA1540" s="8"/>
      <c r="AB1540" s="8"/>
      <c r="AC1540" s="8"/>
      <c r="AD1540" s="8"/>
      <c r="AE1540" s="8"/>
      <c r="AF1540" s="8"/>
      <c r="AG1540" s="8"/>
      <c r="AH1540" s="8"/>
      <c r="AI1540" s="8"/>
      <c r="AJ1540" s="8"/>
      <c r="AK1540" s="8"/>
      <c r="AL1540" s="8"/>
      <c r="AM1540" s="8"/>
      <c r="AN1540" s="8"/>
      <c r="AO1540" s="8"/>
      <c r="AP1540" s="8"/>
      <c r="AQ1540" s="8"/>
      <c r="AR1540" s="8"/>
      <c r="AS1540" s="8"/>
      <c r="AT1540" s="8"/>
      <c r="AU1540" s="8"/>
      <c r="AV1540" s="8"/>
      <c r="AW1540" s="8"/>
      <c r="AX1540" s="4" t="s">
        <v>38</v>
      </c>
      <c r="AY1540" s="5" t="s">
        <v>6786</v>
      </c>
      <c r="AZ1540" s="5" t="s">
        <v>38</v>
      </c>
      <c r="BA1540" s="12"/>
      <c r="BB1540" s="12"/>
      <c r="BC1540" s="12"/>
      <c r="BD1540" s="11">
        <v>0</v>
      </c>
      <c r="BE1540" s="11">
        <v>0</v>
      </c>
    </row>
    <row x14ac:dyDescent="0.25" r="1541" customHeight="1" ht="17.25">
      <c r="A1541" s="11">
        <v>6301511</v>
      </c>
      <c r="B1541" s="4" t="s">
        <v>6787</v>
      </c>
      <c r="C1541" s="5" t="s">
        <v>6788</v>
      </c>
      <c r="D1541" s="5" t="s">
        <v>6789</v>
      </c>
      <c r="E1541" s="12"/>
      <c r="F1541" s="13">
        <f>"8478441182"</f>
      </c>
      <c r="G1541" s="13">
        <f>"9788478441181"</f>
      </c>
      <c r="H1541" s="11">
        <v>0</v>
      </c>
      <c r="I1541" s="14">
        <v>3.89</v>
      </c>
      <c r="J1541" s="7" t="s">
        <v>6790</v>
      </c>
      <c r="K1541" s="5" t="s">
        <v>60</v>
      </c>
      <c r="L1541" s="11">
        <v>153</v>
      </c>
      <c r="M1541" s="11">
        <v>1992</v>
      </c>
      <c r="N1541" s="11">
        <v>1992</v>
      </c>
      <c r="O1541" s="15"/>
      <c r="P1541" s="8">
        <v>43976</v>
      </c>
      <c r="Q1541" s="8"/>
      <c r="R1541" s="8"/>
      <c r="S1541" s="8"/>
      <c r="T1541" s="8"/>
      <c r="U1541" s="8"/>
      <c r="V1541" s="8"/>
      <c r="W1541" s="8"/>
      <c r="X1541" s="8"/>
      <c r="Y1541" s="8"/>
      <c r="Z1541" s="8"/>
      <c r="AA1541" s="8"/>
      <c r="AB1541" s="8"/>
      <c r="AC1541" s="8"/>
      <c r="AD1541" s="8"/>
      <c r="AE1541" s="8"/>
      <c r="AF1541" s="8"/>
      <c r="AG1541" s="8"/>
      <c r="AH1541" s="8"/>
      <c r="AI1541" s="8"/>
      <c r="AJ1541" s="8"/>
      <c r="AK1541" s="8"/>
      <c r="AL1541" s="8"/>
      <c r="AM1541" s="8"/>
      <c r="AN1541" s="8"/>
      <c r="AO1541" s="8"/>
      <c r="AP1541" s="8"/>
      <c r="AQ1541" s="8"/>
      <c r="AR1541" s="8"/>
      <c r="AS1541" s="8"/>
      <c r="AT1541" s="8"/>
      <c r="AU1541" s="8"/>
      <c r="AV1541" s="8"/>
      <c r="AW1541" s="8"/>
      <c r="AX1541" s="4" t="s">
        <v>38</v>
      </c>
      <c r="AY1541" s="5" t="s">
        <v>6791</v>
      </c>
      <c r="AZ1541" s="5" t="s">
        <v>38</v>
      </c>
      <c r="BA1541" s="12"/>
      <c r="BB1541" s="12"/>
      <c r="BC1541" s="12"/>
      <c r="BD1541" s="11">
        <v>0</v>
      </c>
      <c r="BE1541" s="11">
        <v>0</v>
      </c>
    </row>
    <row x14ac:dyDescent="0.25" r="1542" customHeight="1" ht="17.25">
      <c r="A1542" s="11">
        <v>1254348</v>
      </c>
      <c r="B1542" s="4" t="s">
        <v>6792</v>
      </c>
      <c r="C1542" s="5" t="s">
        <v>6788</v>
      </c>
      <c r="D1542" s="5" t="s">
        <v>6789</v>
      </c>
      <c r="E1542" s="5" t="s">
        <v>6793</v>
      </c>
      <c r="F1542" s="13">
        <f>"9681611241"</f>
      </c>
      <c r="G1542" s="13">
        <f>"9789681611248"</f>
      </c>
      <c r="H1542" s="11">
        <v>0</v>
      </c>
      <c r="I1542" s="14">
        <v>4.18</v>
      </c>
      <c r="J1542" s="7" t="s">
        <v>5514</v>
      </c>
      <c r="K1542" s="5" t="s">
        <v>60</v>
      </c>
      <c r="L1542" s="11">
        <v>412</v>
      </c>
      <c r="M1542" s="11">
        <v>2013</v>
      </c>
      <c r="N1542" s="11">
        <v>1992</v>
      </c>
      <c r="O1542" s="15"/>
      <c r="P1542" s="8">
        <v>43976</v>
      </c>
      <c r="Q1542" s="8"/>
      <c r="R1542" s="8"/>
      <c r="S1542" s="8"/>
      <c r="T1542" s="8"/>
      <c r="U1542" s="8"/>
      <c r="V1542" s="8"/>
      <c r="W1542" s="8"/>
      <c r="X1542" s="8"/>
      <c r="Y1542" s="8"/>
      <c r="Z1542" s="8"/>
      <c r="AA1542" s="8"/>
      <c r="AB1542" s="8"/>
      <c r="AC1542" s="8"/>
      <c r="AD1542" s="8"/>
      <c r="AE1542" s="8"/>
      <c r="AF1542" s="8"/>
      <c r="AG1542" s="8"/>
      <c r="AH1542" s="8"/>
      <c r="AI1542" s="8"/>
      <c r="AJ1542" s="8"/>
      <c r="AK1542" s="8"/>
      <c r="AL1542" s="8"/>
      <c r="AM1542" s="8"/>
      <c r="AN1542" s="8"/>
      <c r="AO1542" s="8"/>
      <c r="AP1542" s="8"/>
      <c r="AQ1542" s="8"/>
      <c r="AR1542" s="8"/>
      <c r="AS1542" s="8"/>
      <c r="AT1542" s="8"/>
      <c r="AU1542" s="8"/>
      <c r="AV1542" s="8"/>
      <c r="AW1542" s="8"/>
      <c r="AX1542" s="4" t="s">
        <v>38</v>
      </c>
      <c r="AY1542" s="5" t="s">
        <v>6794</v>
      </c>
      <c r="AZ1542" s="5" t="s">
        <v>38</v>
      </c>
      <c r="BA1542" s="12"/>
      <c r="BB1542" s="12"/>
      <c r="BC1542" s="12"/>
      <c r="BD1542" s="11">
        <v>0</v>
      </c>
      <c r="BE1542" s="11">
        <v>0</v>
      </c>
    </row>
    <row x14ac:dyDescent="0.25" r="1543" customHeight="1" ht="17.25">
      <c r="A1543" s="11">
        <v>30970019</v>
      </c>
      <c r="B1543" s="4" t="s">
        <v>6795</v>
      </c>
      <c r="C1543" s="5" t="s">
        <v>6796</v>
      </c>
      <c r="D1543" s="5" t="s">
        <v>6797</v>
      </c>
      <c r="E1543" s="12"/>
      <c r="F1543" s="13">
        <f>"8439731299"</f>
      </c>
      <c r="G1543" s="13">
        <f>"9788439731290"</f>
      </c>
      <c r="H1543" s="11">
        <v>0</v>
      </c>
      <c r="I1543" s="14">
        <v>4.05</v>
      </c>
      <c r="J1543" s="7" t="s">
        <v>6798</v>
      </c>
      <c r="K1543" s="5" t="s">
        <v>60</v>
      </c>
      <c r="L1543" s="11">
        <v>196</v>
      </c>
      <c r="M1543" s="11">
        <v>2016</v>
      </c>
      <c r="N1543" s="11">
        <v>1999</v>
      </c>
      <c r="O1543" s="15"/>
      <c r="P1543" s="8">
        <v>44109</v>
      </c>
      <c r="Q1543" s="8"/>
      <c r="R1543" s="8"/>
      <c r="S1543" s="8"/>
      <c r="T1543" s="8"/>
      <c r="U1543" s="8"/>
      <c r="V1543" s="8"/>
      <c r="W1543" s="8"/>
      <c r="X1543" s="8"/>
      <c r="Y1543" s="8"/>
      <c r="Z1543" s="8"/>
      <c r="AA1543" s="8"/>
      <c r="AB1543" s="8"/>
      <c r="AC1543" s="8"/>
      <c r="AD1543" s="8"/>
      <c r="AE1543" s="8"/>
      <c r="AF1543" s="8"/>
      <c r="AG1543" s="8"/>
      <c r="AH1543" s="8"/>
      <c r="AI1543" s="8"/>
      <c r="AJ1543" s="8"/>
      <c r="AK1543" s="8"/>
      <c r="AL1543" s="8"/>
      <c r="AM1543" s="8"/>
      <c r="AN1543" s="8"/>
      <c r="AO1543" s="8"/>
      <c r="AP1543" s="8"/>
      <c r="AQ1543" s="8"/>
      <c r="AR1543" s="8"/>
      <c r="AS1543" s="8"/>
      <c r="AT1543" s="8"/>
      <c r="AU1543" s="8"/>
      <c r="AV1543" s="8"/>
      <c r="AW1543" s="8"/>
      <c r="AX1543" s="4" t="s">
        <v>38</v>
      </c>
      <c r="AY1543" s="5" t="s">
        <v>6799</v>
      </c>
      <c r="AZ1543" s="5" t="s">
        <v>38</v>
      </c>
      <c r="BA1543" s="12"/>
      <c r="BB1543" s="12"/>
      <c r="BC1543" s="12"/>
      <c r="BD1543" s="11">
        <v>0</v>
      </c>
      <c r="BE1543" s="11">
        <v>0</v>
      </c>
    </row>
    <row x14ac:dyDescent="0.25" r="1544" customHeight="1" ht="17.25">
      <c r="A1544" s="11">
        <v>6713015</v>
      </c>
      <c r="B1544" s="4" t="s">
        <v>6800</v>
      </c>
      <c r="C1544" s="5" t="s">
        <v>6801</v>
      </c>
      <c r="D1544" s="5" t="s">
        <v>6802</v>
      </c>
      <c r="E1544" s="5" t="s">
        <v>6803</v>
      </c>
      <c r="F1544" s="13">
        <f>"0312425244"</f>
      </c>
      <c r="G1544" s="13">
        <f>"9780312425241"</f>
      </c>
      <c r="H1544" s="11">
        <v>0</v>
      </c>
      <c r="I1544" s="14">
        <v>3.32</v>
      </c>
      <c r="J1544" s="7" t="s">
        <v>975</v>
      </c>
      <c r="K1544" s="5" t="s">
        <v>60</v>
      </c>
      <c r="L1544" s="11">
        <v>164</v>
      </c>
      <c r="M1544" s="11">
        <v>2010</v>
      </c>
      <c r="N1544" s="11">
        <v>1996</v>
      </c>
      <c r="O1544" s="15"/>
      <c r="P1544" s="8">
        <v>44340</v>
      </c>
      <c r="Q1544" s="8"/>
      <c r="R1544" s="8"/>
      <c r="S1544" s="8"/>
      <c r="T1544" s="8"/>
      <c r="U1544" s="8"/>
      <c r="V1544" s="8"/>
      <c r="W1544" s="8"/>
      <c r="X1544" s="8"/>
      <c r="Y1544" s="8"/>
      <c r="Z1544" s="8"/>
      <c r="AA1544" s="8"/>
      <c r="AB1544" s="8"/>
      <c r="AC1544" s="8"/>
      <c r="AD1544" s="8"/>
      <c r="AE1544" s="8"/>
      <c r="AF1544" s="8"/>
      <c r="AG1544" s="8"/>
      <c r="AH1544" s="8"/>
      <c r="AI1544" s="8"/>
      <c r="AJ1544" s="8"/>
      <c r="AK1544" s="8"/>
      <c r="AL1544" s="8"/>
      <c r="AM1544" s="8"/>
      <c r="AN1544" s="8"/>
      <c r="AO1544" s="8"/>
      <c r="AP1544" s="8"/>
      <c r="AQ1544" s="8"/>
      <c r="AR1544" s="8"/>
      <c r="AS1544" s="8"/>
      <c r="AT1544" s="8"/>
      <c r="AU1544" s="8"/>
      <c r="AV1544" s="8"/>
      <c r="AW1544" s="8"/>
      <c r="AX1544" s="4" t="s">
        <v>38</v>
      </c>
      <c r="AY1544" s="5" t="s">
        <v>6804</v>
      </c>
      <c r="AZ1544" s="5" t="s">
        <v>38</v>
      </c>
      <c r="BA1544" s="12"/>
      <c r="BB1544" s="12"/>
      <c r="BC1544" s="12"/>
      <c r="BD1544" s="11">
        <v>0</v>
      </c>
      <c r="BE1544" s="11">
        <v>0</v>
      </c>
    </row>
    <row x14ac:dyDescent="0.25" r="1545" customHeight="1" ht="17.25">
      <c r="A1545" s="11">
        <v>222046</v>
      </c>
      <c r="B1545" s="4" t="s">
        <v>6805</v>
      </c>
      <c r="C1545" s="5" t="s">
        <v>6806</v>
      </c>
      <c r="D1545" s="5" t="s">
        <v>6807</v>
      </c>
      <c r="E1545" s="12"/>
      <c r="F1545" s="13">
        <f>"0811200612"</f>
      </c>
      <c r="G1545" s="13">
        <f>"9780811200615"</f>
      </c>
      <c r="H1545" s="11">
        <v>0</v>
      </c>
      <c r="I1545" s="14">
        <v>3.65</v>
      </c>
      <c r="J1545" s="7" t="s">
        <v>126</v>
      </c>
      <c r="K1545" s="5" t="s">
        <v>60</v>
      </c>
      <c r="L1545" s="11">
        <v>271</v>
      </c>
      <c r="M1545" s="11">
        <v>1972</v>
      </c>
      <c r="N1545" s="11">
        <v>1971</v>
      </c>
      <c r="O1545" s="15"/>
      <c r="P1545" s="8">
        <v>42029</v>
      </c>
      <c r="Q1545" s="8"/>
      <c r="R1545" s="8"/>
      <c r="S1545" s="8"/>
      <c r="T1545" s="8"/>
      <c r="U1545" s="8"/>
      <c r="V1545" s="8"/>
      <c r="W1545" s="8"/>
      <c r="X1545" s="8"/>
      <c r="Y1545" s="8"/>
      <c r="Z1545" s="8"/>
      <c r="AA1545" s="8"/>
      <c r="AB1545" s="8"/>
      <c r="AC1545" s="8"/>
      <c r="AD1545" s="8"/>
      <c r="AE1545" s="8"/>
      <c r="AF1545" s="8"/>
      <c r="AG1545" s="8"/>
      <c r="AH1545" s="8"/>
      <c r="AI1545" s="8"/>
      <c r="AJ1545" s="8"/>
      <c r="AK1545" s="8"/>
      <c r="AL1545" s="8"/>
      <c r="AM1545" s="8"/>
      <c r="AN1545" s="8"/>
      <c r="AO1545" s="8"/>
      <c r="AP1545" s="8"/>
      <c r="AQ1545" s="8"/>
      <c r="AR1545" s="8"/>
      <c r="AS1545" s="8"/>
      <c r="AT1545" s="8"/>
      <c r="AU1545" s="8"/>
      <c r="AV1545" s="8"/>
      <c r="AW1545" s="8"/>
      <c r="AX1545" s="4" t="s">
        <v>38</v>
      </c>
      <c r="AY1545" s="5" t="s">
        <v>6808</v>
      </c>
      <c r="AZ1545" s="5" t="s">
        <v>38</v>
      </c>
      <c r="BA1545" s="12"/>
      <c r="BB1545" s="12"/>
      <c r="BC1545" s="12"/>
      <c r="BD1545" s="11">
        <v>0</v>
      </c>
      <c r="BE1545" s="11">
        <v>0</v>
      </c>
    </row>
    <row x14ac:dyDescent="0.25" r="1546" customHeight="1" ht="17.25">
      <c r="A1546" s="11">
        <v>48987</v>
      </c>
      <c r="B1546" s="4" t="s">
        <v>6809</v>
      </c>
      <c r="C1546" s="5" t="s">
        <v>6810</v>
      </c>
      <c r="D1546" s="5" t="s">
        <v>6811</v>
      </c>
      <c r="E1546" s="12"/>
      <c r="F1546" s="13">
        <f>"0679738045"</f>
      </c>
      <c r="G1546" s="13">
        <f>"9780679738046"</f>
      </c>
      <c r="H1546" s="11">
        <v>0</v>
      </c>
      <c r="I1546" s="14">
        <v>3.56</v>
      </c>
      <c r="J1546" s="7" t="s">
        <v>114</v>
      </c>
      <c r="K1546" s="5" t="s">
        <v>60</v>
      </c>
      <c r="L1546" s="11">
        <v>240</v>
      </c>
      <c r="M1546" s="11">
        <v>1992</v>
      </c>
      <c r="N1546" s="11">
        <v>1945</v>
      </c>
      <c r="O1546" s="15"/>
      <c r="P1546" s="8">
        <v>41049</v>
      </c>
      <c r="Q1546" s="8"/>
      <c r="R1546" s="8"/>
      <c r="S1546" s="8"/>
      <c r="T1546" s="8"/>
      <c r="U1546" s="8"/>
      <c r="V1546" s="8"/>
      <c r="W1546" s="8"/>
      <c r="X1546" s="8"/>
      <c r="Y1546" s="8"/>
      <c r="Z1546" s="8"/>
      <c r="AA1546" s="8"/>
      <c r="AB1546" s="8"/>
      <c r="AC1546" s="8"/>
      <c r="AD1546" s="8"/>
      <c r="AE1546" s="8"/>
      <c r="AF1546" s="8"/>
      <c r="AG1546" s="8"/>
      <c r="AH1546" s="8"/>
      <c r="AI1546" s="8"/>
      <c r="AJ1546" s="8"/>
      <c r="AK1546" s="8"/>
      <c r="AL1546" s="8"/>
      <c r="AM1546" s="8"/>
      <c r="AN1546" s="8"/>
      <c r="AO1546" s="8"/>
      <c r="AP1546" s="8"/>
      <c r="AQ1546" s="8"/>
      <c r="AR1546" s="8"/>
      <c r="AS1546" s="8"/>
      <c r="AT1546" s="8"/>
      <c r="AU1546" s="8"/>
      <c r="AV1546" s="8"/>
      <c r="AW1546" s="8"/>
      <c r="AX1546" s="4" t="s">
        <v>38</v>
      </c>
      <c r="AY1546" s="5" t="s">
        <v>6812</v>
      </c>
      <c r="AZ1546" s="5" t="s">
        <v>38</v>
      </c>
      <c r="BA1546" s="12"/>
      <c r="BB1546" s="12"/>
      <c r="BC1546" s="12"/>
      <c r="BD1546" s="11">
        <v>0</v>
      </c>
      <c r="BE1546" s="11">
        <v>0</v>
      </c>
    </row>
    <row x14ac:dyDescent="0.25" r="1547" customHeight="1" ht="17.25">
      <c r="A1547" s="11">
        <v>436806</v>
      </c>
      <c r="B1547" s="4" t="s">
        <v>6813</v>
      </c>
      <c r="C1547" s="5" t="s">
        <v>6087</v>
      </c>
      <c r="D1547" s="5" t="s">
        <v>6088</v>
      </c>
      <c r="E1547" s="5" t="s">
        <v>6814</v>
      </c>
      <c r="F1547" s="13">
        <f>"0872862097"</f>
      </c>
      <c r="G1547" s="13">
        <f>"9780872862098"</f>
      </c>
      <c r="H1547" s="11">
        <v>0</v>
      </c>
      <c r="I1547" s="14">
        <v>3.66</v>
      </c>
      <c r="J1547" s="7" t="s">
        <v>6815</v>
      </c>
      <c r="K1547" s="5" t="s">
        <v>60</v>
      </c>
      <c r="L1547" s="11">
        <v>103</v>
      </c>
      <c r="M1547" s="11">
        <v>2001</v>
      </c>
      <c r="N1547" s="11">
        <v>1928</v>
      </c>
      <c r="O1547" s="15"/>
      <c r="P1547" s="8">
        <v>41035</v>
      </c>
      <c r="Q1547" s="8"/>
      <c r="R1547" s="8"/>
      <c r="S1547" s="8"/>
      <c r="T1547" s="8"/>
      <c r="U1547" s="8"/>
      <c r="V1547" s="8"/>
      <c r="W1547" s="8"/>
      <c r="X1547" s="8"/>
      <c r="Y1547" s="8"/>
      <c r="Z1547" s="8"/>
      <c r="AA1547" s="8"/>
      <c r="AB1547" s="8"/>
      <c r="AC1547" s="8"/>
      <c r="AD1547" s="8"/>
      <c r="AE1547" s="8"/>
      <c r="AF1547" s="8"/>
      <c r="AG1547" s="8"/>
      <c r="AH1547" s="8"/>
      <c r="AI1547" s="8"/>
      <c r="AJ1547" s="8"/>
      <c r="AK1547" s="8"/>
      <c r="AL1547" s="8"/>
      <c r="AM1547" s="8"/>
      <c r="AN1547" s="8"/>
      <c r="AO1547" s="8"/>
      <c r="AP1547" s="8"/>
      <c r="AQ1547" s="8"/>
      <c r="AR1547" s="8"/>
      <c r="AS1547" s="8"/>
      <c r="AT1547" s="8"/>
      <c r="AU1547" s="8"/>
      <c r="AV1547" s="8"/>
      <c r="AW1547" s="8"/>
      <c r="AX1547" s="4" t="s">
        <v>38</v>
      </c>
      <c r="AY1547" s="5" t="s">
        <v>6816</v>
      </c>
      <c r="AZ1547" s="5" t="s">
        <v>38</v>
      </c>
      <c r="BA1547" s="12"/>
      <c r="BB1547" s="12"/>
      <c r="BC1547" s="12"/>
      <c r="BD1547" s="11">
        <v>0</v>
      </c>
      <c r="BE1547" s="11">
        <v>0</v>
      </c>
    </row>
    <row x14ac:dyDescent="0.25" r="1548" customHeight="1" ht="17.25">
      <c r="A1548" s="11">
        <v>19976800</v>
      </c>
      <c r="B1548" s="4" t="s">
        <v>6817</v>
      </c>
      <c r="C1548" s="5" t="s">
        <v>6818</v>
      </c>
      <c r="D1548" s="5" t="s">
        <v>6819</v>
      </c>
      <c r="E1548" s="12"/>
      <c r="F1548" s="13">
        <f>"4861522471"</f>
      </c>
      <c r="G1548" s="13">
        <f>"9784861522475"</f>
      </c>
      <c r="H1548" s="11">
        <v>0</v>
      </c>
      <c r="I1548" s="14">
        <v>4.67</v>
      </c>
      <c r="J1548" s="7" t="s">
        <v>6820</v>
      </c>
      <c r="K1548" s="5" t="s">
        <v>60</v>
      </c>
      <c r="L1548" s="11">
        <v>256</v>
      </c>
      <c r="M1548" s="11">
        <v>2010</v>
      </c>
      <c r="N1548" s="11">
        <v>2011</v>
      </c>
      <c r="O1548" s="15"/>
      <c r="P1548" s="8">
        <v>44444</v>
      </c>
      <c r="Q1548" s="8"/>
      <c r="R1548" s="8"/>
      <c r="S1548" s="8"/>
      <c r="T1548" s="8"/>
      <c r="U1548" s="8"/>
      <c r="V1548" s="8"/>
      <c r="W1548" s="8"/>
      <c r="X1548" s="8"/>
      <c r="Y1548" s="8"/>
      <c r="Z1548" s="8"/>
      <c r="AA1548" s="8"/>
      <c r="AB1548" s="8"/>
      <c r="AC1548" s="8"/>
      <c r="AD1548" s="8"/>
      <c r="AE1548" s="8"/>
      <c r="AF1548" s="8"/>
      <c r="AG1548" s="8"/>
      <c r="AH1548" s="8"/>
      <c r="AI1548" s="8"/>
      <c r="AJ1548" s="8"/>
      <c r="AK1548" s="8"/>
      <c r="AL1548" s="8"/>
      <c r="AM1548" s="8"/>
      <c r="AN1548" s="8"/>
      <c r="AO1548" s="8"/>
      <c r="AP1548" s="8"/>
      <c r="AQ1548" s="8"/>
      <c r="AR1548" s="8"/>
      <c r="AS1548" s="8"/>
      <c r="AT1548" s="8"/>
      <c r="AU1548" s="8"/>
      <c r="AV1548" s="8"/>
      <c r="AW1548" s="8"/>
      <c r="AX1548" s="4" t="s">
        <v>2566</v>
      </c>
      <c r="AY1548" s="5" t="s">
        <v>6821</v>
      </c>
      <c r="AZ1548" s="5" t="s">
        <v>38</v>
      </c>
      <c r="BA1548" s="12"/>
      <c r="BB1548" s="12"/>
      <c r="BC1548" s="12"/>
      <c r="BD1548" s="11">
        <v>0</v>
      </c>
      <c r="BE1548" s="11">
        <v>0</v>
      </c>
    </row>
    <row x14ac:dyDescent="0.25" r="1549" customHeight="1" ht="17.25">
      <c r="A1549" s="11">
        <v>20587905</v>
      </c>
      <c r="B1549" s="4" t="s">
        <v>6822</v>
      </c>
      <c r="C1549" s="5" t="s">
        <v>6823</v>
      </c>
      <c r="D1549" s="5" t="s">
        <v>6824</v>
      </c>
      <c r="E1549" s="12"/>
      <c r="F1549" s="13">
        <f>"0385531206"</f>
      </c>
      <c r="G1549" s="13">
        <f>"9780385531207"</f>
      </c>
      <c r="H1549" s="11">
        <v>0</v>
      </c>
      <c r="I1549" s="14">
        <v>3.45</v>
      </c>
      <c r="J1549" s="7" t="s">
        <v>716</v>
      </c>
      <c r="K1549" s="5" t="s">
        <v>72</v>
      </c>
      <c r="L1549" s="11">
        <v>382</v>
      </c>
      <c r="M1549" s="11">
        <v>2014</v>
      </c>
      <c r="N1549" s="11">
        <v>2014</v>
      </c>
      <c r="O1549" s="15"/>
      <c r="P1549" s="8">
        <v>45082</v>
      </c>
      <c r="Q1549" s="8"/>
      <c r="R1549" s="8"/>
      <c r="S1549" s="8"/>
      <c r="T1549" s="8"/>
      <c r="U1549" s="8"/>
      <c r="V1549" s="8"/>
      <c r="W1549" s="8"/>
      <c r="X1549" s="8"/>
      <c r="Y1549" s="8"/>
      <c r="Z1549" s="8"/>
      <c r="AA1549" s="8"/>
      <c r="AB1549" s="8"/>
      <c r="AC1549" s="8"/>
      <c r="AD1549" s="8"/>
      <c r="AE1549" s="8"/>
      <c r="AF1549" s="8"/>
      <c r="AG1549" s="8"/>
      <c r="AH1549" s="8"/>
      <c r="AI1549" s="8"/>
      <c r="AJ1549" s="8"/>
      <c r="AK1549" s="8"/>
      <c r="AL1549" s="8"/>
      <c r="AM1549" s="8"/>
      <c r="AN1549" s="8"/>
      <c r="AO1549" s="8"/>
      <c r="AP1549" s="8"/>
      <c r="AQ1549" s="8"/>
      <c r="AR1549" s="8"/>
      <c r="AS1549" s="8"/>
      <c r="AT1549" s="8"/>
      <c r="AU1549" s="8"/>
      <c r="AV1549" s="8"/>
      <c r="AW1549" s="8"/>
      <c r="AX1549" s="4" t="s">
        <v>6025</v>
      </c>
      <c r="AY1549" s="5" t="s">
        <v>6825</v>
      </c>
      <c r="AZ1549" s="5" t="s">
        <v>38</v>
      </c>
      <c r="BA1549" s="12"/>
      <c r="BB1549" s="12"/>
      <c r="BC1549" s="12"/>
      <c r="BD1549" s="11">
        <v>0</v>
      </c>
      <c r="BE1549" s="11">
        <v>0</v>
      </c>
    </row>
    <row x14ac:dyDescent="0.25" r="1550" customHeight="1" ht="17.25">
      <c r="A1550" s="11">
        <v>1398304</v>
      </c>
      <c r="B1550" s="4" t="s">
        <v>6826</v>
      </c>
      <c r="C1550" s="5" t="s">
        <v>6827</v>
      </c>
      <c r="D1550" s="5" t="s">
        <v>6828</v>
      </c>
      <c r="E1550" s="5" t="s">
        <v>6829</v>
      </c>
      <c r="F1550" s="13">
        <f>"1840680563"</f>
      </c>
      <c r="G1550" s="13">
        <f>"9781840680560"</f>
      </c>
      <c r="H1550" s="11">
        <v>0</v>
      </c>
      <c r="I1550" s="14">
        <v>3.64</v>
      </c>
      <c r="J1550" s="7" t="s">
        <v>6830</v>
      </c>
      <c r="K1550" s="5" t="s">
        <v>60</v>
      </c>
      <c r="L1550" s="11">
        <v>102</v>
      </c>
      <c r="M1550" s="11">
        <v>2000</v>
      </c>
      <c r="N1550" s="11">
        <v>1962</v>
      </c>
      <c r="O1550" s="15"/>
      <c r="P1550" s="8">
        <v>45082</v>
      </c>
      <c r="Q1550" s="8"/>
      <c r="R1550" s="8"/>
      <c r="S1550" s="8"/>
      <c r="T1550" s="8"/>
      <c r="U1550" s="8"/>
      <c r="V1550" s="8"/>
      <c r="W1550" s="8"/>
      <c r="X1550" s="8"/>
      <c r="Y1550" s="8"/>
      <c r="Z1550" s="8"/>
      <c r="AA1550" s="8"/>
      <c r="AB1550" s="8"/>
      <c r="AC1550" s="8"/>
      <c r="AD1550" s="8"/>
      <c r="AE1550" s="8"/>
      <c r="AF1550" s="8"/>
      <c r="AG1550" s="8"/>
      <c r="AH1550" s="8"/>
      <c r="AI1550" s="8"/>
      <c r="AJ1550" s="8"/>
      <c r="AK1550" s="8"/>
      <c r="AL1550" s="8"/>
      <c r="AM1550" s="8"/>
      <c r="AN1550" s="8"/>
      <c r="AO1550" s="8"/>
      <c r="AP1550" s="8"/>
      <c r="AQ1550" s="8"/>
      <c r="AR1550" s="8"/>
      <c r="AS1550" s="8"/>
      <c r="AT1550" s="8"/>
      <c r="AU1550" s="8"/>
      <c r="AV1550" s="8"/>
      <c r="AW1550" s="8"/>
      <c r="AX1550" s="4" t="s">
        <v>6025</v>
      </c>
      <c r="AY1550" s="5" t="s">
        <v>6831</v>
      </c>
      <c r="AZ1550" s="5" t="s">
        <v>38</v>
      </c>
      <c r="BA1550" s="12"/>
      <c r="BB1550" s="12"/>
      <c r="BC1550" s="12"/>
      <c r="BD1550" s="11">
        <v>0</v>
      </c>
      <c r="BE1550" s="11">
        <v>0</v>
      </c>
    </row>
    <row x14ac:dyDescent="0.25" r="1551" customHeight="1" ht="17.25">
      <c r="A1551" s="11">
        <v>529406</v>
      </c>
      <c r="B1551" s="4" t="s">
        <v>6832</v>
      </c>
      <c r="C1551" s="5" t="s">
        <v>6833</v>
      </c>
      <c r="D1551" s="5" t="s">
        <v>6834</v>
      </c>
      <c r="E1551" s="12"/>
      <c r="F1551" s="13">
        <f>"1559702141"</f>
      </c>
      <c r="G1551" s="13">
        <f>"9781559702140"</f>
      </c>
      <c r="H1551" s="11">
        <v>0</v>
      </c>
      <c r="I1551" s="11">
        <v>4</v>
      </c>
      <c r="J1551" s="7" t="s">
        <v>6835</v>
      </c>
      <c r="K1551" s="5" t="s">
        <v>60</v>
      </c>
      <c r="L1551" s="11">
        <v>592</v>
      </c>
      <c r="M1551" s="11">
        <v>1993</v>
      </c>
      <c r="N1551" s="11">
        <v>1990</v>
      </c>
      <c r="O1551" s="15"/>
      <c r="P1551" s="8">
        <v>44444</v>
      </c>
      <c r="Q1551" s="8"/>
      <c r="R1551" s="8"/>
      <c r="S1551" s="8"/>
      <c r="T1551" s="8"/>
      <c r="U1551" s="8"/>
      <c r="V1551" s="8"/>
      <c r="W1551" s="8"/>
      <c r="X1551" s="8"/>
      <c r="Y1551" s="8"/>
      <c r="Z1551" s="8"/>
      <c r="AA1551" s="8"/>
      <c r="AB1551" s="8"/>
      <c r="AC1551" s="8"/>
      <c r="AD1551" s="8"/>
      <c r="AE1551" s="8"/>
      <c r="AF1551" s="8"/>
      <c r="AG1551" s="8"/>
      <c r="AH1551" s="8"/>
      <c r="AI1551" s="8"/>
      <c r="AJ1551" s="8"/>
      <c r="AK1551" s="8"/>
      <c r="AL1551" s="8"/>
      <c r="AM1551" s="8"/>
      <c r="AN1551" s="8"/>
      <c r="AO1551" s="8"/>
      <c r="AP1551" s="8"/>
      <c r="AQ1551" s="8"/>
      <c r="AR1551" s="8"/>
      <c r="AS1551" s="8"/>
      <c r="AT1551" s="8"/>
      <c r="AU1551" s="8"/>
      <c r="AV1551" s="8"/>
      <c r="AW1551" s="8"/>
      <c r="AX1551" s="4" t="s">
        <v>6836</v>
      </c>
      <c r="AY1551" s="5" t="s">
        <v>6837</v>
      </c>
      <c r="AZ1551" s="5" t="s">
        <v>38</v>
      </c>
      <c r="BA1551" s="12"/>
      <c r="BB1551" s="12"/>
      <c r="BC1551" s="12"/>
      <c r="BD1551" s="11">
        <v>0</v>
      </c>
      <c r="BE1551" s="11">
        <v>0</v>
      </c>
    </row>
    <row x14ac:dyDescent="0.25" r="1552" customHeight="1" ht="17.25">
      <c r="A1552" s="11">
        <v>53447</v>
      </c>
      <c r="B1552" s="4" t="s">
        <v>6838</v>
      </c>
      <c r="C1552" s="5" t="s">
        <v>6839</v>
      </c>
      <c r="D1552" s="5" t="s">
        <v>6840</v>
      </c>
      <c r="E1552" s="5" t="s">
        <v>6841</v>
      </c>
      <c r="F1552" s="13">
        <f>"9871144261"</f>
      </c>
      <c r="G1552" s="13">
        <f>"9789871144266"</f>
      </c>
      <c r="H1552" s="11">
        <v>0</v>
      </c>
      <c r="I1552" s="14">
        <v>4.03</v>
      </c>
      <c r="J1552" s="7" t="s">
        <v>6842</v>
      </c>
      <c r="K1552" s="5" t="s">
        <v>60</v>
      </c>
      <c r="L1552" s="11">
        <v>158</v>
      </c>
      <c r="M1552" s="11">
        <v>2003</v>
      </c>
      <c r="N1552" s="11">
        <v>1948</v>
      </c>
      <c r="O1552" s="15"/>
      <c r="P1552" s="8">
        <v>42542</v>
      </c>
      <c r="Q1552" s="8"/>
      <c r="R1552" s="8"/>
      <c r="S1552" s="8"/>
      <c r="T1552" s="8"/>
      <c r="U1552" s="8"/>
      <c r="V1552" s="8"/>
      <c r="W1552" s="8"/>
      <c r="X1552" s="8"/>
      <c r="Y1552" s="8"/>
      <c r="Z1552" s="8"/>
      <c r="AA1552" s="8"/>
      <c r="AB1552" s="8"/>
      <c r="AC1552" s="8"/>
      <c r="AD1552" s="8"/>
      <c r="AE1552" s="8"/>
      <c r="AF1552" s="8"/>
      <c r="AG1552" s="8"/>
      <c r="AH1552" s="8"/>
      <c r="AI1552" s="8"/>
      <c r="AJ1552" s="8"/>
      <c r="AK1552" s="8"/>
      <c r="AL1552" s="8"/>
      <c r="AM1552" s="8"/>
      <c r="AN1552" s="8"/>
      <c r="AO1552" s="8"/>
      <c r="AP1552" s="8"/>
      <c r="AQ1552" s="8"/>
      <c r="AR1552" s="8"/>
      <c r="AS1552" s="8"/>
      <c r="AT1552" s="8"/>
      <c r="AU1552" s="8"/>
      <c r="AV1552" s="8"/>
      <c r="AW1552" s="8"/>
      <c r="AX1552" s="4" t="s">
        <v>38</v>
      </c>
      <c r="AY1552" s="5" t="s">
        <v>6843</v>
      </c>
      <c r="AZ1552" s="5" t="s">
        <v>38</v>
      </c>
      <c r="BA1552" s="12"/>
      <c r="BB1552" s="12"/>
      <c r="BC1552" s="12"/>
      <c r="BD1552" s="11">
        <v>0</v>
      </c>
      <c r="BE1552" s="11">
        <v>0</v>
      </c>
    </row>
    <row x14ac:dyDescent="0.25" r="1553" customHeight="1" ht="17.25">
      <c r="A1553" s="11">
        <v>152058</v>
      </c>
      <c r="B1553" s="4" t="s">
        <v>6844</v>
      </c>
      <c r="C1553" s="5" t="s">
        <v>6845</v>
      </c>
      <c r="D1553" s="5" t="s">
        <v>6846</v>
      </c>
      <c r="E1553" s="12"/>
      <c r="F1553" s="13">
        <f>"0060520604"</f>
      </c>
      <c r="G1553" s="13">
        <f>"9780060520601"</f>
      </c>
      <c r="H1553" s="11">
        <v>0</v>
      </c>
      <c r="I1553" s="14">
        <v>4.14</v>
      </c>
      <c r="J1553" s="7" t="s">
        <v>505</v>
      </c>
      <c r="K1553" s="5" t="s">
        <v>60</v>
      </c>
      <c r="L1553" s="11">
        <v>464</v>
      </c>
      <c r="M1553" s="11">
        <v>2006</v>
      </c>
      <c r="N1553" s="11">
        <v>2005</v>
      </c>
      <c r="O1553" s="15"/>
      <c r="P1553" s="8">
        <v>44242</v>
      </c>
      <c r="Q1553" s="8"/>
      <c r="R1553" s="8"/>
      <c r="S1553" s="8"/>
      <c r="T1553" s="8"/>
      <c r="U1553" s="8"/>
      <c r="V1553" s="8"/>
      <c r="W1553" s="8"/>
      <c r="X1553" s="8"/>
      <c r="Y1553" s="8"/>
      <c r="Z1553" s="8"/>
      <c r="AA1553" s="8"/>
      <c r="AB1553" s="8"/>
      <c r="AC1553" s="8"/>
      <c r="AD1553" s="8"/>
      <c r="AE1553" s="8"/>
      <c r="AF1553" s="8"/>
      <c r="AG1553" s="8"/>
      <c r="AH1553" s="8"/>
      <c r="AI1553" s="8"/>
      <c r="AJ1553" s="8"/>
      <c r="AK1553" s="8"/>
      <c r="AL1553" s="8"/>
      <c r="AM1553" s="8"/>
      <c r="AN1553" s="8"/>
      <c r="AO1553" s="8"/>
      <c r="AP1553" s="8"/>
      <c r="AQ1553" s="8"/>
      <c r="AR1553" s="8"/>
      <c r="AS1553" s="8"/>
      <c r="AT1553" s="8"/>
      <c r="AU1553" s="8"/>
      <c r="AV1553" s="8"/>
      <c r="AW1553" s="8"/>
      <c r="AX1553" s="4" t="s">
        <v>1049</v>
      </c>
      <c r="AY1553" s="5" t="s">
        <v>6847</v>
      </c>
      <c r="AZ1553" s="5" t="s">
        <v>38</v>
      </c>
      <c r="BA1553" s="12"/>
      <c r="BB1553" s="12"/>
      <c r="BC1553" s="12"/>
      <c r="BD1553" s="11">
        <v>0</v>
      </c>
      <c r="BE1553" s="11">
        <v>0</v>
      </c>
    </row>
    <row x14ac:dyDescent="0.25" r="1554" customHeight="1" ht="17.25">
      <c r="A1554" s="11">
        <v>49256</v>
      </c>
      <c r="B1554" s="4" t="s">
        <v>6848</v>
      </c>
      <c r="C1554" s="5" t="s">
        <v>6849</v>
      </c>
      <c r="D1554" s="5" t="s">
        <v>6850</v>
      </c>
      <c r="E1554" s="5" t="s">
        <v>6851</v>
      </c>
      <c r="F1554" s="13">
        <f>"0820324019"</f>
      </c>
      <c r="G1554" s="13">
        <f>"9780820324012"</f>
      </c>
      <c r="H1554" s="11">
        <v>0</v>
      </c>
      <c r="I1554" s="14">
        <v>4.05</v>
      </c>
      <c r="J1554" s="7" t="s">
        <v>6852</v>
      </c>
      <c r="K1554" s="5" t="s">
        <v>60</v>
      </c>
      <c r="L1554" s="11">
        <v>404</v>
      </c>
      <c r="M1554" s="11">
        <v>2002</v>
      </c>
      <c r="N1554" s="11">
        <v>1911</v>
      </c>
      <c r="O1554" s="15"/>
      <c r="P1554" s="8">
        <v>43934</v>
      </c>
      <c r="Q1554" s="8"/>
      <c r="R1554" s="8"/>
      <c r="S1554" s="8"/>
      <c r="T1554" s="8"/>
      <c r="U1554" s="8"/>
      <c r="V1554" s="8"/>
      <c r="W1554" s="8"/>
      <c r="X1554" s="8"/>
      <c r="Y1554" s="8"/>
      <c r="Z1554" s="8"/>
      <c r="AA1554" s="8"/>
      <c r="AB1554" s="8"/>
      <c r="AC1554" s="8"/>
      <c r="AD1554" s="8"/>
      <c r="AE1554" s="8"/>
      <c r="AF1554" s="8"/>
      <c r="AG1554" s="8"/>
      <c r="AH1554" s="8"/>
      <c r="AI1554" s="8"/>
      <c r="AJ1554" s="8"/>
      <c r="AK1554" s="8"/>
      <c r="AL1554" s="8"/>
      <c r="AM1554" s="8"/>
      <c r="AN1554" s="8"/>
      <c r="AO1554" s="8"/>
      <c r="AP1554" s="8"/>
      <c r="AQ1554" s="8"/>
      <c r="AR1554" s="8"/>
      <c r="AS1554" s="8"/>
      <c r="AT1554" s="8"/>
      <c r="AU1554" s="8"/>
      <c r="AV1554" s="8"/>
      <c r="AW1554" s="8"/>
      <c r="AX1554" s="4" t="s">
        <v>2566</v>
      </c>
      <c r="AY1554" s="5" t="s">
        <v>6853</v>
      </c>
      <c r="AZ1554" s="5" t="s">
        <v>38</v>
      </c>
      <c r="BA1554" s="12"/>
      <c r="BB1554" s="12"/>
      <c r="BC1554" s="12"/>
      <c r="BD1554" s="11">
        <v>0</v>
      </c>
      <c r="BE1554" s="11">
        <v>0</v>
      </c>
    </row>
    <row x14ac:dyDescent="0.25" r="1555" customHeight="1" ht="17.25">
      <c r="A1555" s="11">
        <v>653352</v>
      </c>
      <c r="B1555" s="4" t="s">
        <v>6854</v>
      </c>
      <c r="C1555" s="5" t="s">
        <v>4731</v>
      </c>
      <c r="D1555" s="5" t="s">
        <v>4732</v>
      </c>
      <c r="E1555" s="12"/>
      <c r="F1555" s="13">
        <f>"0631194789"</f>
      </c>
      <c r="G1555" s="13">
        <f>"9780631194781"</f>
      </c>
      <c r="H1555" s="11">
        <v>0</v>
      </c>
      <c r="I1555" s="14">
        <v>3.94</v>
      </c>
      <c r="J1555" s="7" t="s">
        <v>1344</v>
      </c>
      <c r="K1555" s="5" t="s">
        <v>60</v>
      </c>
      <c r="L1555" s="11">
        <v>544</v>
      </c>
      <c r="M1555" s="11">
        <v>1994</v>
      </c>
      <c r="N1555" s="11">
        <v>1992</v>
      </c>
      <c r="O1555" s="15"/>
      <c r="P1555" s="8">
        <v>44444</v>
      </c>
      <c r="Q1555" s="8"/>
      <c r="R1555" s="8"/>
      <c r="S1555" s="8"/>
      <c r="T1555" s="8"/>
      <c r="U1555" s="8"/>
      <c r="V1555" s="8"/>
      <c r="W1555" s="8"/>
      <c r="X1555" s="8"/>
      <c r="Y1555" s="8"/>
      <c r="Z1555" s="8"/>
      <c r="AA1555" s="8"/>
      <c r="AB1555" s="8"/>
      <c r="AC1555" s="8"/>
      <c r="AD1555" s="8"/>
      <c r="AE1555" s="8"/>
      <c r="AF1555" s="8"/>
      <c r="AG1555" s="8"/>
      <c r="AH1555" s="8"/>
      <c r="AI1555" s="8"/>
      <c r="AJ1555" s="8"/>
      <c r="AK1555" s="8"/>
      <c r="AL1555" s="8"/>
      <c r="AM1555" s="8"/>
      <c r="AN1555" s="8"/>
      <c r="AO1555" s="8"/>
      <c r="AP1555" s="8"/>
      <c r="AQ1555" s="8"/>
      <c r="AR1555" s="8"/>
      <c r="AS1555" s="8"/>
      <c r="AT1555" s="8"/>
      <c r="AU1555" s="8"/>
      <c r="AV1555" s="8"/>
      <c r="AW1555" s="8"/>
      <c r="AX1555" s="4" t="s">
        <v>2566</v>
      </c>
      <c r="AY1555" s="5" t="s">
        <v>6855</v>
      </c>
      <c r="AZ1555" s="5" t="s">
        <v>38</v>
      </c>
      <c r="BA1555" s="12"/>
      <c r="BB1555" s="12"/>
      <c r="BC1555" s="12"/>
      <c r="BD1555" s="11">
        <v>0</v>
      </c>
      <c r="BE1555" s="11">
        <v>0</v>
      </c>
    </row>
    <row x14ac:dyDescent="0.25" r="1556" customHeight="1" ht="17.25">
      <c r="A1556" s="11">
        <v>15681</v>
      </c>
      <c r="B1556" s="4" t="s">
        <v>6856</v>
      </c>
      <c r="C1556" s="5" t="s">
        <v>6857</v>
      </c>
      <c r="D1556" s="5" t="s">
        <v>6858</v>
      </c>
      <c r="E1556" s="12"/>
      <c r="F1556" s="13">
        <f>"0786707399"</f>
      </c>
      <c r="G1556" s="13">
        <f>"9780786707393"</f>
      </c>
      <c r="H1556" s="11">
        <v>0</v>
      </c>
      <c r="I1556" s="14">
        <v>4.01</v>
      </c>
      <c r="J1556" s="7" t="s">
        <v>335</v>
      </c>
      <c r="K1556" s="5" t="s">
        <v>60</v>
      </c>
      <c r="L1556" s="11">
        <v>448</v>
      </c>
      <c r="M1556" s="11">
        <v>2000</v>
      </c>
      <c r="N1556" s="11">
        <v>1996</v>
      </c>
      <c r="O1556" s="15"/>
      <c r="P1556" s="8">
        <v>41364</v>
      </c>
      <c r="Q1556" s="8"/>
      <c r="R1556" s="8"/>
      <c r="S1556" s="8"/>
      <c r="T1556" s="8"/>
      <c r="U1556" s="8"/>
      <c r="V1556" s="8"/>
      <c r="W1556" s="8"/>
      <c r="X1556" s="8"/>
      <c r="Y1556" s="8"/>
      <c r="Z1556" s="8"/>
      <c r="AA1556" s="8"/>
      <c r="AB1556" s="8"/>
      <c r="AC1556" s="8"/>
      <c r="AD1556" s="8"/>
      <c r="AE1556" s="8"/>
      <c r="AF1556" s="8"/>
      <c r="AG1556" s="8"/>
      <c r="AH1556" s="8"/>
      <c r="AI1556" s="8"/>
      <c r="AJ1556" s="8"/>
      <c r="AK1556" s="8"/>
      <c r="AL1556" s="8"/>
      <c r="AM1556" s="8"/>
      <c r="AN1556" s="8"/>
      <c r="AO1556" s="8"/>
      <c r="AP1556" s="8"/>
      <c r="AQ1556" s="8"/>
      <c r="AR1556" s="8"/>
      <c r="AS1556" s="8"/>
      <c r="AT1556" s="8"/>
      <c r="AU1556" s="8"/>
      <c r="AV1556" s="8"/>
      <c r="AW1556" s="8"/>
      <c r="AX1556" s="4" t="s">
        <v>1049</v>
      </c>
      <c r="AY1556" s="5" t="s">
        <v>6859</v>
      </c>
      <c r="AZ1556" s="5" t="s">
        <v>38</v>
      </c>
      <c r="BA1556" s="12"/>
      <c r="BB1556" s="12"/>
      <c r="BC1556" s="12"/>
      <c r="BD1556" s="11">
        <v>0</v>
      </c>
      <c r="BE1556" s="11">
        <v>0</v>
      </c>
    </row>
    <row x14ac:dyDescent="0.25" r="1557" customHeight="1" ht="17.25">
      <c r="A1557" s="11">
        <v>526076</v>
      </c>
      <c r="B1557" s="4" t="s">
        <v>6860</v>
      </c>
      <c r="C1557" s="5" t="s">
        <v>6861</v>
      </c>
      <c r="D1557" s="5" t="s">
        <v>6862</v>
      </c>
      <c r="E1557" s="12"/>
      <c r="F1557" s="13">
        <f>"081120197X"</f>
      </c>
      <c r="G1557" s="13">
        <f>"9780811201971"</f>
      </c>
      <c r="H1557" s="11">
        <v>0</v>
      </c>
      <c r="I1557" s="14">
        <v>4.22</v>
      </c>
      <c r="J1557" s="7" t="s">
        <v>126</v>
      </c>
      <c r="K1557" s="5" t="s">
        <v>60</v>
      </c>
      <c r="L1557" s="11">
        <v>491</v>
      </c>
      <c r="M1557" s="11">
        <v>1962</v>
      </c>
      <c r="N1557" s="11">
        <v>1961</v>
      </c>
      <c r="O1557" s="15"/>
      <c r="P1557" s="8">
        <v>44250</v>
      </c>
      <c r="Q1557" s="8"/>
      <c r="R1557" s="8"/>
      <c r="S1557" s="8"/>
      <c r="T1557" s="8"/>
      <c r="U1557" s="8"/>
      <c r="V1557" s="8"/>
      <c r="W1557" s="8"/>
      <c r="X1557" s="8"/>
      <c r="Y1557" s="8"/>
      <c r="Z1557" s="8"/>
      <c r="AA1557" s="8"/>
      <c r="AB1557" s="8"/>
      <c r="AC1557" s="8"/>
      <c r="AD1557" s="8"/>
      <c r="AE1557" s="8"/>
      <c r="AF1557" s="8"/>
      <c r="AG1557" s="8"/>
      <c r="AH1557" s="8"/>
      <c r="AI1557" s="8"/>
      <c r="AJ1557" s="8"/>
      <c r="AK1557" s="8"/>
      <c r="AL1557" s="8"/>
      <c r="AM1557" s="8"/>
      <c r="AN1557" s="8"/>
      <c r="AO1557" s="8"/>
      <c r="AP1557" s="8"/>
      <c r="AQ1557" s="8"/>
      <c r="AR1557" s="8"/>
      <c r="AS1557" s="8"/>
      <c r="AT1557" s="8"/>
      <c r="AU1557" s="8"/>
      <c r="AV1557" s="8"/>
      <c r="AW1557" s="8"/>
      <c r="AX1557" s="4" t="s">
        <v>1049</v>
      </c>
      <c r="AY1557" s="5" t="s">
        <v>6863</v>
      </c>
      <c r="AZ1557" s="5" t="s">
        <v>38</v>
      </c>
      <c r="BA1557" s="12"/>
      <c r="BB1557" s="12"/>
      <c r="BC1557" s="12"/>
      <c r="BD1557" s="11">
        <v>0</v>
      </c>
      <c r="BE1557" s="11">
        <v>0</v>
      </c>
    </row>
    <row x14ac:dyDescent="0.25" r="1558" customHeight="1" ht="17.25">
      <c r="A1558" s="11">
        <v>1444151</v>
      </c>
      <c r="B1558" s="4" t="s">
        <v>6864</v>
      </c>
      <c r="C1558" s="5" t="s">
        <v>6865</v>
      </c>
      <c r="D1558" s="5" t="s">
        <v>6866</v>
      </c>
      <c r="E1558" s="12"/>
      <c r="F1558" s="13">
        <f>"0199210659"</f>
      </c>
      <c r="G1558" s="13">
        <f>"9780199210657"</f>
      </c>
      <c r="H1558" s="11">
        <v>0</v>
      </c>
      <c r="I1558" s="14">
        <v>3.95</v>
      </c>
      <c r="J1558" s="7" t="s">
        <v>245</v>
      </c>
      <c r="K1558" s="5" t="s">
        <v>60</v>
      </c>
      <c r="L1558" s="11">
        <v>528</v>
      </c>
      <c r="M1558" s="11">
        <v>2007</v>
      </c>
      <c r="N1558" s="11">
        <v>1999</v>
      </c>
      <c r="O1558" s="15"/>
      <c r="P1558" s="8">
        <v>44444</v>
      </c>
      <c r="Q1558" s="8"/>
      <c r="R1558" s="8"/>
      <c r="S1558" s="8"/>
      <c r="T1558" s="8"/>
      <c r="U1558" s="8"/>
      <c r="V1558" s="8"/>
      <c r="W1558" s="8"/>
      <c r="X1558" s="8"/>
      <c r="Y1558" s="8"/>
      <c r="Z1558" s="8"/>
      <c r="AA1558" s="8"/>
      <c r="AB1558" s="8"/>
      <c r="AC1558" s="8"/>
      <c r="AD1558" s="8"/>
      <c r="AE1558" s="8"/>
      <c r="AF1558" s="8"/>
      <c r="AG1558" s="8"/>
      <c r="AH1558" s="8"/>
      <c r="AI1558" s="8"/>
      <c r="AJ1558" s="8"/>
      <c r="AK1558" s="8"/>
      <c r="AL1558" s="8"/>
      <c r="AM1558" s="8"/>
      <c r="AN1558" s="8"/>
      <c r="AO1558" s="8"/>
      <c r="AP1558" s="8"/>
      <c r="AQ1558" s="8"/>
      <c r="AR1558" s="8"/>
      <c r="AS1558" s="8"/>
      <c r="AT1558" s="8"/>
      <c r="AU1558" s="8"/>
      <c r="AV1558" s="8"/>
      <c r="AW1558" s="8"/>
      <c r="AX1558" s="4" t="s">
        <v>2566</v>
      </c>
      <c r="AY1558" s="5" t="s">
        <v>6867</v>
      </c>
      <c r="AZ1558" s="5" t="s">
        <v>38</v>
      </c>
      <c r="BA1558" s="12"/>
      <c r="BB1558" s="12"/>
      <c r="BC1558" s="12"/>
      <c r="BD1558" s="11">
        <v>0</v>
      </c>
      <c r="BE1558" s="11">
        <v>0</v>
      </c>
    </row>
    <row x14ac:dyDescent="0.25" r="1559" customHeight="1" ht="17.25">
      <c r="A1559" s="11">
        <v>7916776</v>
      </c>
      <c r="B1559" s="4" t="s">
        <v>6868</v>
      </c>
      <c r="C1559" s="5" t="s">
        <v>6869</v>
      </c>
      <c r="D1559" s="5" t="s">
        <v>6870</v>
      </c>
      <c r="E1559" s="5" t="s">
        <v>6871</v>
      </c>
      <c r="F1559" s="13">
        <f>"9879395174"</f>
      </c>
      <c r="G1559" s="13">
        <f>"9789879395172"</f>
      </c>
      <c r="H1559" s="11">
        <v>0</v>
      </c>
      <c r="I1559" s="11">
        <v>0</v>
      </c>
      <c r="J1559" s="7" t="s">
        <v>6872</v>
      </c>
      <c r="K1559" s="5" t="s">
        <v>72</v>
      </c>
      <c r="L1559" s="11">
        <v>136</v>
      </c>
      <c r="M1559" s="11">
        <v>2015</v>
      </c>
      <c r="N1559" s="11">
        <v>2004</v>
      </c>
      <c r="O1559" s="15"/>
      <c r="P1559" s="8">
        <v>44065</v>
      </c>
      <c r="Q1559" s="8"/>
      <c r="R1559" s="8"/>
      <c r="S1559" s="8"/>
      <c r="T1559" s="8"/>
      <c r="U1559" s="8"/>
      <c r="V1559" s="8"/>
      <c r="W1559" s="8"/>
      <c r="X1559" s="8"/>
      <c r="Y1559" s="8"/>
      <c r="Z1559" s="8"/>
      <c r="AA1559" s="8"/>
      <c r="AB1559" s="8"/>
      <c r="AC1559" s="8"/>
      <c r="AD1559" s="8"/>
      <c r="AE1559" s="8"/>
      <c r="AF1559" s="8"/>
      <c r="AG1559" s="8"/>
      <c r="AH1559" s="8"/>
      <c r="AI1559" s="8"/>
      <c r="AJ1559" s="8"/>
      <c r="AK1559" s="8"/>
      <c r="AL1559" s="8"/>
      <c r="AM1559" s="8"/>
      <c r="AN1559" s="8"/>
      <c r="AO1559" s="8"/>
      <c r="AP1559" s="8"/>
      <c r="AQ1559" s="8"/>
      <c r="AR1559" s="8"/>
      <c r="AS1559" s="8"/>
      <c r="AT1559" s="8"/>
      <c r="AU1559" s="8"/>
      <c r="AV1559" s="8"/>
      <c r="AW1559" s="8"/>
      <c r="AX1559" s="4" t="s">
        <v>6759</v>
      </c>
      <c r="AY1559" s="5" t="s">
        <v>6873</v>
      </c>
      <c r="AZ1559" s="5" t="s">
        <v>38</v>
      </c>
      <c r="BA1559" s="12"/>
      <c r="BB1559" s="12"/>
      <c r="BC1559" s="12"/>
      <c r="BD1559" s="11">
        <v>0</v>
      </c>
      <c r="BE1559" s="11">
        <v>0</v>
      </c>
    </row>
    <row x14ac:dyDescent="0.25" r="1560" customHeight="1" ht="17.25">
      <c r="A1560" s="11">
        <v>15894200</v>
      </c>
      <c r="B1560" s="4" t="s">
        <v>6874</v>
      </c>
      <c r="C1560" s="5" t="s">
        <v>6875</v>
      </c>
      <c r="D1560" s="5" t="s">
        <v>6876</v>
      </c>
      <c r="E1560" s="5" t="s">
        <v>6877</v>
      </c>
      <c r="F1560" s="13">
        <f>"1597111759"</f>
      </c>
      <c r="G1560" s="13">
        <f>"9781597111751"</f>
      </c>
      <c r="H1560" s="11">
        <v>0</v>
      </c>
      <c r="I1560" s="14">
        <v>4.03</v>
      </c>
      <c r="J1560" s="7" t="s">
        <v>6878</v>
      </c>
      <c r="K1560" s="5" t="s">
        <v>60</v>
      </c>
      <c r="L1560" s="11">
        <v>184</v>
      </c>
      <c r="M1560" s="11">
        <v>2012</v>
      </c>
      <c r="N1560" s="11">
        <v>1972</v>
      </c>
      <c r="O1560" s="15"/>
      <c r="P1560" s="8">
        <v>44018</v>
      </c>
      <c r="Q1560" s="8"/>
      <c r="R1560" s="8"/>
      <c r="S1560" s="8"/>
      <c r="T1560" s="8"/>
      <c r="U1560" s="8"/>
      <c r="V1560" s="8"/>
      <c r="W1560" s="8"/>
      <c r="X1560" s="8"/>
      <c r="Y1560" s="8"/>
      <c r="Z1560" s="8"/>
      <c r="AA1560" s="8"/>
      <c r="AB1560" s="8"/>
      <c r="AC1560" s="8"/>
      <c r="AD1560" s="8"/>
      <c r="AE1560" s="8"/>
      <c r="AF1560" s="8"/>
      <c r="AG1560" s="8"/>
      <c r="AH1560" s="8"/>
      <c r="AI1560" s="8"/>
      <c r="AJ1560" s="8"/>
      <c r="AK1560" s="8"/>
      <c r="AL1560" s="8"/>
      <c r="AM1560" s="8"/>
      <c r="AN1560" s="8"/>
      <c r="AO1560" s="8"/>
      <c r="AP1560" s="8"/>
      <c r="AQ1560" s="8"/>
      <c r="AR1560" s="8"/>
      <c r="AS1560" s="8"/>
      <c r="AT1560" s="8"/>
      <c r="AU1560" s="8"/>
      <c r="AV1560" s="8"/>
      <c r="AW1560" s="8"/>
      <c r="AX1560" s="4" t="s">
        <v>6271</v>
      </c>
      <c r="AY1560" s="5" t="s">
        <v>6879</v>
      </c>
      <c r="AZ1560" s="5" t="s">
        <v>38</v>
      </c>
      <c r="BA1560" s="12"/>
      <c r="BB1560" s="12"/>
      <c r="BC1560" s="12"/>
      <c r="BD1560" s="11">
        <v>0</v>
      </c>
      <c r="BE1560" s="11">
        <v>0</v>
      </c>
    </row>
    <row x14ac:dyDescent="0.25" r="1561" customHeight="1" ht="17.25">
      <c r="A1561" s="11">
        <v>134359</v>
      </c>
      <c r="B1561" s="4" t="s">
        <v>6880</v>
      </c>
      <c r="C1561" s="5" t="s">
        <v>6875</v>
      </c>
      <c r="D1561" s="5" t="s">
        <v>6876</v>
      </c>
      <c r="E1561" s="12"/>
      <c r="F1561" s="13">
        <f>"0375506209"</f>
      </c>
      <c r="G1561" s="13">
        <f>"9780375506208"</f>
      </c>
      <c r="H1561" s="11">
        <v>0</v>
      </c>
      <c r="I1561" s="14">
        <v>4.27</v>
      </c>
      <c r="J1561" s="7" t="s">
        <v>1018</v>
      </c>
      <c r="K1561" s="5" t="s">
        <v>72</v>
      </c>
      <c r="L1561" s="11">
        <v>352</v>
      </c>
      <c r="M1561" s="11">
        <v>2003</v>
      </c>
      <c r="N1561" s="11">
        <v>2003</v>
      </c>
      <c r="O1561" s="15"/>
      <c r="P1561" s="8">
        <v>44065</v>
      </c>
      <c r="Q1561" s="8"/>
      <c r="R1561" s="8"/>
      <c r="S1561" s="8"/>
      <c r="T1561" s="8"/>
      <c r="U1561" s="8"/>
      <c r="V1561" s="8"/>
      <c r="W1561" s="8"/>
      <c r="X1561" s="8"/>
      <c r="Y1561" s="8"/>
      <c r="Z1561" s="8"/>
      <c r="AA1561" s="8"/>
      <c r="AB1561" s="8"/>
      <c r="AC1561" s="8"/>
      <c r="AD1561" s="8"/>
      <c r="AE1561" s="8"/>
      <c r="AF1561" s="8"/>
      <c r="AG1561" s="8"/>
      <c r="AH1561" s="8"/>
      <c r="AI1561" s="8"/>
      <c r="AJ1561" s="8"/>
      <c r="AK1561" s="8"/>
      <c r="AL1561" s="8"/>
      <c r="AM1561" s="8"/>
      <c r="AN1561" s="8"/>
      <c r="AO1561" s="8"/>
      <c r="AP1561" s="8"/>
      <c r="AQ1561" s="8"/>
      <c r="AR1561" s="8"/>
      <c r="AS1561" s="8"/>
      <c r="AT1561" s="8"/>
      <c r="AU1561" s="8"/>
      <c r="AV1561" s="8"/>
      <c r="AW1561" s="8"/>
      <c r="AX1561" s="4" t="s">
        <v>6271</v>
      </c>
      <c r="AY1561" s="5" t="s">
        <v>6881</v>
      </c>
      <c r="AZ1561" s="5" t="s">
        <v>38</v>
      </c>
      <c r="BA1561" s="12"/>
      <c r="BB1561" s="12"/>
      <c r="BC1561" s="12"/>
      <c r="BD1561" s="11">
        <v>0</v>
      </c>
      <c r="BE1561" s="11">
        <v>0</v>
      </c>
    </row>
    <row x14ac:dyDescent="0.25" r="1562" customHeight="1" ht="17.25">
      <c r="A1562" s="11">
        <v>215485</v>
      </c>
      <c r="B1562" s="4" t="s">
        <v>6882</v>
      </c>
      <c r="C1562" s="5" t="s">
        <v>6883</v>
      </c>
      <c r="D1562" s="5" t="s">
        <v>6884</v>
      </c>
      <c r="E1562" s="5" t="s">
        <v>6885</v>
      </c>
      <c r="F1562" s="13">
        <f>"1590170172"</f>
      </c>
      <c r="G1562" s="13">
        <f>"9781590170175"</f>
      </c>
      <c r="H1562" s="11">
        <v>0</v>
      </c>
      <c r="I1562" s="14">
        <v>3.91</v>
      </c>
      <c r="J1562" s="7" t="s">
        <v>108</v>
      </c>
      <c r="K1562" s="5" t="s">
        <v>60</v>
      </c>
      <c r="L1562" s="11">
        <v>224</v>
      </c>
      <c r="M1562" s="11">
        <v>2002</v>
      </c>
      <c r="N1562" s="11">
        <v>1954</v>
      </c>
      <c r="O1562" s="15"/>
      <c r="P1562" s="8">
        <v>45078</v>
      </c>
      <c r="Q1562" s="8"/>
      <c r="R1562" s="8"/>
      <c r="S1562" s="8"/>
      <c r="T1562" s="8"/>
      <c r="U1562" s="8"/>
      <c r="V1562" s="8"/>
      <c r="W1562" s="8"/>
      <c r="X1562" s="8"/>
      <c r="Y1562" s="8"/>
      <c r="Z1562" s="8"/>
      <c r="AA1562" s="8"/>
      <c r="AB1562" s="8"/>
      <c r="AC1562" s="8"/>
      <c r="AD1562" s="8"/>
      <c r="AE1562" s="8"/>
      <c r="AF1562" s="8"/>
      <c r="AG1562" s="8"/>
      <c r="AH1562" s="8"/>
      <c r="AI1562" s="8"/>
      <c r="AJ1562" s="8"/>
      <c r="AK1562" s="8"/>
      <c r="AL1562" s="8"/>
      <c r="AM1562" s="8"/>
      <c r="AN1562" s="8"/>
      <c r="AO1562" s="8"/>
      <c r="AP1562" s="8"/>
      <c r="AQ1562" s="8"/>
      <c r="AR1562" s="8"/>
      <c r="AS1562" s="8"/>
      <c r="AT1562" s="8"/>
      <c r="AU1562" s="8"/>
      <c r="AV1562" s="8"/>
      <c r="AW1562" s="8"/>
      <c r="AX1562" s="4" t="s">
        <v>38</v>
      </c>
      <c r="AY1562" s="5" t="s">
        <v>6886</v>
      </c>
      <c r="AZ1562" s="5" t="s">
        <v>38</v>
      </c>
      <c r="BA1562" s="12"/>
      <c r="BB1562" s="12"/>
      <c r="BC1562" s="12"/>
      <c r="BD1562" s="11">
        <v>0</v>
      </c>
      <c r="BE1562" s="11">
        <v>0</v>
      </c>
    </row>
    <row x14ac:dyDescent="0.25" r="1563" customHeight="1" ht="17.25">
      <c r="A1563" s="11">
        <v>47096</v>
      </c>
      <c r="B1563" s="4" t="s">
        <v>6887</v>
      </c>
      <c r="C1563" s="5" t="s">
        <v>6888</v>
      </c>
      <c r="D1563" s="5" t="s">
        <v>6889</v>
      </c>
      <c r="E1563" s="12"/>
      <c r="F1563" s="13">
        <f>"0060977663"</f>
      </c>
      <c r="G1563" s="13">
        <f>"9780060977665"</f>
      </c>
      <c r="H1563" s="11">
        <v>0</v>
      </c>
      <c r="I1563" s="14">
        <v>3.91</v>
      </c>
      <c r="J1563" s="7" t="s">
        <v>6890</v>
      </c>
      <c r="K1563" s="5" t="s">
        <v>60</v>
      </c>
      <c r="L1563" s="11">
        <v>416</v>
      </c>
      <c r="M1563" s="11">
        <v>1999</v>
      </c>
      <c r="N1563" s="11">
        <v>1997</v>
      </c>
      <c r="O1563" s="15"/>
      <c r="P1563" s="8">
        <v>45078</v>
      </c>
      <c r="Q1563" s="8"/>
      <c r="R1563" s="8"/>
      <c r="S1563" s="8"/>
      <c r="T1563" s="8"/>
      <c r="U1563" s="8"/>
      <c r="V1563" s="8"/>
      <c r="W1563" s="8"/>
      <c r="X1563" s="8"/>
      <c r="Y1563" s="8"/>
      <c r="Z1563" s="8"/>
      <c r="AA1563" s="8"/>
      <c r="AB1563" s="8"/>
      <c r="AC1563" s="8"/>
      <c r="AD1563" s="8"/>
      <c r="AE1563" s="8"/>
      <c r="AF1563" s="8"/>
      <c r="AG1563" s="8"/>
      <c r="AH1563" s="8"/>
      <c r="AI1563" s="8"/>
      <c r="AJ1563" s="8"/>
      <c r="AK1563" s="8"/>
      <c r="AL1563" s="8"/>
      <c r="AM1563" s="8"/>
      <c r="AN1563" s="8"/>
      <c r="AO1563" s="8"/>
      <c r="AP1563" s="8"/>
      <c r="AQ1563" s="8"/>
      <c r="AR1563" s="8"/>
      <c r="AS1563" s="8"/>
      <c r="AT1563" s="8"/>
      <c r="AU1563" s="8"/>
      <c r="AV1563" s="8"/>
      <c r="AW1563" s="8"/>
      <c r="AX1563" s="4" t="s">
        <v>38</v>
      </c>
      <c r="AY1563" s="5" t="s">
        <v>6891</v>
      </c>
      <c r="AZ1563" s="5" t="s">
        <v>38</v>
      </c>
      <c r="BA1563" s="12"/>
      <c r="BB1563" s="12"/>
      <c r="BC1563" s="12"/>
      <c r="BD1563" s="11">
        <v>0</v>
      </c>
      <c r="BE1563" s="11">
        <v>0</v>
      </c>
    </row>
    <row x14ac:dyDescent="0.25" r="1564" customHeight="1" ht="17.25">
      <c r="A1564" s="11">
        <v>50922731</v>
      </c>
      <c r="B1564" s="4" t="s">
        <v>6892</v>
      </c>
      <c r="C1564" s="5" t="s">
        <v>6893</v>
      </c>
      <c r="D1564" s="5" t="s">
        <v>6894</v>
      </c>
      <c r="E1564" s="5" t="s">
        <v>6895</v>
      </c>
      <c r="F1564" s="13">
        <f>"0811229866"</f>
      </c>
      <c r="G1564" s="13">
        <f>"9780811229869"</f>
      </c>
      <c r="H1564" s="11">
        <v>0</v>
      </c>
      <c r="I1564" s="14">
        <v>4.17</v>
      </c>
      <c r="J1564" s="7" t="s">
        <v>126</v>
      </c>
      <c r="K1564" s="5" t="s">
        <v>72</v>
      </c>
      <c r="L1564" s="11">
        <v>160</v>
      </c>
      <c r="M1564" s="11">
        <v>2020</v>
      </c>
      <c r="N1564" s="11">
        <v>2020</v>
      </c>
      <c r="O1564" s="15"/>
      <c r="P1564" s="8">
        <v>45078</v>
      </c>
      <c r="Q1564" s="8"/>
      <c r="R1564" s="8"/>
      <c r="S1564" s="8"/>
      <c r="T1564" s="8"/>
      <c r="U1564" s="8"/>
      <c r="V1564" s="8"/>
      <c r="W1564" s="8"/>
      <c r="X1564" s="8"/>
      <c r="Y1564" s="8"/>
      <c r="Z1564" s="8"/>
      <c r="AA1564" s="8"/>
      <c r="AB1564" s="8"/>
      <c r="AC1564" s="8"/>
      <c r="AD1564" s="8"/>
      <c r="AE1564" s="8"/>
      <c r="AF1564" s="8"/>
      <c r="AG1564" s="8"/>
      <c r="AH1564" s="8"/>
      <c r="AI1564" s="8"/>
      <c r="AJ1564" s="8"/>
      <c r="AK1564" s="8"/>
      <c r="AL1564" s="8"/>
      <c r="AM1564" s="8"/>
      <c r="AN1564" s="8"/>
      <c r="AO1564" s="8"/>
      <c r="AP1564" s="8"/>
      <c r="AQ1564" s="8"/>
      <c r="AR1564" s="8"/>
      <c r="AS1564" s="8"/>
      <c r="AT1564" s="8"/>
      <c r="AU1564" s="8"/>
      <c r="AV1564" s="8"/>
      <c r="AW1564" s="8"/>
      <c r="AX1564" s="4" t="s">
        <v>38</v>
      </c>
      <c r="AY1564" s="5" t="s">
        <v>6896</v>
      </c>
      <c r="AZ1564" s="5" t="s">
        <v>38</v>
      </c>
      <c r="BA1564" s="12"/>
      <c r="BB1564" s="12"/>
      <c r="BC1564" s="12"/>
      <c r="BD1564" s="11">
        <v>0</v>
      </c>
      <c r="BE1564" s="11">
        <v>0</v>
      </c>
    </row>
    <row x14ac:dyDescent="0.25" r="1565" customHeight="1" ht="17.25">
      <c r="A1565" s="11">
        <v>603632</v>
      </c>
      <c r="B1565" s="4" t="s">
        <v>6897</v>
      </c>
      <c r="C1565" s="5" t="s">
        <v>6898</v>
      </c>
      <c r="D1565" s="5" t="s">
        <v>6899</v>
      </c>
      <c r="E1565" s="12"/>
      <c r="F1565" s="13">
        <f>"9505157258"</f>
      </c>
      <c r="G1565" s="13">
        <f>"9789505157259"</f>
      </c>
      <c r="H1565" s="11">
        <v>0</v>
      </c>
      <c r="I1565" s="14">
        <v>4.31</v>
      </c>
      <c r="J1565" s="7" t="s">
        <v>6900</v>
      </c>
      <c r="K1565" s="5" t="s">
        <v>60</v>
      </c>
      <c r="L1565" s="11">
        <v>126</v>
      </c>
      <c r="M1565" s="11">
        <v>2009</v>
      </c>
      <c r="N1565" s="11">
        <v>1996</v>
      </c>
      <c r="O1565" s="15"/>
      <c r="P1565" s="8">
        <v>45072</v>
      </c>
      <c r="Q1565" s="8"/>
      <c r="R1565" s="8"/>
      <c r="S1565" s="8"/>
      <c r="T1565" s="8"/>
      <c r="U1565" s="8"/>
      <c r="V1565" s="8"/>
      <c r="W1565" s="8"/>
      <c r="X1565" s="8"/>
      <c r="Y1565" s="8"/>
      <c r="Z1565" s="8"/>
      <c r="AA1565" s="8"/>
      <c r="AB1565" s="8"/>
      <c r="AC1565" s="8"/>
      <c r="AD1565" s="8"/>
      <c r="AE1565" s="8"/>
      <c r="AF1565" s="8"/>
      <c r="AG1565" s="8"/>
      <c r="AH1565" s="8"/>
      <c r="AI1565" s="8"/>
      <c r="AJ1565" s="8"/>
      <c r="AK1565" s="8"/>
      <c r="AL1565" s="8"/>
      <c r="AM1565" s="8"/>
      <c r="AN1565" s="8"/>
      <c r="AO1565" s="8"/>
      <c r="AP1565" s="8"/>
      <c r="AQ1565" s="8"/>
      <c r="AR1565" s="8"/>
      <c r="AS1565" s="8"/>
      <c r="AT1565" s="8"/>
      <c r="AU1565" s="8"/>
      <c r="AV1565" s="8"/>
      <c r="AW1565" s="8"/>
      <c r="AX1565" s="4" t="s">
        <v>24</v>
      </c>
      <c r="AY1565" s="5" t="s">
        <v>6901</v>
      </c>
      <c r="AZ1565" s="5" t="s">
        <v>24</v>
      </c>
      <c r="BA1565" s="12"/>
      <c r="BB1565" s="12"/>
      <c r="BC1565" s="12"/>
      <c r="BD1565" s="11">
        <v>1</v>
      </c>
      <c r="BE1565" s="11">
        <v>0</v>
      </c>
    </row>
    <row x14ac:dyDescent="0.25" r="1566" customHeight="1" ht="17.25">
      <c r="A1566" s="11">
        <v>60784815</v>
      </c>
      <c r="B1566" s="4" t="s">
        <v>6902</v>
      </c>
      <c r="C1566" s="5" t="s">
        <v>6903</v>
      </c>
      <c r="D1566" s="5" t="s">
        <v>6904</v>
      </c>
      <c r="E1566" s="12"/>
      <c r="F1566" s="13">
        <f>"0374607958"</f>
      </c>
      <c r="G1566" s="13">
        <f>"9780374607951"</f>
      </c>
      <c r="H1566" s="11">
        <v>0</v>
      </c>
      <c r="I1566" s="14">
        <v>3.81</v>
      </c>
      <c r="J1566" s="7" t="s">
        <v>120</v>
      </c>
      <c r="K1566" s="5" t="s">
        <v>72</v>
      </c>
      <c r="L1566" s="11">
        <v>128</v>
      </c>
      <c r="M1566" s="11">
        <v>2023</v>
      </c>
      <c r="N1566" s="11">
        <v>2023</v>
      </c>
      <c r="O1566" s="15"/>
      <c r="P1566" s="8">
        <v>45071</v>
      </c>
      <c r="Q1566" s="8"/>
      <c r="R1566" s="8"/>
      <c r="S1566" s="8"/>
      <c r="T1566" s="8"/>
      <c r="U1566" s="8"/>
      <c r="V1566" s="8"/>
      <c r="W1566" s="8"/>
      <c r="X1566" s="8"/>
      <c r="Y1566" s="8"/>
      <c r="Z1566" s="8"/>
      <c r="AA1566" s="8"/>
      <c r="AB1566" s="8"/>
      <c r="AC1566" s="8"/>
      <c r="AD1566" s="8"/>
      <c r="AE1566" s="8"/>
      <c r="AF1566" s="8"/>
      <c r="AG1566" s="8"/>
      <c r="AH1566" s="8"/>
      <c r="AI1566" s="8"/>
      <c r="AJ1566" s="8"/>
      <c r="AK1566" s="8"/>
      <c r="AL1566" s="8"/>
      <c r="AM1566" s="8"/>
      <c r="AN1566" s="8"/>
      <c r="AO1566" s="8"/>
      <c r="AP1566" s="8"/>
      <c r="AQ1566" s="8"/>
      <c r="AR1566" s="8"/>
      <c r="AS1566" s="8"/>
      <c r="AT1566" s="8"/>
      <c r="AU1566" s="8"/>
      <c r="AV1566" s="8"/>
      <c r="AW1566" s="8"/>
      <c r="AX1566" s="4" t="s">
        <v>38</v>
      </c>
      <c r="AY1566" s="5" t="s">
        <v>6905</v>
      </c>
      <c r="AZ1566" s="5" t="s">
        <v>38</v>
      </c>
      <c r="BA1566" s="12"/>
      <c r="BB1566" s="12"/>
      <c r="BC1566" s="12"/>
      <c r="BD1566" s="11">
        <v>0</v>
      </c>
      <c r="BE1566" s="11">
        <v>0</v>
      </c>
    </row>
    <row x14ac:dyDescent="0.25" r="1567" customHeight="1" ht="17.25">
      <c r="A1567" s="11">
        <v>35132783</v>
      </c>
      <c r="B1567" s="4" t="s">
        <v>6906</v>
      </c>
      <c r="C1567" s="5" t="s">
        <v>2906</v>
      </c>
      <c r="D1567" s="5" t="s">
        <v>2907</v>
      </c>
      <c r="E1567" s="12"/>
      <c r="F1567" s="13">
        <f>"1546563504"</f>
      </c>
      <c r="G1567" s="13">
        <f>"9781546563501"</f>
      </c>
      <c r="H1567" s="11">
        <v>0</v>
      </c>
      <c r="I1567" s="14">
        <v>4.45</v>
      </c>
      <c r="J1567" s="7" t="s">
        <v>6907</v>
      </c>
      <c r="K1567" s="5" t="s">
        <v>60</v>
      </c>
      <c r="L1567" s="11">
        <v>342</v>
      </c>
      <c r="M1567" s="11">
        <v>2017</v>
      </c>
      <c r="N1567" s="11">
        <v>1862</v>
      </c>
      <c r="O1567" s="15"/>
      <c r="P1567" s="8">
        <v>45070</v>
      </c>
      <c r="Q1567" s="8"/>
      <c r="R1567" s="8"/>
      <c r="S1567" s="8"/>
      <c r="T1567" s="8"/>
      <c r="U1567" s="8"/>
      <c r="V1567" s="8"/>
      <c r="W1567" s="8"/>
      <c r="X1567" s="8"/>
      <c r="Y1567" s="8"/>
      <c r="Z1567" s="8"/>
      <c r="AA1567" s="8"/>
      <c r="AB1567" s="8"/>
      <c r="AC1567" s="8"/>
      <c r="AD1567" s="8"/>
      <c r="AE1567" s="8"/>
      <c r="AF1567" s="8"/>
      <c r="AG1567" s="8"/>
      <c r="AH1567" s="8"/>
      <c r="AI1567" s="8"/>
      <c r="AJ1567" s="8"/>
      <c r="AK1567" s="8"/>
      <c r="AL1567" s="8"/>
      <c r="AM1567" s="8"/>
      <c r="AN1567" s="8"/>
      <c r="AO1567" s="8"/>
      <c r="AP1567" s="8"/>
      <c r="AQ1567" s="8"/>
      <c r="AR1567" s="8"/>
      <c r="AS1567" s="8"/>
      <c r="AT1567" s="8"/>
      <c r="AU1567" s="8"/>
      <c r="AV1567" s="8"/>
      <c r="AW1567" s="8"/>
      <c r="AX1567" s="4" t="s">
        <v>38</v>
      </c>
      <c r="AY1567" s="5" t="s">
        <v>6908</v>
      </c>
      <c r="AZ1567" s="5" t="s">
        <v>38</v>
      </c>
      <c r="BA1567" s="12"/>
      <c r="BB1567" s="12"/>
      <c r="BC1567" s="12"/>
      <c r="BD1567" s="11">
        <v>0</v>
      </c>
      <c r="BE1567" s="11">
        <v>0</v>
      </c>
    </row>
    <row x14ac:dyDescent="0.25" r="1568" customHeight="1" ht="17.25">
      <c r="A1568" s="11">
        <v>771091</v>
      </c>
      <c r="B1568" s="4" t="s">
        <v>6909</v>
      </c>
      <c r="C1568" s="5" t="s">
        <v>6910</v>
      </c>
      <c r="D1568" s="5" t="s">
        <v>6911</v>
      </c>
      <c r="E1568" s="5" t="s">
        <v>6912</v>
      </c>
      <c r="F1568" s="13">
        <f>"0486228029"</f>
      </c>
      <c r="G1568" s="13">
        <f>"9780486228020"</f>
      </c>
      <c r="H1568" s="11">
        <v>0</v>
      </c>
      <c r="I1568" s="14">
        <v>3.2</v>
      </c>
      <c r="J1568" s="7" t="s">
        <v>3711</v>
      </c>
      <c r="K1568" s="5" t="s">
        <v>60</v>
      </c>
      <c r="L1568" s="11">
        <v>323</v>
      </c>
      <c r="M1568" s="11">
        <v>1971</v>
      </c>
      <c r="N1568" s="11">
        <v>1485</v>
      </c>
      <c r="O1568" s="15"/>
      <c r="P1568" s="8">
        <v>45070</v>
      </c>
      <c r="Q1568" s="8"/>
      <c r="R1568" s="8"/>
      <c r="S1568" s="8"/>
      <c r="T1568" s="8"/>
      <c r="U1568" s="8"/>
      <c r="V1568" s="8"/>
      <c r="W1568" s="8"/>
      <c r="X1568" s="8"/>
      <c r="Y1568" s="8"/>
      <c r="Z1568" s="8"/>
      <c r="AA1568" s="8"/>
      <c r="AB1568" s="8"/>
      <c r="AC1568" s="8"/>
      <c r="AD1568" s="8"/>
      <c r="AE1568" s="8"/>
      <c r="AF1568" s="8"/>
      <c r="AG1568" s="8"/>
      <c r="AH1568" s="8"/>
      <c r="AI1568" s="8"/>
      <c r="AJ1568" s="8"/>
      <c r="AK1568" s="8"/>
      <c r="AL1568" s="8"/>
      <c r="AM1568" s="8"/>
      <c r="AN1568" s="8"/>
      <c r="AO1568" s="8"/>
      <c r="AP1568" s="8"/>
      <c r="AQ1568" s="8"/>
      <c r="AR1568" s="8"/>
      <c r="AS1568" s="8"/>
      <c r="AT1568" s="8"/>
      <c r="AU1568" s="8"/>
      <c r="AV1568" s="8"/>
      <c r="AW1568" s="8"/>
      <c r="AX1568" s="4" t="s">
        <v>38</v>
      </c>
      <c r="AY1568" s="5" t="s">
        <v>6913</v>
      </c>
      <c r="AZ1568" s="5" t="s">
        <v>38</v>
      </c>
      <c r="BA1568" s="12"/>
      <c r="BB1568" s="12"/>
      <c r="BC1568" s="12"/>
      <c r="BD1568" s="11">
        <v>0</v>
      </c>
      <c r="BE1568" s="11">
        <v>0</v>
      </c>
    </row>
    <row x14ac:dyDescent="0.25" r="1569" customHeight="1" ht="17.25">
      <c r="A1569" s="11">
        <v>6328153</v>
      </c>
      <c r="B1569" s="4" t="s">
        <v>6914</v>
      </c>
      <c r="C1569" s="5" t="s">
        <v>502</v>
      </c>
      <c r="D1569" s="5" t="s">
        <v>503</v>
      </c>
      <c r="E1569" s="5" t="s">
        <v>6915</v>
      </c>
      <c r="F1569" s="13">
        <f>"0199538360"</f>
      </c>
      <c r="G1569" s="13">
        <f>"9780199538362"</f>
      </c>
      <c r="H1569" s="11">
        <v>0</v>
      </c>
      <c r="I1569" s="11">
        <v>4</v>
      </c>
      <c r="J1569" s="7" t="s">
        <v>245</v>
      </c>
      <c r="K1569" s="5" t="s">
        <v>60</v>
      </c>
      <c r="L1569" s="11">
        <v>348</v>
      </c>
      <c r="M1569" s="11">
        <v>2009</v>
      </c>
      <c r="N1569" s="11">
        <v>1989</v>
      </c>
      <c r="O1569" s="15"/>
      <c r="P1569" s="8">
        <v>45070</v>
      </c>
      <c r="Q1569" s="8"/>
      <c r="R1569" s="8"/>
      <c r="S1569" s="8"/>
      <c r="T1569" s="8"/>
      <c r="U1569" s="8"/>
      <c r="V1569" s="8"/>
      <c r="W1569" s="8"/>
      <c r="X1569" s="8"/>
      <c r="Y1569" s="8"/>
      <c r="Z1569" s="8"/>
      <c r="AA1569" s="8"/>
      <c r="AB1569" s="8"/>
      <c r="AC1569" s="8"/>
      <c r="AD1569" s="8"/>
      <c r="AE1569" s="8"/>
      <c r="AF1569" s="8"/>
      <c r="AG1569" s="8"/>
      <c r="AH1569" s="8"/>
      <c r="AI1569" s="8"/>
      <c r="AJ1569" s="8"/>
      <c r="AK1569" s="8"/>
      <c r="AL1569" s="8"/>
      <c r="AM1569" s="8"/>
      <c r="AN1569" s="8"/>
      <c r="AO1569" s="8"/>
      <c r="AP1569" s="8"/>
      <c r="AQ1569" s="8"/>
      <c r="AR1569" s="8"/>
      <c r="AS1569" s="8"/>
      <c r="AT1569" s="8"/>
      <c r="AU1569" s="8"/>
      <c r="AV1569" s="8"/>
      <c r="AW1569" s="8"/>
      <c r="AX1569" s="4" t="s">
        <v>38</v>
      </c>
      <c r="AY1569" s="5" t="s">
        <v>6916</v>
      </c>
      <c r="AZ1569" s="5" t="s">
        <v>38</v>
      </c>
      <c r="BA1569" s="12"/>
      <c r="BB1569" s="12"/>
      <c r="BC1569" s="12"/>
      <c r="BD1569" s="11">
        <v>0</v>
      </c>
      <c r="BE1569" s="11">
        <v>0</v>
      </c>
    </row>
    <row x14ac:dyDescent="0.25" r="1570" customHeight="1" ht="17.25">
      <c r="A1570" s="11">
        <v>533074</v>
      </c>
      <c r="B1570" s="4" t="s">
        <v>6917</v>
      </c>
      <c r="C1570" s="5" t="s">
        <v>6918</v>
      </c>
      <c r="D1570" s="5" t="s">
        <v>6919</v>
      </c>
      <c r="E1570" s="5" t="s">
        <v>6920</v>
      </c>
      <c r="F1570" s="13">
        <f>"1578632595"</f>
      </c>
      <c r="G1570" s="13">
        <f>"0824297632597"</f>
      </c>
      <c r="H1570" s="11">
        <v>0</v>
      </c>
      <c r="I1570" s="14">
        <v>3.99</v>
      </c>
      <c r="J1570" s="7" t="s">
        <v>6921</v>
      </c>
      <c r="K1570" s="5" t="s">
        <v>60</v>
      </c>
      <c r="L1570" s="11">
        <v>140</v>
      </c>
      <c r="M1570" s="11">
        <v>2003</v>
      </c>
      <c r="N1570" s="11">
        <v>-300</v>
      </c>
      <c r="O1570" s="15"/>
      <c r="P1570" s="8">
        <v>45070</v>
      </c>
      <c r="Q1570" s="8"/>
      <c r="R1570" s="8"/>
      <c r="S1570" s="8"/>
      <c r="T1570" s="8"/>
      <c r="U1570" s="8"/>
      <c r="V1570" s="8"/>
      <c r="W1570" s="8"/>
      <c r="X1570" s="8"/>
      <c r="Y1570" s="8"/>
      <c r="Z1570" s="8"/>
      <c r="AA1570" s="8"/>
      <c r="AB1570" s="8"/>
      <c r="AC1570" s="8"/>
      <c r="AD1570" s="8"/>
      <c r="AE1570" s="8"/>
      <c r="AF1570" s="8"/>
      <c r="AG1570" s="8"/>
      <c r="AH1570" s="8"/>
      <c r="AI1570" s="8"/>
      <c r="AJ1570" s="8"/>
      <c r="AK1570" s="8"/>
      <c r="AL1570" s="8"/>
      <c r="AM1570" s="8"/>
      <c r="AN1570" s="8"/>
      <c r="AO1570" s="8"/>
      <c r="AP1570" s="8"/>
      <c r="AQ1570" s="8"/>
      <c r="AR1570" s="8"/>
      <c r="AS1570" s="8"/>
      <c r="AT1570" s="8"/>
      <c r="AU1570" s="8"/>
      <c r="AV1570" s="8"/>
      <c r="AW1570" s="8"/>
      <c r="AX1570" s="4" t="s">
        <v>38</v>
      </c>
      <c r="AY1570" s="5" t="s">
        <v>6922</v>
      </c>
      <c r="AZ1570" s="5" t="s">
        <v>38</v>
      </c>
      <c r="BA1570" s="12"/>
      <c r="BB1570" s="12"/>
      <c r="BC1570" s="12"/>
      <c r="BD1570" s="11">
        <v>0</v>
      </c>
      <c r="BE1570" s="11">
        <v>0</v>
      </c>
    </row>
    <row x14ac:dyDescent="0.25" r="1571" customHeight="1" ht="17.25">
      <c r="A1571" s="11">
        <v>681667</v>
      </c>
      <c r="B1571" s="4" t="s">
        <v>6923</v>
      </c>
      <c r="C1571" s="5" t="s">
        <v>6924</v>
      </c>
      <c r="D1571" s="5" t="s">
        <v>6925</v>
      </c>
      <c r="E1571" s="5" t="s">
        <v>2319</v>
      </c>
      <c r="F1571" s="13">
        <f>"0521425433"</f>
      </c>
      <c r="G1571" s="13">
        <f>"9780521425438"</f>
      </c>
      <c r="H1571" s="11">
        <v>0</v>
      </c>
      <c r="I1571" s="14">
        <v>4.4</v>
      </c>
      <c r="J1571" s="7" t="s">
        <v>636</v>
      </c>
      <c r="K1571" s="5" t="s">
        <v>60</v>
      </c>
      <c r="L1571" s="11">
        <v>408</v>
      </c>
      <c r="M1571" s="11">
        <v>1995</v>
      </c>
      <c r="N1571" s="11">
        <v>-300</v>
      </c>
      <c r="O1571" s="15"/>
      <c r="P1571" s="8">
        <v>45070</v>
      </c>
      <c r="Q1571" s="8"/>
      <c r="R1571" s="8"/>
      <c r="S1571" s="8"/>
      <c r="T1571" s="8"/>
      <c r="U1571" s="8"/>
      <c r="V1571" s="8"/>
      <c r="W1571" s="8"/>
      <c r="X1571" s="8"/>
      <c r="Y1571" s="8"/>
      <c r="Z1571" s="8"/>
      <c r="AA1571" s="8"/>
      <c r="AB1571" s="8"/>
      <c r="AC1571" s="8"/>
      <c r="AD1571" s="8"/>
      <c r="AE1571" s="8"/>
      <c r="AF1571" s="8"/>
      <c r="AG1571" s="8"/>
      <c r="AH1571" s="8"/>
      <c r="AI1571" s="8"/>
      <c r="AJ1571" s="8"/>
      <c r="AK1571" s="8"/>
      <c r="AL1571" s="8"/>
      <c r="AM1571" s="8"/>
      <c r="AN1571" s="8"/>
      <c r="AO1571" s="8"/>
      <c r="AP1571" s="8"/>
      <c r="AQ1571" s="8"/>
      <c r="AR1571" s="8"/>
      <c r="AS1571" s="8"/>
      <c r="AT1571" s="8"/>
      <c r="AU1571" s="8"/>
      <c r="AV1571" s="8"/>
      <c r="AW1571" s="8"/>
      <c r="AX1571" s="4" t="s">
        <v>38</v>
      </c>
      <c r="AY1571" s="5" t="s">
        <v>6926</v>
      </c>
      <c r="AZ1571" s="5" t="s">
        <v>38</v>
      </c>
      <c r="BA1571" s="12"/>
      <c r="BB1571" s="12"/>
      <c r="BC1571" s="12"/>
      <c r="BD1571" s="11">
        <v>0</v>
      </c>
      <c r="BE1571" s="11">
        <v>0</v>
      </c>
    </row>
    <row x14ac:dyDescent="0.25" r="1572" customHeight="1" ht="17.25">
      <c r="A1572" s="11">
        <v>302604</v>
      </c>
      <c r="B1572" s="4" t="s">
        <v>6927</v>
      </c>
      <c r="C1572" s="5" t="s">
        <v>2906</v>
      </c>
      <c r="D1572" s="5" t="s">
        <v>2907</v>
      </c>
      <c r="E1572" s="5" t="s">
        <v>6928</v>
      </c>
      <c r="F1572" s="13">
        <f>"0877289298"</f>
      </c>
      <c r="G1572" s="13">
        <f>"9780877289296"</f>
      </c>
      <c r="H1572" s="11">
        <v>0</v>
      </c>
      <c r="I1572" s="14">
        <v>3.8</v>
      </c>
      <c r="J1572" s="7" t="s">
        <v>5059</v>
      </c>
      <c r="K1572" s="5" t="s">
        <v>60</v>
      </c>
      <c r="L1572" s="11">
        <v>392</v>
      </c>
      <c r="M1572" s="11">
        <v>1999</v>
      </c>
      <c r="N1572" s="11">
        <v>1860</v>
      </c>
      <c r="O1572" s="15"/>
      <c r="P1572" s="8">
        <v>45070</v>
      </c>
      <c r="Q1572" s="8"/>
      <c r="R1572" s="8"/>
      <c r="S1572" s="8"/>
      <c r="T1572" s="8"/>
      <c r="U1572" s="8"/>
      <c r="V1572" s="8"/>
      <c r="W1572" s="8"/>
      <c r="X1572" s="8"/>
      <c r="Y1572" s="8"/>
      <c r="Z1572" s="8"/>
      <c r="AA1572" s="8"/>
      <c r="AB1572" s="8"/>
      <c r="AC1572" s="8"/>
      <c r="AD1572" s="8"/>
      <c r="AE1572" s="8"/>
      <c r="AF1572" s="8"/>
      <c r="AG1572" s="8"/>
      <c r="AH1572" s="8"/>
      <c r="AI1572" s="8"/>
      <c r="AJ1572" s="8"/>
      <c r="AK1572" s="8"/>
      <c r="AL1572" s="8"/>
      <c r="AM1572" s="8"/>
      <c r="AN1572" s="8"/>
      <c r="AO1572" s="8"/>
      <c r="AP1572" s="8"/>
      <c r="AQ1572" s="8"/>
      <c r="AR1572" s="8"/>
      <c r="AS1572" s="8"/>
      <c r="AT1572" s="8"/>
      <c r="AU1572" s="8"/>
      <c r="AV1572" s="8"/>
      <c r="AW1572" s="8"/>
      <c r="AX1572" s="4" t="s">
        <v>38</v>
      </c>
      <c r="AY1572" s="5" t="s">
        <v>6929</v>
      </c>
      <c r="AZ1572" s="5" t="s">
        <v>38</v>
      </c>
      <c r="BA1572" s="12"/>
      <c r="BB1572" s="12"/>
      <c r="BC1572" s="12"/>
      <c r="BD1572" s="11">
        <v>0</v>
      </c>
      <c r="BE1572" s="11">
        <v>0</v>
      </c>
    </row>
    <row x14ac:dyDescent="0.25" r="1573" customHeight="1" ht="17.25">
      <c r="A1573" s="11">
        <v>743049</v>
      </c>
      <c r="B1573" s="4" t="s">
        <v>6930</v>
      </c>
      <c r="C1573" s="5" t="s">
        <v>6931</v>
      </c>
      <c r="D1573" s="5" t="s">
        <v>6932</v>
      </c>
      <c r="E1573" s="5" t="s">
        <v>6933</v>
      </c>
      <c r="F1573" s="13">
        <f>"0060669357"</f>
      </c>
      <c r="G1573" s="13">
        <f>"9780060669355"</f>
      </c>
      <c r="H1573" s="11">
        <v>0</v>
      </c>
      <c r="I1573" s="14">
        <v>4.22</v>
      </c>
      <c r="J1573" s="7" t="s">
        <v>225</v>
      </c>
      <c r="K1573" s="5" t="s">
        <v>60</v>
      </c>
      <c r="L1573" s="11">
        <v>576</v>
      </c>
      <c r="M1573" s="11">
        <v>1990</v>
      </c>
      <c r="N1573" s="11">
        <v>400</v>
      </c>
      <c r="O1573" s="15"/>
      <c r="P1573" s="8">
        <v>45070</v>
      </c>
      <c r="Q1573" s="8"/>
      <c r="R1573" s="8"/>
      <c r="S1573" s="8"/>
      <c r="T1573" s="8"/>
      <c r="U1573" s="8"/>
      <c r="V1573" s="8"/>
      <c r="W1573" s="8"/>
      <c r="X1573" s="8"/>
      <c r="Y1573" s="8"/>
      <c r="Z1573" s="8"/>
      <c r="AA1573" s="8"/>
      <c r="AB1573" s="8"/>
      <c r="AC1573" s="8"/>
      <c r="AD1573" s="8"/>
      <c r="AE1573" s="8"/>
      <c r="AF1573" s="8"/>
      <c r="AG1573" s="8"/>
      <c r="AH1573" s="8"/>
      <c r="AI1573" s="8"/>
      <c r="AJ1573" s="8"/>
      <c r="AK1573" s="8"/>
      <c r="AL1573" s="8"/>
      <c r="AM1573" s="8"/>
      <c r="AN1573" s="8"/>
      <c r="AO1573" s="8"/>
      <c r="AP1573" s="8"/>
      <c r="AQ1573" s="8"/>
      <c r="AR1573" s="8"/>
      <c r="AS1573" s="8"/>
      <c r="AT1573" s="8"/>
      <c r="AU1573" s="8"/>
      <c r="AV1573" s="8"/>
      <c r="AW1573" s="8"/>
      <c r="AX1573" s="4" t="s">
        <v>38</v>
      </c>
      <c r="AY1573" s="5" t="s">
        <v>6934</v>
      </c>
      <c r="AZ1573" s="5" t="s">
        <v>38</v>
      </c>
      <c r="BA1573" s="12"/>
      <c r="BB1573" s="12"/>
      <c r="BC1573" s="12"/>
      <c r="BD1573" s="11">
        <v>0</v>
      </c>
      <c r="BE1573" s="11">
        <v>0</v>
      </c>
    </row>
    <row x14ac:dyDescent="0.25" r="1574" customHeight="1" ht="17.25">
      <c r="A1574" s="11">
        <v>65145</v>
      </c>
      <c r="B1574" s="4" t="s">
        <v>6935</v>
      </c>
      <c r="C1574" s="5" t="s">
        <v>6936</v>
      </c>
      <c r="D1574" s="5" t="s">
        <v>6937</v>
      </c>
      <c r="E1574" s="5" t="s">
        <v>6938</v>
      </c>
      <c r="F1574" s="13">
        <f>"0226356795"</f>
      </c>
      <c r="G1574" s="13">
        <f>"9780226356792"</f>
      </c>
      <c r="H1574" s="11">
        <v>0</v>
      </c>
      <c r="I1574" s="14">
        <v>3.86</v>
      </c>
      <c r="J1574" s="7" t="s">
        <v>255</v>
      </c>
      <c r="K1574" s="5" t="s">
        <v>60</v>
      </c>
      <c r="L1574" s="11">
        <v>166</v>
      </c>
      <c r="M1574" s="11">
        <v>1981</v>
      </c>
      <c r="N1574" s="11">
        <v>1899</v>
      </c>
      <c r="O1574" s="15"/>
      <c r="P1574" s="8">
        <v>45070</v>
      </c>
      <c r="Q1574" s="8"/>
      <c r="R1574" s="8"/>
      <c r="S1574" s="8"/>
      <c r="T1574" s="8"/>
      <c r="U1574" s="8"/>
      <c r="V1574" s="8"/>
      <c r="W1574" s="8"/>
      <c r="X1574" s="8"/>
      <c r="Y1574" s="8"/>
      <c r="Z1574" s="8"/>
      <c r="AA1574" s="8"/>
      <c r="AB1574" s="8"/>
      <c r="AC1574" s="8"/>
      <c r="AD1574" s="8"/>
      <c r="AE1574" s="8"/>
      <c r="AF1574" s="8"/>
      <c r="AG1574" s="8"/>
      <c r="AH1574" s="8"/>
      <c r="AI1574" s="8"/>
      <c r="AJ1574" s="8"/>
      <c r="AK1574" s="8"/>
      <c r="AL1574" s="8"/>
      <c r="AM1574" s="8"/>
      <c r="AN1574" s="8"/>
      <c r="AO1574" s="8"/>
      <c r="AP1574" s="8"/>
      <c r="AQ1574" s="8"/>
      <c r="AR1574" s="8"/>
      <c r="AS1574" s="8"/>
      <c r="AT1574" s="8"/>
      <c r="AU1574" s="8"/>
      <c r="AV1574" s="8"/>
      <c r="AW1574" s="8"/>
      <c r="AX1574" s="4" t="s">
        <v>38</v>
      </c>
      <c r="AY1574" s="5" t="s">
        <v>6939</v>
      </c>
      <c r="AZ1574" s="5" t="s">
        <v>38</v>
      </c>
      <c r="BA1574" s="12"/>
      <c r="BB1574" s="12"/>
      <c r="BC1574" s="12"/>
      <c r="BD1574" s="11">
        <v>0</v>
      </c>
      <c r="BE1574" s="11">
        <v>0</v>
      </c>
    </row>
    <row x14ac:dyDescent="0.25" r="1575" customHeight="1" ht="17.25">
      <c r="A1575" s="11">
        <v>40672036</v>
      </c>
      <c r="B1575" s="4" t="s">
        <v>6940</v>
      </c>
      <c r="C1575" s="5" t="s">
        <v>6941</v>
      </c>
      <c r="D1575" s="5" t="s">
        <v>6942</v>
      </c>
      <c r="E1575" s="12"/>
      <c r="F1575" s="13">
        <f>"052553654X"</f>
      </c>
      <c r="G1575" s="13">
        <f>""</f>
      </c>
      <c r="H1575" s="11">
        <v>0</v>
      </c>
      <c r="I1575" s="14">
        <v>4.06</v>
      </c>
      <c r="J1575" s="7" t="s">
        <v>6943</v>
      </c>
      <c r="K1575" s="5" t="s">
        <v>90</v>
      </c>
      <c r="L1575" s="11">
        <v>302</v>
      </c>
      <c r="M1575" s="11">
        <v>2019</v>
      </c>
      <c r="N1575" s="11">
        <v>2019</v>
      </c>
      <c r="O1575" s="15"/>
      <c r="P1575" s="8">
        <v>45068</v>
      </c>
      <c r="Q1575" s="8"/>
      <c r="R1575" s="8"/>
      <c r="S1575" s="8"/>
      <c r="T1575" s="8"/>
      <c r="U1575" s="8"/>
      <c r="V1575" s="8"/>
      <c r="W1575" s="8"/>
      <c r="X1575" s="8"/>
      <c r="Y1575" s="8"/>
      <c r="Z1575" s="8"/>
      <c r="AA1575" s="8"/>
      <c r="AB1575" s="8"/>
      <c r="AC1575" s="8"/>
      <c r="AD1575" s="8"/>
      <c r="AE1575" s="8"/>
      <c r="AF1575" s="8"/>
      <c r="AG1575" s="8"/>
      <c r="AH1575" s="8"/>
      <c r="AI1575" s="8"/>
      <c r="AJ1575" s="8"/>
      <c r="AK1575" s="8"/>
      <c r="AL1575" s="8"/>
      <c r="AM1575" s="8"/>
      <c r="AN1575" s="8"/>
      <c r="AO1575" s="8"/>
      <c r="AP1575" s="8"/>
      <c r="AQ1575" s="8"/>
      <c r="AR1575" s="8"/>
      <c r="AS1575" s="8"/>
      <c r="AT1575" s="8"/>
      <c r="AU1575" s="8"/>
      <c r="AV1575" s="8"/>
      <c r="AW1575" s="8"/>
      <c r="AX1575" s="4" t="s">
        <v>38</v>
      </c>
      <c r="AY1575" s="5" t="s">
        <v>6944</v>
      </c>
      <c r="AZ1575" s="5" t="s">
        <v>38</v>
      </c>
      <c r="BA1575" s="12"/>
      <c r="BB1575" s="12"/>
      <c r="BC1575" s="12"/>
      <c r="BD1575" s="11">
        <v>0</v>
      </c>
      <c r="BE1575" s="11">
        <v>0</v>
      </c>
    </row>
    <row x14ac:dyDescent="0.25" r="1576" customHeight="1" ht="17.25">
      <c r="A1576" s="11">
        <v>59808037</v>
      </c>
      <c r="B1576" s="4" t="s">
        <v>6945</v>
      </c>
      <c r="C1576" s="5" t="s">
        <v>6946</v>
      </c>
      <c r="D1576" s="5" t="s">
        <v>6947</v>
      </c>
      <c r="E1576" s="12"/>
      <c r="F1576" s="13">
        <f>"1250208459"</f>
      </c>
      <c r="G1576" s="13">
        <f>"9781250208453"</f>
      </c>
      <c r="H1576" s="11">
        <v>0</v>
      </c>
      <c r="I1576" s="14">
        <v>3.91</v>
      </c>
      <c r="J1576" s="7" t="s">
        <v>6948</v>
      </c>
      <c r="K1576" s="5" t="s">
        <v>72</v>
      </c>
      <c r="L1576" s="11">
        <v>195</v>
      </c>
      <c r="M1576" s="11">
        <v>2022</v>
      </c>
      <c r="N1576" s="11">
        <v>2022</v>
      </c>
      <c r="O1576" s="15"/>
      <c r="P1576" s="8">
        <v>45065</v>
      </c>
      <c r="Q1576" s="8"/>
      <c r="R1576" s="8"/>
      <c r="S1576" s="8"/>
      <c r="T1576" s="8"/>
      <c r="U1576" s="8"/>
      <c r="V1576" s="8"/>
      <c r="W1576" s="8"/>
      <c r="X1576" s="8"/>
      <c r="Y1576" s="8"/>
      <c r="Z1576" s="8"/>
      <c r="AA1576" s="8"/>
      <c r="AB1576" s="8"/>
      <c r="AC1576" s="8"/>
      <c r="AD1576" s="8"/>
      <c r="AE1576" s="8"/>
      <c r="AF1576" s="8"/>
      <c r="AG1576" s="8"/>
      <c r="AH1576" s="8"/>
      <c r="AI1576" s="8"/>
      <c r="AJ1576" s="8"/>
      <c r="AK1576" s="8"/>
      <c r="AL1576" s="8"/>
      <c r="AM1576" s="8"/>
      <c r="AN1576" s="8"/>
      <c r="AO1576" s="8"/>
      <c r="AP1576" s="8"/>
      <c r="AQ1576" s="8"/>
      <c r="AR1576" s="8"/>
      <c r="AS1576" s="8"/>
      <c r="AT1576" s="8"/>
      <c r="AU1576" s="8"/>
      <c r="AV1576" s="8"/>
      <c r="AW1576" s="8"/>
      <c r="AX1576" s="4" t="s">
        <v>38</v>
      </c>
      <c r="AY1576" s="5" t="s">
        <v>6949</v>
      </c>
      <c r="AZ1576" s="5" t="s">
        <v>38</v>
      </c>
      <c r="BA1576" s="12"/>
      <c r="BB1576" s="12"/>
      <c r="BC1576" s="12"/>
      <c r="BD1576" s="11">
        <v>0</v>
      </c>
      <c r="BE1576" s="11">
        <v>0</v>
      </c>
    </row>
    <row x14ac:dyDescent="0.25" r="1577" customHeight="1" ht="17.25">
      <c r="A1577" s="11">
        <v>41335205</v>
      </c>
      <c r="B1577" s="4" t="s">
        <v>6950</v>
      </c>
      <c r="C1577" s="5" t="s">
        <v>6951</v>
      </c>
      <c r="D1577" s="5" t="s">
        <v>6952</v>
      </c>
      <c r="E1577" s="12"/>
      <c r="F1577" s="13">
        <f>"8497619382"</f>
      </c>
      <c r="G1577" s="13">
        <f>"9788497619387"</f>
      </c>
      <c r="H1577" s="11">
        <v>0</v>
      </c>
      <c r="I1577" s="14">
        <v>3.96</v>
      </c>
      <c r="J1577" s="7" t="s">
        <v>6953</v>
      </c>
      <c r="K1577" s="5" t="s">
        <v>60</v>
      </c>
      <c r="L1577" s="11">
        <v>600</v>
      </c>
      <c r="M1577" s="11">
        <v>2011</v>
      </c>
      <c r="N1577" s="11">
        <v>1818</v>
      </c>
      <c r="O1577" s="15"/>
      <c r="P1577" s="8">
        <v>44802</v>
      </c>
      <c r="Q1577" s="8"/>
      <c r="R1577" s="8"/>
      <c r="S1577" s="8"/>
      <c r="T1577" s="8"/>
      <c r="U1577" s="8"/>
      <c r="V1577" s="8"/>
      <c r="W1577" s="8"/>
      <c r="X1577" s="8"/>
      <c r="Y1577" s="8"/>
      <c r="Z1577" s="8"/>
      <c r="AA1577" s="8"/>
      <c r="AB1577" s="8"/>
      <c r="AC1577" s="8"/>
      <c r="AD1577" s="8"/>
      <c r="AE1577" s="8"/>
      <c r="AF1577" s="8"/>
      <c r="AG1577" s="8"/>
      <c r="AH1577" s="8"/>
      <c r="AI1577" s="8"/>
      <c r="AJ1577" s="8"/>
      <c r="AK1577" s="8"/>
      <c r="AL1577" s="8"/>
      <c r="AM1577" s="8"/>
      <c r="AN1577" s="8"/>
      <c r="AO1577" s="8"/>
      <c r="AP1577" s="8"/>
      <c r="AQ1577" s="8"/>
      <c r="AR1577" s="8"/>
      <c r="AS1577" s="8"/>
      <c r="AT1577" s="8"/>
      <c r="AU1577" s="8"/>
      <c r="AV1577" s="8"/>
      <c r="AW1577" s="8"/>
      <c r="AX1577" s="4" t="s">
        <v>38</v>
      </c>
      <c r="AY1577" s="5" t="s">
        <v>6954</v>
      </c>
      <c r="AZ1577" s="5" t="s">
        <v>38</v>
      </c>
      <c r="BA1577" s="12"/>
      <c r="BB1577" s="12"/>
      <c r="BC1577" s="12"/>
      <c r="BD1577" s="11">
        <v>0</v>
      </c>
      <c r="BE1577" s="11">
        <v>0</v>
      </c>
    </row>
    <row x14ac:dyDescent="0.25" r="1578" customHeight="1" ht="17.25">
      <c r="A1578" s="11">
        <v>123656</v>
      </c>
      <c r="B1578" s="4" t="s">
        <v>6955</v>
      </c>
      <c r="C1578" s="5" t="s">
        <v>2908</v>
      </c>
      <c r="D1578" s="5" t="s">
        <v>5062</v>
      </c>
      <c r="E1578" s="12"/>
      <c r="F1578" s="13">
        <f>"0877285160"</f>
      </c>
      <c r="G1578" s="13">
        <f>"9780877285168"</f>
      </c>
      <c r="H1578" s="11">
        <v>0</v>
      </c>
      <c r="I1578" s="14">
        <v>3.82</v>
      </c>
      <c r="J1578" s="7" t="s">
        <v>6956</v>
      </c>
      <c r="K1578" s="5" t="s">
        <v>60</v>
      </c>
      <c r="L1578" s="11">
        <v>196</v>
      </c>
      <c r="M1578" s="11">
        <v>2010</v>
      </c>
      <c r="N1578" s="11">
        <v>1913</v>
      </c>
      <c r="O1578" s="15"/>
      <c r="P1578" s="8">
        <v>45059</v>
      </c>
      <c r="Q1578" s="8"/>
      <c r="R1578" s="8"/>
      <c r="S1578" s="8"/>
      <c r="T1578" s="8"/>
      <c r="U1578" s="8"/>
      <c r="V1578" s="8"/>
      <c r="W1578" s="8"/>
      <c r="X1578" s="8"/>
      <c r="Y1578" s="8"/>
      <c r="Z1578" s="8"/>
      <c r="AA1578" s="8"/>
      <c r="AB1578" s="8"/>
      <c r="AC1578" s="8"/>
      <c r="AD1578" s="8"/>
      <c r="AE1578" s="8"/>
      <c r="AF1578" s="8"/>
      <c r="AG1578" s="8"/>
      <c r="AH1578" s="8"/>
      <c r="AI1578" s="8"/>
      <c r="AJ1578" s="8"/>
      <c r="AK1578" s="8"/>
      <c r="AL1578" s="8"/>
      <c r="AM1578" s="8"/>
      <c r="AN1578" s="8"/>
      <c r="AO1578" s="8"/>
      <c r="AP1578" s="8"/>
      <c r="AQ1578" s="8"/>
      <c r="AR1578" s="8"/>
      <c r="AS1578" s="8"/>
      <c r="AT1578" s="8"/>
      <c r="AU1578" s="8"/>
      <c r="AV1578" s="8"/>
      <c r="AW1578" s="8"/>
      <c r="AX1578" s="4" t="s">
        <v>38</v>
      </c>
      <c r="AY1578" s="5" t="s">
        <v>6957</v>
      </c>
      <c r="AZ1578" s="5" t="s">
        <v>38</v>
      </c>
      <c r="BA1578" s="12"/>
      <c r="BB1578" s="12"/>
      <c r="BC1578" s="12"/>
      <c r="BD1578" s="11">
        <v>0</v>
      </c>
      <c r="BE1578" s="11">
        <v>0</v>
      </c>
    </row>
    <row x14ac:dyDescent="0.25" r="1579" customHeight="1" ht="17.25">
      <c r="A1579" s="11">
        <v>44100994</v>
      </c>
      <c r="B1579" s="4" t="s">
        <v>6958</v>
      </c>
      <c r="C1579" s="5" t="s">
        <v>978</v>
      </c>
      <c r="D1579" s="5" t="s">
        <v>979</v>
      </c>
      <c r="E1579" s="12"/>
      <c r="F1579" s="13">
        <f>""</f>
      </c>
      <c r="G1579" s="13">
        <f>""</f>
      </c>
      <c r="H1579" s="11">
        <v>0</v>
      </c>
      <c r="I1579" s="14">
        <v>4.06</v>
      </c>
      <c r="J1579" s="7" t="s">
        <v>701</v>
      </c>
      <c r="K1579" s="5" t="s">
        <v>90</v>
      </c>
      <c r="L1579" s="11">
        <v>301</v>
      </c>
      <c r="M1579" s="11">
        <v>2019</v>
      </c>
      <c r="N1579" s="11">
        <v>2019</v>
      </c>
      <c r="O1579" s="15"/>
      <c r="P1579" s="8">
        <v>45059</v>
      </c>
      <c r="Q1579" s="8"/>
      <c r="R1579" s="8"/>
      <c r="S1579" s="8"/>
      <c r="T1579" s="8"/>
      <c r="U1579" s="8"/>
      <c r="V1579" s="8"/>
      <c r="W1579" s="8"/>
      <c r="X1579" s="8"/>
      <c r="Y1579" s="8"/>
      <c r="Z1579" s="8"/>
      <c r="AA1579" s="8"/>
      <c r="AB1579" s="8"/>
      <c r="AC1579" s="8"/>
      <c r="AD1579" s="8"/>
      <c r="AE1579" s="8"/>
      <c r="AF1579" s="8"/>
      <c r="AG1579" s="8"/>
      <c r="AH1579" s="8"/>
      <c r="AI1579" s="8"/>
      <c r="AJ1579" s="8"/>
      <c r="AK1579" s="8"/>
      <c r="AL1579" s="8"/>
      <c r="AM1579" s="8"/>
      <c r="AN1579" s="8"/>
      <c r="AO1579" s="8"/>
      <c r="AP1579" s="8"/>
      <c r="AQ1579" s="8"/>
      <c r="AR1579" s="8"/>
      <c r="AS1579" s="8"/>
      <c r="AT1579" s="8"/>
      <c r="AU1579" s="8"/>
      <c r="AV1579" s="8"/>
      <c r="AW1579" s="8"/>
      <c r="AX1579" s="4" t="s">
        <v>38</v>
      </c>
      <c r="AY1579" s="5" t="s">
        <v>6959</v>
      </c>
      <c r="AZ1579" s="5" t="s">
        <v>38</v>
      </c>
      <c r="BA1579" s="12"/>
      <c r="BB1579" s="12"/>
      <c r="BC1579" s="12"/>
      <c r="BD1579" s="11">
        <v>0</v>
      </c>
      <c r="BE1579" s="11">
        <v>0</v>
      </c>
    </row>
    <row x14ac:dyDescent="0.25" r="1580" customHeight="1" ht="17.25">
      <c r="A1580" s="11">
        <v>438025</v>
      </c>
      <c r="B1580" s="4" t="s">
        <v>6960</v>
      </c>
      <c r="C1580" s="5" t="s">
        <v>6961</v>
      </c>
      <c r="D1580" s="5" t="s">
        <v>6962</v>
      </c>
      <c r="E1580" s="5" t="s">
        <v>6963</v>
      </c>
      <c r="F1580" s="13">
        <f>"0715630008"</f>
      </c>
      <c r="G1580" s="13">
        <f>"9780715630006"</f>
      </c>
      <c r="H1580" s="11">
        <v>0</v>
      </c>
      <c r="I1580" s="14">
        <v>4.19</v>
      </c>
      <c r="J1580" s="7" t="s">
        <v>6964</v>
      </c>
      <c r="K1580" s="5" t="s">
        <v>60</v>
      </c>
      <c r="L1580" s="11">
        <v>240</v>
      </c>
      <c r="M1580" s="11">
        <v>2000</v>
      </c>
      <c r="N1580" s="11">
        <v>1947</v>
      </c>
      <c r="O1580" s="15"/>
      <c r="P1580" s="8">
        <v>45059</v>
      </c>
      <c r="Q1580" s="8"/>
      <c r="R1580" s="8"/>
      <c r="S1580" s="8"/>
      <c r="T1580" s="8"/>
      <c r="U1580" s="8"/>
      <c r="V1580" s="8"/>
      <c r="W1580" s="8"/>
      <c r="X1580" s="8"/>
      <c r="Y1580" s="8"/>
      <c r="Z1580" s="8"/>
      <c r="AA1580" s="8"/>
      <c r="AB1580" s="8"/>
      <c r="AC1580" s="8"/>
      <c r="AD1580" s="8"/>
      <c r="AE1580" s="8"/>
      <c r="AF1580" s="8"/>
      <c r="AG1580" s="8"/>
      <c r="AH1580" s="8"/>
      <c r="AI1580" s="8"/>
      <c r="AJ1580" s="8"/>
      <c r="AK1580" s="8"/>
      <c r="AL1580" s="8"/>
      <c r="AM1580" s="8"/>
      <c r="AN1580" s="8"/>
      <c r="AO1580" s="8"/>
      <c r="AP1580" s="8"/>
      <c r="AQ1580" s="8"/>
      <c r="AR1580" s="8"/>
      <c r="AS1580" s="8"/>
      <c r="AT1580" s="8"/>
      <c r="AU1580" s="8"/>
      <c r="AV1580" s="8"/>
      <c r="AW1580" s="8"/>
      <c r="AX1580" s="4" t="s">
        <v>38</v>
      </c>
      <c r="AY1580" s="5" t="s">
        <v>6965</v>
      </c>
      <c r="AZ1580" s="5" t="s">
        <v>38</v>
      </c>
      <c r="BA1580" s="12"/>
      <c r="BB1580" s="12"/>
      <c r="BC1580" s="12"/>
      <c r="BD1580" s="11">
        <v>0</v>
      </c>
      <c r="BE1580" s="11">
        <v>0</v>
      </c>
    </row>
    <row x14ac:dyDescent="0.25" r="1581" customHeight="1" ht="17.25">
      <c r="A1581" s="11">
        <v>57693608</v>
      </c>
      <c r="B1581" s="4" t="s">
        <v>6966</v>
      </c>
      <c r="C1581" s="5" t="s">
        <v>6967</v>
      </c>
      <c r="D1581" s="5" t="s">
        <v>6968</v>
      </c>
      <c r="E1581" s="5" t="s">
        <v>6969</v>
      </c>
      <c r="F1581" s="13">
        <f>"1644450801"</f>
      </c>
      <c r="G1581" s="13">
        <f>"9781644450802"</f>
      </c>
      <c r="H1581" s="11">
        <v>0</v>
      </c>
      <c r="I1581" s="14">
        <v>4.26</v>
      </c>
      <c r="J1581" s="7" t="s">
        <v>1001</v>
      </c>
      <c r="K1581" s="5" t="s">
        <v>60</v>
      </c>
      <c r="L1581" s="11">
        <v>216</v>
      </c>
      <c r="M1581" s="11">
        <v>2022</v>
      </c>
      <c r="N1581" s="11">
        <v>2019</v>
      </c>
      <c r="O1581" s="15"/>
      <c r="P1581" s="8">
        <v>45059</v>
      </c>
      <c r="Q1581" s="8"/>
      <c r="R1581" s="8"/>
      <c r="S1581" s="8"/>
      <c r="T1581" s="8"/>
      <c r="U1581" s="8"/>
      <c r="V1581" s="8"/>
      <c r="W1581" s="8"/>
      <c r="X1581" s="8"/>
      <c r="Y1581" s="8"/>
      <c r="Z1581" s="8"/>
      <c r="AA1581" s="8"/>
      <c r="AB1581" s="8"/>
      <c r="AC1581" s="8"/>
      <c r="AD1581" s="8"/>
      <c r="AE1581" s="8"/>
      <c r="AF1581" s="8"/>
      <c r="AG1581" s="8"/>
      <c r="AH1581" s="8"/>
      <c r="AI1581" s="8"/>
      <c r="AJ1581" s="8"/>
      <c r="AK1581" s="8"/>
      <c r="AL1581" s="8"/>
      <c r="AM1581" s="8"/>
      <c r="AN1581" s="8"/>
      <c r="AO1581" s="8"/>
      <c r="AP1581" s="8"/>
      <c r="AQ1581" s="8"/>
      <c r="AR1581" s="8"/>
      <c r="AS1581" s="8"/>
      <c r="AT1581" s="8"/>
      <c r="AU1581" s="8"/>
      <c r="AV1581" s="8"/>
      <c r="AW1581" s="8"/>
      <c r="AX1581" s="4" t="s">
        <v>38</v>
      </c>
      <c r="AY1581" s="5" t="s">
        <v>6970</v>
      </c>
      <c r="AZ1581" s="5" t="s">
        <v>38</v>
      </c>
      <c r="BA1581" s="12"/>
      <c r="BB1581" s="12"/>
      <c r="BC1581" s="12"/>
      <c r="BD1581" s="11">
        <v>0</v>
      </c>
      <c r="BE1581" s="11">
        <v>0</v>
      </c>
    </row>
    <row x14ac:dyDescent="0.25" r="1582" customHeight="1" ht="17.25">
      <c r="A1582" s="11">
        <v>41815317</v>
      </c>
      <c r="B1582" s="4" t="s">
        <v>6971</v>
      </c>
      <c r="C1582" s="5" t="s">
        <v>6972</v>
      </c>
      <c r="D1582" s="5" t="s">
        <v>6973</v>
      </c>
      <c r="E1582" s="5" t="s">
        <v>6974</v>
      </c>
      <c r="F1582" s="13">
        <f>""</f>
      </c>
      <c r="G1582" s="13">
        <f>"9781943813742"</f>
      </c>
      <c r="H1582" s="11">
        <v>0</v>
      </c>
      <c r="I1582" s="14">
        <v>3.81</v>
      </c>
      <c r="J1582" s="7" t="s">
        <v>6975</v>
      </c>
      <c r="K1582" s="5" t="s">
        <v>60</v>
      </c>
      <c r="L1582" s="11">
        <v>100</v>
      </c>
      <c r="M1582" s="11">
        <v>2018</v>
      </c>
      <c r="N1582" s="11">
        <v>1998</v>
      </c>
      <c r="O1582" s="15"/>
      <c r="P1582" s="8">
        <v>45059</v>
      </c>
      <c r="Q1582" s="8"/>
      <c r="R1582" s="8"/>
      <c r="S1582" s="8"/>
      <c r="T1582" s="8"/>
      <c r="U1582" s="8"/>
      <c r="V1582" s="8"/>
      <c r="W1582" s="8"/>
      <c r="X1582" s="8"/>
      <c r="Y1582" s="8"/>
      <c r="Z1582" s="8"/>
      <c r="AA1582" s="8"/>
      <c r="AB1582" s="8"/>
      <c r="AC1582" s="8"/>
      <c r="AD1582" s="8"/>
      <c r="AE1582" s="8"/>
      <c r="AF1582" s="8"/>
      <c r="AG1582" s="8"/>
      <c r="AH1582" s="8"/>
      <c r="AI1582" s="8"/>
      <c r="AJ1582" s="8"/>
      <c r="AK1582" s="8"/>
      <c r="AL1582" s="8"/>
      <c r="AM1582" s="8"/>
      <c r="AN1582" s="8"/>
      <c r="AO1582" s="8"/>
      <c r="AP1582" s="8"/>
      <c r="AQ1582" s="8"/>
      <c r="AR1582" s="8"/>
      <c r="AS1582" s="8"/>
      <c r="AT1582" s="8"/>
      <c r="AU1582" s="8"/>
      <c r="AV1582" s="8"/>
      <c r="AW1582" s="8"/>
      <c r="AX1582" s="4" t="s">
        <v>38</v>
      </c>
      <c r="AY1582" s="5" t="s">
        <v>6976</v>
      </c>
      <c r="AZ1582" s="5" t="s">
        <v>38</v>
      </c>
      <c r="BA1582" s="12"/>
      <c r="BB1582" s="12"/>
      <c r="BC1582" s="12"/>
      <c r="BD1582" s="11">
        <v>0</v>
      </c>
      <c r="BE1582" s="11">
        <v>0</v>
      </c>
    </row>
    <row x14ac:dyDescent="0.25" r="1583" customHeight="1" ht="17.25">
      <c r="A1583" s="11">
        <v>373319</v>
      </c>
      <c r="B1583" s="4" t="s">
        <v>6977</v>
      </c>
      <c r="C1583" s="5" t="s">
        <v>6978</v>
      </c>
      <c r="D1583" s="5" t="s">
        <v>6979</v>
      </c>
      <c r="E1583" s="5" t="s">
        <v>6980</v>
      </c>
      <c r="F1583" s="13">
        <f>"0253210798"</f>
      </c>
      <c r="G1583" s="13">
        <f>"9780253210791"</f>
      </c>
      <c r="H1583" s="11">
        <v>0</v>
      </c>
      <c r="I1583" s="14">
        <v>4.14</v>
      </c>
      <c r="J1583" s="7" t="s">
        <v>6119</v>
      </c>
      <c r="K1583" s="5" t="s">
        <v>60</v>
      </c>
      <c r="L1583" s="11">
        <v>224</v>
      </c>
      <c r="M1583" s="11">
        <v>2008</v>
      </c>
      <c r="N1583" s="11">
        <v>1996</v>
      </c>
      <c r="O1583" s="15"/>
      <c r="P1583" s="8">
        <v>45046</v>
      </c>
      <c r="Q1583" s="8"/>
      <c r="R1583" s="8"/>
      <c r="S1583" s="8"/>
      <c r="T1583" s="8"/>
      <c r="U1583" s="8"/>
      <c r="V1583" s="8"/>
      <c r="W1583" s="8"/>
      <c r="X1583" s="8"/>
      <c r="Y1583" s="8"/>
      <c r="Z1583" s="8"/>
      <c r="AA1583" s="8"/>
      <c r="AB1583" s="8"/>
      <c r="AC1583" s="8"/>
      <c r="AD1583" s="8"/>
      <c r="AE1583" s="8"/>
      <c r="AF1583" s="8"/>
      <c r="AG1583" s="8"/>
      <c r="AH1583" s="8"/>
      <c r="AI1583" s="8"/>
      <c r="AJ1583" s="8"/>
      <c r="AK1583" s="8"/>
      <c r="AL1583" s="8"/>
      <c r="AM1583" s="8"/>
      <c r="AN1583" s="8"/>
      <c r="AO1583" s="8"/>
      <c r="AP1583" s="8"/>
      <c r="AQ1583" s="8"/>
      <c r="AR1583" s="8"/>
      <c r="AS1583" s="8"/>
      <c r="AT1583" s="8"/>
      <c r="AU1583" s="8"/>
      <c r="AV1583" s="8"/>
      <c r="AW1583" s="8"/>
      <c r="AX1583" s="4" t="s">
        <v>38</v>
      </c>
      <c r="AY1583" s="5" t="s">
        <v>6981</v>
      </c>
      <c r="AZ1583" s="5" t="s">
        <v>38</v>
      </c>
      <c r="BA1583" s="12"/>
      <c r="BB1583" s="12"/>
      <c r="BC1583" s="12"/>
      <c r="BD1583" s="11">
        <v>0</v>
      </c>
      <c r="BE1583" s="11">
        <v>0</v>
      </c>
    </row>
    <row x14ac:dyDescent="0.25" r="1584" customHeight="1" ht="17.25">
      <c r="A1584" s="11">
        <v>55856548</v>
      </c>
      <c r="B1584" s="4" t="s">
        <v>6982</v>
      </c>
      <c r="C1584" s="5" t="s">
        <v>1770</v>
      </c>
      <c r="D1584" s="5" t="s">
        <v>6983</v>
      </c>
      <c r="E1584" s="12"/>
      <c r="F1584" s="13">
        <f>"1913097501"</f>
      </c>
      <c r="G1584" s="13">
        <f>"9781913097509"</f>
      </c>
      <c r="H1584" s="11">
        <v>0</v>
      </c>
      <c r="I1584" s="14">
        <v>4.18</v>
      </c>
      <c r="J1584" s="7" t="s">
        <v>169</v>
      </c>
      <c r="K1584" s="5" t="s">
        <v>60</v>
      </c>
      <c r="L1584" s="11">
        <v>345</v>
      </c>
      <c r="M1584" s="11">
        <v>2021</v>
      </c>
      <c r="N1584" s="11">
        <v>2021</v>
      </c>
      <c r="O1584" s="15"/>
      <c r="P1584" s="8">
        <v>45046</v>
      </c>
      <c r="Q1584" s="8"/>
      <c r="R1584" s="8"/>
      <c r="S1584" s="8"/>
      <c r="T1584" s="8"/>
      <c r="U1584" s="8"/>
      <c r="V1584" s="8"/>
      <c r="W1584" s="8"/>
      <c r="X1584" s="8"/>
      <c r="Y1584" s="8"/>
      <c r="Z1584" s="8"/>
      <c r="AA1584" s="8"/>
      <c r="AB1584" s="8"/>
      <c r="AC1584" s="8"/>
      <c r="AD1584" s="8"/>
      <c r="AE1584" s="8"/>
      <c r="AF1584" s="8"/>
      <c r="AG1584" s="8"/>
      <c r="AH1584" s="8"/>
      <c r="AI1584" s="8"/>
      <c r="AJ1584" s="8"/>
      <c r="AK1584" s="8"/>
      <c r="AL1584" s="8"/>
      <c r="AM1584" s="8"/>
      <c r="AN1584" s="8"/>
      <c r="AO1584" s="8"/>
      <c r="AP1584" s="8"/>
      <c r="AQ1584" s="8"/>
      <c r="AR1584" s="8"/>
      <c r="AS1584" s="8"/>
      <c r="AT1584" s="8"/>
      <c r="AU1584" s="8"/>
      <c r="AV1584" s="8"/>
      <c r="AW1584" s="8"/>
      <c r="AX1584" s="4" t="s">
        <v>38</v>
      </c>
      <c r="AY1584" s="5" t="s">
        <v>6984</v>
      </c>
      <c r="AZ1584" s="5" t="s">
        <v>38</v>
      </c>
      <c r="BA1584" s="12"/>
      <c r="BB1584" s="12"/>
      <c r="BC1584" s="12"/>
      <c r="BD1584" s="11">
        <v>0</v>
      </c>
      <c r="BE1584" s="11">
        <v>0</v>
      </c>
    </row>
    <row x14ac:dyDescent="0.25" r="1585" customHeight="1" ht="17.25">
      <c r="A1585" s="11">
        <v>61889842</v>
      </c>
      <c r="B1585" s="4" t="s">
        <v>6985</v>
      </c>
      <c r="C1585" s="5" t="s">
        <v>1770</v>
      </c>
      <c r="D1585" s="5" t="s">
        <v>6983</v>
      </c>
      <c r="E1585" s="12"/>
      <c r="F1585" s="13">
        <f>"1804270407"</f>
      </c>
      <c r="G1585" s="13">
        <f>"9781804270400"</f>
      </c>
      <c r="H1585" s="11">
        <v>0</v>
      </c>
      <c r="I1585" s="14">
        <v>3.45</v>
      </c>
      <c r="J1585" s="7" t="s">
        <v>169</v>
      </c>
      <c r="K1585" s="5" t="s">
        <v>60</v>
      </c>
      <c r="L1585" s="11">
        <v>368</v>
      </c>
      <c r="M1585" s="11">
        <v>2024</v>
      </c>
      <c r="N1585" s="11">
        <v>2023</v>
      </c>
      <c r="O1585" s="15"/>
      <c r="P1585" s="8">
        <v>45046</v>
      </c>
      <c r="Q1585" s="8"/>
      <c r="R1585" s="8"/>
      <c r="S1585" s="8"/>
      <c r="T1585" s="8"/>
      <c r="U1585" s="8"/>
      <c r="V1585" s="8"/>
      <c r="W1585" s="8"/>
      <c r="X1585" s="8"/>
      <c r="Y1585" s="8"/>
      <c r="Z1585" s="8"/>
      <c r="AA1585" s="8"/>
      <c r="AB1585" s="8"/>
      <c r="AC1585" s="8"/>
      <c r="AD1585" s="8"/>
      <c r="AE1585" s="8"/>
      <c r="AF1585" s="8"/>
      <c r="AG1585" s="8"/>
      <c r="AH1585" s="8"/>
      <c r="AI1585" s="8"/>
      <c r="AJ1585" s="8"/>
      <c r="AK1585" s="8"/>
      <c r="AL1585" s="8"/>
      <c r="AM1585" s="8"/>
      <c r="AN1585" s="8"/>
      <c r="AO1585" s="8"/>
      <c r="AP1585" s="8"/>
      <c r="AQ1585" s="8"/>
      <c r="AR1585" s="8"/>
      <c r="AS1585" s="8"/>
      <c r="AT1585" s="8"/>
      <c r="AU1585" s="8"/>
      <c r="AV1585" s="8"/>
      <c r="AW1585" s="8"/>
      <c r="AX1585" s="4" t="s">
        <v>38</v>
      </c>
      <c r="AY1585" s="5" t="s">
        <v>6986</v>
      </c>
      <c r="AZ1585" s="5" t="s">
        <v>38</v>
      </c>
      <c r="BA1585" s="12"/>
      <c r="BB1585" s="12"/>
      <c r="BC1585" s="12"/>
      <c r="BD1585" s="11">
        <v>0</v>
      </c>
      <c r="BE1585" s="11">
        <v>0</v>
      </c>
    </row>
    <row x14ac:dyDescent="0.25" r="1586" customHeight="1" ht="17.25">
      <c r="A1586" s="11">
        <v>502740</v>
      </c>
      <c r="B1586" s="4" t="s">
        <v>6987</v>
      </c>
      <c r="C1586" s="5" t="s">
        <v>6988</v>
      </c>
      <c r="D1586" s="5" t="s">
        <v>6989</v>
      </c>
      <c r="E1586" s="5" t="s">
        <v>6990</v>
      </c>
      <c r="F1586" s="13">
        <f>"0553087258"</f>
      </c>
      <c r="G1586" s="13">
        <f>"9780553087253"</f>
      </c>
      <c r="H1586" s="11">
        <v>0</v>
      </c>
      <c r="I1586" s="14">
        <v>4.2</v>
      </c>
      <c r="J1586" s="7" t="s">
        <v>2577</v>
      </c>
      <c r="K1586" s="5" t="s">
        <v>60</v>
      </c>
      <c r="L1586" s="11">
        <v>212</v>
      </c>
      <c r="M1586" s="11">
        <v>1974</v>
      </c>
      <c r="N1586" s="11">
        <v>1972</v>
      </c>
      <c r="O1586" s="15"/>
      <c r="P1586" s="8">
        <v>45032</v>
      </c>
      <c r="Q1586" s="8"/>
      <c r="R1586" s="8"/>
      <c r="S1586" s="8"/>
      <c r="T1586" s="8"/>
      <c r="U1586" s="8"/>
      <c r="V1586" s="8"/>
      <c r="W1586" s="8"/>
      <c r="X1586" s="8"/>
      <c r="Y1586" s="8"/>
      <c r="Z1586" s="8"/>
      <c r="AA1586" s="8"/>
      <c r="AB1586" s="8"/>
      <c r="AC1586" s="8"/>
      <c r="AD1586" s="8"/>
      <c r="AE1586" s="8"/>
      <c r="AF1586" s="8"/>
      <c r="AG1586" s="8"/>
      <c r="AH1586" s="8"/>
      <c r="AI1586" s="8"/>
      <c r="AJ1586" s="8"/>
      <c r="AK1586" s="8"/>
      <c r="AL1586" s="8"/>
      <c r="AM1586" s="8"/>
      <c r="AN1586" s="8"/>
      <c r="AO1586" s="8"/>
      <c r="AP1586" s="8"/>
      <c r="AQ1586" s="8"/>
      <c r="AR1586" s="8"/>
      <c r="AS1586" s="8"/>
      <c r="AT1586" s="8"/>
      <c r="AU1586" s="8"/>
      <c r="AV1586" s="8"/>
      <c r="AW1586" s="8"/>
      <c r="AX1586" s="4" t="s">
        <v>38</v>
      </c>
      <c r="AY1586" s="5" t="s">
        <v>6991</v>
      </c>
      <c r="AZ1586" s="5" t="s">
        <v>38</v>
      </c>
      <c r="BA1586" s="12"/>
      <c r="BB1586" s="12"/>
      <c r="BC1586" s="12"/>
      <c r="BD1586" s="11">
        <v>0</v>
      </c>
      <c r="BE1586" s="11">
        <v>0</v>
      </c>
    </row>
    <row x14ac:dyDescent="0.25" r="1587" customHeight="1" ht="17.25">
      <c r="A1587" s="11">
        <v>50358154</v>
      </c>
      <c r="B1587" s="4" t="s">
        <v>6992</v>
      </c>
      <c r="C1587" s="5" t="s">
        <v>6993</v>
      </c>
      <c r="D1587" s="5" t="s">
        <v>6994</v>
      </c>
      <c r="E1587" s="12"/>
      <c r="F1587" s="13">
        <f>"0711248834"</f>
      </c>
      <c r="G1587" s="13">
        <f>"9780711248830"</f>
      </c>
      <c r="H1587" s="11">
        <v>0</v>
      </c>
      <c r="I1587" s="14">
        <v>4.32</v>
      </c>
      <c r="J1587" s="7" t="s">
        <v>5714</v>
      </c>
      <c r="K1587" s="5" t="s">
        <v>72</v>
      </c>
      <c r="L1587" s="11">
        <v>240</v>
      </c>
      <c r="M1587" s="11">
        <v>2020</v>
      </c>
      <c r="N1587" s="16"/>
      <c r="O1587" s="15"/>
      <c r="P1587" s="8">
        <v>45023</v>
      </c>
      <c r="Q1587" s="8"/>
      <c r="R1587" s="8"/>
      <c r="S1587" s="8"/>
      <c r="T1587" s="8"/>
      <c r="U1587" s="8"/>
      <c r="V1587" s="8"/>
      <c r="W1587" s="8"/>
      <c r="X1587" s="8"/>
      <c r="Y1587" s="8"/>
      <c r="Z1587" s="8"/>
      <c r="AA1587" s="8"/>
      <c r="AB1587" s="8"/>
      <c r="AC1587" s="8"/>
      <c r="AD1587" s="8"/>
      <c r="AE1587" s="8"/>
      <c r="AF1587" s="8"/>
      <c r="AG1587" s="8"/>
      <c r="AH1587" s="8"/>
      <c r="AI1587" s="8"/>
      <c r="AJ1587" s="8"/>
      <c r="AK1587" s="8"/>
      <c r="AL1587" s="8"/>
      <c r="AM1587" s="8"/>
      <c r="AN1587" s="8"/>
      <c r="AO1587" s="8"/>
      <c r="AP1587" s="8"/>
      <c r="AQ1587" s="8"/>
      <c r="AR1587" s="8"/>
      <c r="AS1587" s="8"/>
      <c r="AT1587" s="8"/>
      <c r="AU1587" s="8"/>
      <c r="AV1587" s="8"/>
      <c r="AW1587" s="8"/>
      <c r="AX1587" s="4" t="s">
        <v>38</v>
      </c>
      <c r="AY1587" s="5" t="s">
        <v>6995</v>
      </c>
      <c r="AZ1587" s="5" t="s">
        <v>38</v>
      </c>
      <c r="BA1587" s="12"/>
      <c r="BB1587" s="12"/>
      <c r="BC1587" s="12"/>
      <c r="BD1587" s="11">
        <v>0</v>
      </c>
      <c r="BE1587" s="11">
        <v>0</v>
      </c>
    </row>
    <row x14ac:dyDescent="0.25" r="1588" customHeight="1" ht="17.25">
      <c r="A1588" s="11">
        <v>7243116</v>
      </c>
      <c r="B1588" s="4" t="s">
        <v>6996</v>
      </c>
      <c r="C1588" s="5" t="s">
        <v>6997</v>
      </c>
      <c r="D1588" s="5" t="s">
        <v>6998</v>
      </c>
      <c r="E1588" s="12"/>
      <c r="F1588" s="13">
        <f>"081302482X"</f>
      </c>
      <c r="G1588" s="13">
        <f>"9780813024820"</f>
      </c>
      <c r="H1588" s="11">
        <v>0</v>
      </c>
      <c r="I1588" s="11">
        <v>0</v>
      </c>
      <c r="J1588" s="7" t="s">
        <v>6999</v>
      </c>
      <c r="K1588" s="5" t="s">
        <v>72</v>
      </c>
      <c r="L1588" s="11">
        <v>224</v>
      </c>
      <c r="M1588" s="11">
        <v>2002</v>
      </c>
      <c r="N1588" s="11">
        <v>2002</v>
      </c>
      <c r="O1588" s="15"/>
      <c r="P1588" s="8">
        <v>45023</v>
      </c>
      <c r="Q1588" s="8"/>
      <c r="R1588" s="8"/>
      <c r="S1588" s="8"/>
      <c r="T1588" s="8"/>
      <c r="U1588" s="8"/>
      <c r="V1588" s="8"/>
      <c r="W1588" s="8"/>
      <c r="X1588" s="8"/>
      <c r="Y1588" s="8"/>
      <c r="Z1588" s="8"/>
      <c r="AA1588" s="8"/>
      <c r="AB1588" s="8"/>
      <c r="AC1588" s="8"/>
      <c r="AD1588" s="8"/>
      <c r="AE1588" s="8"/>
      <c r="AF1588" s="8"/>
      <c r="AG1588" s="8"/>
      <c r="AH1588" s="8"/>
      <c r="AI1588" s="8"/>
      <c r="AJ1588" s="8"/>
      <c r="AK1588" s="8"/>
      <c r="AL1588" s="8"/>
      <c r="AM1588" s="8"/>
      <c r="AN1588" s="8"/>
      <c r="AO1588" s="8"/>
      <c r="AP1588" s="8"/>
      <c r="AQ1588" s="8"/>
      <c r="AR1588" s="8"/>
      <c r="AS1588" s="8"/>
      <c r="AT1588" s="8"/>
      <c r="AU1588" s="8"/>
      <c r="AV1588" s="8"/>
      <c r="AW1588" s="8"/>
      <c r="AX1588" s="4" t="s">
        <v>38</v>
      </c>
      <c r="AY1588" s="5" t="s">
        <v>7000</v>
      </c>
      <c r="AZ1588" s="5" t="s">
        <v>38</v>
      </c>
      <c r="BA1588" s="12"/>
      <c r="BB1588" s="12"/>
      <c r="BC1588" s="12"/>
      <c r="BD1588" s="11">
        <v>0</v>
      </c>
      <c r="BE1588" s="11">
        <v>0</v>
      </c>
    </row>
    <row x14ac:dyDescent="0.25" r="1589" customHeight="1" ht="17.25">
      <c r="A1589" s="11">
        <v>16690</v>
      </c>
      <c r="B1589" s="4" t="s">
        <v>7001</v>
      </c>
      <c r="C1589" s="5" t="s">
        <v>7002</v>
      </c>
      <c r="D1589" s="5" t="s">
        <v>7003</v>
      </c>
      <c r="E1589" s="12"/>
      <c r="F1589" s="13">
        <f>"0340837942"</f>
      </c>
      <c r="G1589" s="13">
        <f>"9780340837948"</f>
      </c>
      <c r="H1589" s="11">
        <v>0</v>
      </c>
      <c r="I1589" s="14">
        <v>4.16</v>
      </c>
      <c r="J1589" s="7" t="s">
        <v>7004</v>
      </c>
      <c r="K1589" s="5" t="s">
        <v>60</v>
      </c>
      <c r="L1589" s="11">
        <v>288</v>
      </c>
      <c r="M1589" s="11">
        <v>2005</v>
      </c>
      <c r="N1589" s="11">
        <v>1966</v>
      </c>
      <c r="O1589" s="15"/>
      <c r="P1589" s="8">
        <v>45021</v>
      </c>
      <c r="Q1589" s="8"/>
      <c r="R1589" s="8"/>
      <c r="S1589" s="8"/>
      <c r="T1589" s="8"/>
      <c r="U1589" s="8"/>
      <c r="V1589" s="8"/>
      <c r="W1589" s="8"/>
      <c r="X1589" s="8"/>
      <c r="Y1589" s="8"/>
      <c r="Z1589" s="8"/>
      <c r="AA1589" s="8"/>
      <c r="AB1589" s="8"/>
      <c r="AC1589" s="8"/>
      <c r="AD1589" s="8"/>
      <c r="AE1589" s="8"/>
      <c r="AF1589" s="8"/>
      <c r="AG1589" s="8"/>
      <c r="AH1589" s="8"/>
      <c r="AI1589" s="8"/>
      <c r="AJ1589" s="8"/>
      <c r="AK1589" s="8"/>
      <c r="AL1589" s="8"/>
      <c r="AM1589" s="8"/>
      <c r="AN1589" s="8"/>
      <c r="AO1589" s="8"/>
      <c r="AP1589" s="8"/>
      <c r="AQ1589" s="8"/>
      <c r="AR1589" s="8"/>
      <c r="AS1589" s="8"/>
      <c r="AT1589" s="8"/>
      <c r="AU1589" s="8"/>
      <c r="AV1589" s="8"/>
      <c r="AW1589" s="8"/>
      <c r="AX1589" s="4" t="s">
        <v>38</v>
      </c>
      <c r="AY1589" s="5" t="s">
        <v>7005</v>
      </c>
      <c r="AZ1589" s="5" t="s">
        <v>38</v>
      </c>
      <c r="BA1589" s="12"/>
      <c r="BB1589" s="12"/>
      <c r="BC1589" s="12"/>
      <c r="BD1589" s="11">
        <v>0</v>
      </c>
      <c r="BE1589" s="11">
        <v>0</v>
      </c>
    </row>
    <row x14ac:dyDescent="0.25" r="1590" customHeight="1" ht="17.25">
      <c r="A1590" s="11">
        <v>823647</v>
      </c>
      <c r="B1590" s="4" t="s">
        <v>7006</v>
      </c>
      <c r="C1590" s="5" t="s">
        <v>7007</v>
      </c>
      <c r="D1590" s="5" t="s">
        <v>7008</v>
      </c>
      <c r="E1590" s="5" t="s">
        <v>7009</v>
      </c>
      <c r="F1590" s="13">
        <f>"0231073054"</f>
      </c>
      <c r="G1590" s="13">
        <f>"9780231073059"</f>
      </c>
      <c r="H1590" s="11">
        <v>0</v>
      </c>
      <c r="I1590" s="14">
        <v>3.48</v>
      </c>
      <c r="J1590" s="7" t="s">
        <v>7010</v>
      </c>
      <c r="K1590" s="5" t="s">
        <v>60</v>
      </c>
      <c r="L1590" s="11">
        <v>228</v>
      </c>
      <c r="M1590" s="11">
        <v>1990</v>
      </c>
      <c r="N1590" s="11">
        <v>1186</v>
      </c>
      <c r="O1590" s="15"/>
      <c r="P1590" s="8">
        <v>45020</v>
      </c>
      <c r="Q1590" s="8"/>
      <c r="R1590" s="8"/>
      <c r="S1590" s="8"/>
      <c r="T1590" s="8"/>
      <c r="U1590" s="8"/>
      <c r="V1590" s="8"/>
      <c r="W1590" s="8"/>
      <c r="X1590" s="8"/>
      <c r="Y1590" s="8"/>
      <c r="Z1590" s="8"/>
      <c r="AA1590" s="8"/>
      <c r="AB1590" s="8"/>
      <c r="AC1590" s="8"/>
      <c r="AD1590" s="8"/>
      <c r="AE1590" s="8"/>
      <c r="AF1590" s="8"/>
      <c r="AG1590" s="8"/>
      <c r="AH1590" s="8"/>
      <c r="AI1590" s="8"/>
      <c r="AJ1590" s="8"/>
      <c r="AK1590" s="8"/>
      <c r="AL1590" s="8"/>
      <c r="AM1590" s="8"/>
      <c r="AN1590" s="8"/>
      <c r="AO1590" s="8"/>
      <c r="AP1590" s="8"/>
      <c r="AQ1590" s="8"/>
      <c r="AR1590" s="8"/>
      <c r="AS1590" s="8"/>
      <c r="AT1590" s="8"/>
      <c r="AU1590" s="8"/>
      <c r="AV1590" s="8"/>
      <c r="AW1590" s="8"/>
      <c r="AX1590" s="4" t="s">
        <v>38</v>
      </c>
      <c r="AY1590" s="5" t="s">
        <v>7011</v>
      </c>
      <c r="AZ1590" s="5" t="s">
        <v>38</v>
      </c>
      <c r="BA1590" s="12"/>
      <c r="BB1590" s="12"/>
      <c r="BC1590" s="12"/>
      <c r="BD1590" s="11">
        <v>0</v>
      </c>
      <c r="BE1590" s="11">
        <v>0</v>
      </c>
    </row>
    <row x14ac:dyDescent="0.25" r="1591" customHeight="1" ht="17.25">
      <c r="A1591" s="11">
        <v>6282753</v>
      </c>
      <c r="B1591" s="4" t="s">
        <v>7012</v>
      </c>
      <c r="C1591" s="5" t="s">
        <v>7013</v>
      </c>
      <c r="D1591" s="5" t="s">
        <v>7014</v>
      </c>
      <c r="E1591" s="5" t="s">
        <v>7015</v>
      </c>
      <c r="F1591" s="13">
        <f>"0307266761"</f>
      </c>
      <c r="G1591" s="13">
        <f>"9780307266767"</f>
      </c>
      <c r="H1591" s="11">
        <v>0</v>
      </c>
      <c r="I1591" s="14">
        <v>3.77</v>
      </c>
      <c r="J1591" s="7" t="s">
        <v>665</v>
      </c>
      <c r="K1591" s="5" t="s">
        <v>72</v>
      </c>
      <c r="L1591" s="11">
        <v>536</v>
      </c>
      <c r="M1591" s="11">
        <v>2009</v>
      </c>
      <c r="N1591" s="11">
        <v>2008</v>
      </c>
      <c r="O1591" s="15"/>
      <c r="P1591" s="8">
        <v>45017</v>
      </c>
      <c r="Q1591" s="8"/>
      <c r="R1591" s="8"/>
      <c r="S1591" s="8"/>
      <c r="T1591" s="8"/>
      <c r="U1591" s="8"/>
      <c r="V1591" s="8"/>
      <c r="W1591" s="8"/>
      <c r="X1591" s="8"/>
      <c r="Y1591" s="8"/>
      <c r="Z1591" s="8"/>
      <c r="AA1591" s="8"/>
      <c r="AB1591" s="8"/>
      <c r="AC1591" s="8"/>
      <c r="AD1591" s="8"/>
      <c r="AE1591" s="8"/>
      <c r="AF1591" s="8"/>
      <c r="AG1591" s="8"/>
      <c r="AH1591" s="8"/>
      <c r="AI1591" s="8"/>
      <c r="AJ1591" s="8"/>
      <c r="AK1591" s="8"/>
      <c r="AL1591" s="8"/>
      <c r="AM1591" s="8"/>
      <c r="AN1591" s="8"/>
      <c r="AO1591" s="8"/>
      <c r="AP1591" s="8"/>
      <c r="AQ1591" s="8"/>
      <c r="AR1591" s="8"/>
      <c r="AS1591" s="8"/>
      <c r="AT1591" s="8"/>
      <c r="AU1591" s="8"/>
      <c r="AV1591" s="8"/>
      <c r="AW1591" s="8"/>
      <c r="AX1591" s="4" t="s">
        <v>38</v>
      </c>
      <c r="AY1591" s="5" t="s">
        <v>7016</v>
      </c>
      <c r="AZ1591" s="5" t="s">
        <v>38</v>
      </c>
      <c r="BA1591" s="12"/>
      <c r="BB1591" s="12"/>
      <c r="BC1591" s="12"/>
      <c r="BD1591" s="11">
        <v>0</v>
      </c>
      <c r="BE1591" s="11">
        <v>0</v>
      </c>
    </row>
    <row x14ac:dyDescent="0.25" r="1592" customHeight="1" ht="17.25">
      <c r="A1592" s="11">
        <v>61153740</v>
      </c>
      <c r="B1592" s="4" t="s">
        <v>7017</v>
      </c>
      <c r="C1592" s="5" t="s">
        <v>7018</v>
      </c>
      <c r="D1592" s="5" t="s">
        <v>7019</v>
      </c>
      <c r="E1592" s="12"/>
      <c r="F1592" s="13">
        <f>"0593242173"</f>
      </c>
      <c r="G1592" s="13">
        <f>"9780593242179"</f>
      </c>
      <c r="H1592" s="11">
        <v>0</v>
      </c>
      <c r="I1592" s="14">
        <v>3.9</v>
      </c>
      <c r="J1592" s="7" t="s">
        <v>7020</v>
      </c>
      <c r="K1592" s="5" t="s">
        <v>72</v>
      </c>
      <c r="L1592" s="11">
        <v>240</v>
      </c>
      <c r="M1592" s="11">
        <v>2023</v>
      </c>
      <c r="N1592" s="11">
        <v>2023</v>
      </c>
      <c r="O1592" s="15"/>
      <c r="P1592" s="8">
        <v>45015</v>
      </c>
      <c r="Q1592" s="8"/>
      <c r="R1592" s="8"/>
      <c r="S1592" s="8"/>
      <c r="T1592" s="8"/>
      <c r="U1592" s="8"/>
      <c r="V1592" s="8"/>
      <c r="W1592" s="8"/>
      <c r="X1592" s="8"/>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4" t="s">
        <v>38</v>
      </c>
      <c r="AY1592" s="5" t="s">
        <v>7021</v>
      </c>
      <c r="AZ1592" s="5" t="s">
        <v>38</v>
      </c>
      <c r="BA1592" s="12"/>
      <c r="BB1592" s="12"/>
      <c r="BC1592" s="12"/>
      <c r="BD1592" s="11">
        <v>0</v>
      </c>
      <c r="BE1592" s="11">
        <v>0</v>
      </c>
    </row>
    <row x14ac:dyDescent="0.25" r="1593" customHeight="1" ht="17.25">
      <c r="A1593" s="11">
        <v>56649293</v>
      </c>
      <c r="B1593" s="4" t="s">
        <v>7022</v>
      </c>
      <c r="C1593" s="5" t="s">
        <v>7023</v>
      </c>
      <c r="D1593" s="5" t="s">
        <v>7024</v>
      </c>
      <c r="E1593" s="5" t="s">
        <v>7025</v>
      </c>
      <c r="F1593" s="13">
        <f>"1913097307"</f>
      </c>
      <c r="G1593" s="13">
        <f>"9781913097301"</f>
      </c>
      <c r="H1593" s="11">
        <v>0</v>
      </c>
      <c r="I1593" s="14">
        <v>3.79</v>
      </c>
      <c r="J1593" s="7" t="s">
        <v>169</v>
      </c>
      <c r="K1593" s="5" t="s">
        <v>60</v>
      </c>
      <c r="L1593" s="11">
        <v>488</v>
      </c>
      <c r="M1593" s="11">
        <v>2021</v>
      </c>
      <c r="N1593" s="11">
        <v>2018</v>
      </c>
      <c r="O1593" s="15"/>
      <c r="P1593" s="8">
        <v>45008</v>
      </c>
      <c r="Q1593" s="8"/>
      <c r="R1593" s="8"/>
      <c r="S1593" s="8"/>
      <c r="T1593" s="8"/>
      <c r="U1593" s="8"/>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4" t="s">
        <v>38</v>
      </c>
      <c r="AY1593" s="5" t="s">
        <v>7026</v>
      </c>
      <c r="AZ1593" s="5" t="s">
        <v>38</v>
      </c>
      <c r="BA1593" s="12"/>
      <c r="BB1593" s="12"/>
      <c r="BC1593" s="12"/>
      <c r="BD1593" s="11">
        <v>0</v>
      </c>
      <c r="BE1593" s="11">
        <v>0</v>
      </c>
    </row>
    <row x14ac:dyDescent="0.25" r="1594" customHeight="1" ht="17.25">
      <c r="A1594" s="11">
        <v>637045</v>
      </c>
      <c r="B1594" s="4" t="s">
        <v>7027</v>
      </c>
      <c r="C1594" s="5" t="s">
        <v>7028</v>
      </c>
      <c r="D1594" s="5" t="s">
        <v>7029</v>
      </c>
      <c r="E1594" s="12"/>
      <c r="F1594" s="13">
        <f>"0907871542"</f>
      </c>
      <c r="G1594" s="13">
        <f>"9780907871545"</f>
      </c>
      <c r="H1594" s="11">
        <v>0</v>
      </c>
      <c r="I1594" s="14">
        <v>4.07</v>
      </c>
      <c r="J1594" s="7" t="s">
        <v>7030</v>
      </c>
      <c r="K1594" s="5" t="s">
        <v>60</v>
      </c>
      <c r="L1594" s="11">
        <v>340</v>
      </c>
      <c r="M1594" s="11">
        <v>2005</v>
      </c>
      <c r="N1594" s="11">
        <v>1968</v>
      </c>
      <c r="O1594" s="15"/>
      <c r="P1594" s="8">
        <v>44987</v>
      </c>
      <c r="Q1594" s="8"/>
      <c r="R1594" s="8"/>
      <c r="S1594" s="8"/>
      <c r="T1594" s="8"/>
      <c r="U1594" s="8"/>
      <c r="V1594" s="8"/>
      <c r="W1594" s="8"/>
      <c r="X1594" s="8"/>
      <c r="Y1594" s="8"/>
      <c r="Z1594" s="8"/>
      <c r="AA1594" s="8"/>
      <c r="AB1594" s="8"/>
      <c r="AC1594" s="8"/>
      <c r="AD1594" s="8"/>
      <c r="AE1594" s="8"/>
      <c r="AF1594" s="8"/>
      <c r="AG1594" s="8"/>
      <c r="AH1594" s="8"/>
      <c r="AI1594" s="8"/>
      <c r="AJ1594" s="8"/>
      <c r="AK1594" s="8"/>
      <c r="AL1594" s="8"/>
      <c r="AM1594" s="8"/>
      <c r="AN1594" s="8"/>
      <c r="AO1594" s="8"/>
      <c r="AP1594" s="8"/>
      <c r="AQ1594" s="8"/>
      <c r="AR1594" s="8"/>
      <c r="AS1594" s="8"/>
      <c r="AT1594" s="8"/>
      <c r="AU1594" s="8"/>
      <c r="AV1594" s="8"/>
      <c r="AW1594" s="8"/>
      <c r="AX1594" s="4" t="s">
        <v>38</v>
      </c>
      <c r="AY1594" s="5" t="s">
        <v>7031</v>
      </c>
      <c r="AZ1594" s="5" t="s">
        <v>38</v>
      </c>
      <c r="BA1594" s="12"/>
      <c r="BB1594" s="12"/>
      <c r="BC1594" s="12"/>
      <c r="BD1594" s="11">
        <v>0</v>
      </c>
      <c r="BE1594" s="11">
        <v>0</v>
      </c>
    </row>
    <row x14ac:dyDescent="0.25" r="1595" customHeight="1" ht="17.25">
      <c r="A1595" s="11">
        <v>25330189</v>
      </c>
      <c r="B1595" s="4" t="s">
        <v>7032</v>
      </c>
      <c r="C1595" s="5" t="s">
        <v>6564</v>
      </c>
      <c r="D1595" s="5" t="s">
        <v>6565</v>
      </c>
      <c r="E1595" s="12"/>
      <c r="F1595" s="13">
        <f>"1566894131"</f>
      </c>
      <c r="G1595" s="13">
        <f>"9781566894135"</f>
      </c>
      <c r="H1595" s="11">
        <v>0</v>
      </c>
      <c r="I1595" s="14">
        <v>4.02</v>
      </c>
      <c r="J1595" s="7" t="s">
        <v>4035</v>
      </c>
      <c r="K1595" s="5" t="s">
        <v>60</v>
      </c>
      <c r="L1595" s="11">
        <v>220</v>
      </c>
      <c r="M1595" s="11">
        <v>2016</v>
      </c>
      <c r="N1595" s="11">
        <v>2016</v>
      </c>
      <c r="O1595" s="15"/>
      <c r="P1595" s="8">
        <v>44987</v>
      </c>
      <c r="Q1595" s="8"/>
      <c r="R1595" s="8"/>
      <c r="S1595" s="8"/>
      <c r="T1595" s="8"/>
      <c r="U1595" s="8"/>
      <c r="V1595" s="8"/>
      <c r="W1595" s="8"/>
      <c r="X1595" s="8"/>
      <c r="Y1595" s="8"/>
      <c r="Z1595" s="8"/>
      <c r="AA1595" s="8"/>
      <c r="AB1595" s="8"/>
      <c r="AC1595" s="8"/>
      <c r="AD1595" s="8"/>
      <c r="AE1595" s="8"/>
      <c r="AF1595" s="8"/>
      <c r="AG1595" s="8"/>
      <c r="AH1595" s="8"/>
      <c r="AI1595" s="8"/>
      <c r="AJ1595" s="8"/>
      <c r="AK1595" s="8"/>
      <c r="AL1595" s="8"/>
      <c r="AM1595" s="8"/>
      <c r="AN1595" s="8"/>
      <c r="AO1595" s="8"/>
      <c r="AP1595" s="8"/>
      <c r="AQ1595" s="8"/>
      <c r="AR1595" s="8"/>
      <c r="AS1595" s="8"/>
      <c r="AT1595" s="8"/>
      <c r="AU1595" s="8"/>
      <c r="AV1595" s="8"/>
      <c r="AW1595" s="8"/>
      <c r="AX1595" s="4" t="s">
        <v>38</v>
      </c>
      <c r="AY1595" s="5" t="s">
        <v>7033</v>
      </c>
      <c r="AZ1595" s="5" t="s">
        <v>38</v>
      </c>
      <c r="BA1595" s="12"/>
      <c r="BB1595" s="12"/>
      <c r="BC1595" s="12"/>
      <c r="BD1595" s="11">
        <v>0</v>
      </c>
      <c r="BE1595" s="11">
        <v>0</v>
      </c>
    </row>
    <row x14ac:dyDescent="0.25" r="1596" customHeight="1" ht="17.25">
      <c r="A1596" s="11">
        <v>1850994</v>
      </c>
      <c r="B1596" s="4" t="s">
        <v>7034</v>
      </c>
      <c r="C1596" s="5" t="s">
        <v>7035</v>
      </c>
      <c r="D1596" s="5" t="s">
        <v>7036</v>
      </c>
      <c r="E1596" s="12"/>
      <c r="F1596" s="13">
        <f>"0807610526"</f>
      </c>
      <c r="G1596" s="13">
        <f>"9780807610527"</f>
      </c>
      <c r="H1596" s="11">
        <v>0</v>
      </c>
      <c r="I1596" s="14">
        <v>4.27</v>
      </c>
      <c r="J1596" s="7" t="s">
        <v>5532</v>
      </c>
      <c r="K1596" s="5" t="s">
        <v>60</v>
      </c>
      <c r="L1596" s="11">
        <v>175</v>
      </c>
      <c r="M1596" s="11">
        <v>1982</v>
      </c>
      <c r="N1596" s="11">
        <v>1930</v>
      </c>
      <c r="O1596" s="15"/>
      <c r="P1596" s="8">
        <v>44986</v>
      </c>
      <c r="Q1596" s="8"/>
      <c r="R1596" s="8"/>
      <c r="S1596" s="8"/>
      <c r="T1596" s="8"/>
      <c r="U1596" s="8"/>
      <c r="V1596" s="8"/>
      <c r="W1596" s="8"/>
      <c r="X1596" s="8"/>
      <c r="Y1596" s="8"/>
      <c r="Z1596" s="8"/>
      <c r="AA1596" s="8"/>
      <c r="AB1596" s="8"/>
      <c r="AC1596" s="8"/>
      <c r="AD1596" s="8"/>
      <c r="AE1596" s="8"/>
      <c r="AF1596" s="8"/>
      <c r="AG1596" s="8"/>
      <c r="AH1596" s="8"/>
      <c r="AI1596" s="8"/>
      <c r="AJ1596" s="8"/>
      <c r="AK1596" s="8"/>
      <c r="AL1596" s="8"/>
      <c r="AM1596" s="8"/>
      <c r="AN1596" s="8"/>
      <c r="AO1596" s="8"/>
      <c r="AP1596" s="8"/>
      <c r="AQ1596" s="8"/>
      <c r="AR1596" s="8"/>
      <c r="AS1596" s="8"/>
      <c r="AT1596" s="8"/>
      <c r="AU1596" s="8"/>
      <c r="AV1596" s="8"/>
      <c r="AW1596" s="8"/>
      <c r="AX1596" s="4" t="s">
        <v>38</v>
      </c>
      <c r="AY1596" s="5" t="s">
        <v>7037</v>
      </c>
      <c r="AZ1596" s="5" t="s">
        <v>38</v>
      </c>
      <c r="BA1596" s="12"/>
      <c r="BB1596" s="12"/>
      <c r="BC1596" s="12"/>
      <c r="BD1596" s="11">
        <v>0</v>
      </c>
      <c r="BE1596" s="11">
        <v>0</v>
      </c>
    </row>
    <row x14ac:dyDescent="0.25" r="1597" customHeight="1" ht="17.25">
      <c r="A1597" s="11">
        <v>7701560</v>
      </c>
      <c r="B1597" s="4" t="s">
        <v>7038</v>
      </c>
      <c r="C1597" s="5" t="s">
        <v>7039</v>
      </c>
      <c r="D1597" s="5" t="s">
        <v>7040</v>
      </c>
      <c r="E1597" s="12"/>
      <c r="F1597" s="13">
        <f>"0982237634"</f>
      </c>
      <c r="G1597" s="13">
        <f>"9780982237632"</f>
      </c>
      <c r="H1597" s="11">
        <v>0</v>
      </c>
      <c r="I1597" s="14">
        <v>4.17</v>
      </c>
      <c r="J1597" s="7" t="s">
        <v>7041</v>
      </c>
      <c r="K1597" s="5" t="s">
        <v>60</v>
      </c>
      <c r="L1597" s="11">
        <v>104</v>
      </c>
      <c r="M1597" s="11">
        <v>2010</v>
      </c>
      <c r="N1597" s="11">
        <v>2010</v>
      </c>
      <c r="O1597" s="15"/>
      <c r="P1597" s="8">
        <v>44980</v>
      </c>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c r="AO1597" s="8"/>
      <c r="AP1597" s="8"/>
      <c r="AQ1597" s="8"/>
      <c r="AR1597" s="8"/>
      <c r="AS1597" s="8"/>
      <c r="AT1597" s="8"/>
      <c r="AU1597" s="8"/>
      <c r="AV1597" s="8"/>
      <c r="AW1597" s="8"/>
      <c r="AX1597" s="4" t="s">
        <v>38</v>
      </c>
      <c r="AY1597" s="5" t="s">
        <v>7042</v>
      </c>
      <c r="AZ1597" s="5" t="s">
        <v>38</v>
      </c>
      <c r="BA1597" s="12"/>
      <c r="BB1597" s="12"/>
      <c r="BC1597" s="12"/>
      <c r="BD1597" s="11">
        <v>0</v>
      </c>
      <c r="BE1597" s="11">
        <v>0</v>
      </c>
    </row>
    <row x14ac:dyDescent="0.25" r="1598" customHeight="1" ht="17.25">
      <c r="A1598" s="11">
        <v>61490425</v>
      </c>
      <c r="B1598" s="4" t="s">
        <v>7043</v>
      </c>
      <c r="C1598" s="5" t="s">
        <v>7044</v>
      </c>
      <c r="D1598" s="5" t="s">
        <v>7045</v>
      </c>
      <c r="E1598" s="5" t="s">
        <v>7046</v>
      </c>
      <c r="F1598" s="13">
        <f>"1628974443"</f>
      </c>
      <c r="G1598" s="13">
        <f>"9781628974447"</f>
      </c>
      <c r="H1598" s="11">
        <v>0</v>
      </c>
      <c r="I1598" s="14">
        <v>4.04</v>
      </c>
      <c r="J1598" s="7" t="s">
        <v>59</v>
      </c>
      <c r="K1598" s="5" t="s">
        <v>60</v>
      </c>
      <c r="L1598" s="11">
        <v>598</v>
      </c>
      <c r="M1598" s="11">
        <v>2023</v>
      </c>
      <c r="N1598" s="11">
        <v>2004</v>
      </c>
      <c r="O1598" s="15"/>
      <c r="P1598" s="8">
        <v>44961</v>
      </c>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c r="AO1598" s="8"/>
      <c r="AP1598" s="8"/>
      <c r="AQ1598" s="8"/>
      <c r="AR1598" s="8"/>
      <c r="AS1598" s="8"/>
      <c r="AT1598" s="8"/>
      <c r="AU1598" s="8"/>
      <c r="AV1598" s="8"/>
      <c r="AW1598" s="8"/>
      <c r="AX1598" s="4" t="s">
        <v>38</v>
      </c>
      <c r="AY1598" s="5" t="s">
        <v>7047</v>
      </c>
      <c r="AZ1598" s="5" t="s">
        <v>38</v>
      </c>
      <c r="BA1598" s="12"/>
      <c r="BB1598" s="12"/>
      <c r="BC1598" s="12"/>
      <c r="BD1598" s="11">
        <v>0</v>
      </c>
      <c r="BE1598" s="11">
        <v>0</v>
      </c>
    </row>
    <row x14ac:dyDescent="0.25" r="1599" customHeight="1" ht="17.25">
      <c r="A1599" s="11">
        <v>3997923</v>
      </c>
      <c r="B1599" s="4" t="s">
        <v>7048</v>
      </c>
      <c r="C1599" s="5" t="s">
        <v>7049</v>
      </c>
      <c r="D1599" s="5" t="s">
        <v>7050</v>
      </c>
      <c r="E1599" s="12"/>
      <c r="F1599" s="13">
        <f>"0810337800"</f>
      </c>
      <c r="G1599" s="13">
        <f>"9780810337800"</f>
      </c>
      <c r="H1599" s="11">
        <v>0</v>
      </c>
      <c r="I1599" s="14">
        <v>2.67</v>
      </c>
      <c r="J1599" s="7" t="s">
        <v>7051</v>
      </c>
      <c r="K1599" s="5" t="s">
        <v>72</v>
      </c>
      <c r="L1599" s="11">
        <v>288</v>
      </c>
      <c r="M1599" s="11">
        <v>1976</v>
      </c>
      <c r="N1599" s="11">
        <v>1911</v>
      </c>
      <c r="O1599" s="15"/>
      <c r="P1599" s="8">
        <v>44960</v>
      </c>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c r="AO1599" s="8"/>
      <c r="AP1599" s="8"/>
      <c r="AQ1599" s="8"/>
      <c r="AR1599" s="8"/>
      <c r="AS1599" s="8"/>
      <c r="AT1599" s="8"/>
      <c r="AU1599" s="8"/>
      <c r="AV1599" s="8"/>
      <c r="AW1599" s="8"/>
      <c r="AX1599" s="4" t="s">
        <v>38</v>
      </c>
      <c r="AY1599" s="5" t="s">
        <v>7052</v>
      </c>
      <c r="AZ1599" s="5" t="s">
        <v>38</v>
      </c>
      <c r="BA1599" s="12"/>
      <c r="BB1599" s="12"/>
      <c r="BC1599" s="12"/>
      <c r="BD1599" s="11">
        <v>0</v>
      </c>
      <c r="BE1599" s="11">
        <v>0</v>
      </c>
    </row>
    <row x14ac:dyDescent="0.25" r="1600" customHeight="1" ht="17.25">
      <c r="A1600" s="11">
        <v>9293201</v>
      </c>
      <c r="B1600" s="4" t="s">
        <v>7053</v>
      </c>
      <c r="C1600" s="5" t="s">
        <v>7054</v>
      </c>
      <c r="D1600" s="5" t="s">
        <v>7055</v>
      </c>
      <c r="E1600" s="12"/>
      <c r="F1600" s="13">
        <f>"0404184650"</f>
      </c>
      <c r="G1600" s="13">
        <f>"9780404184650"</f>
      </c>
      <c r="H1600" s="11">
        <v>0</v>
      </c>
      <c r="I1600" s="11">
        <v>0</v>
      </c>
      <c r="J1600" s="7" t="s">
        <v>7056</v>
      </c>
      <c r="K1600" s="5" t="s">
        <v>72</v>
      </c>
      <c r="L1600" s="16"/>
      <c r="M1600" s="11">
        <v>1979</v>
      </c>
      <c r="N1600" s="11">
        <v>1979</v>
      </c>
      <c r="O1600" s="15"/>
      <c r="P1600" s="8">
        <v>44960</v>
      </c>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c r="AO1600" s="8"/>
      <c r="AP1600" s="8"/>
      <c r="AQ1600" s="8"/>
      <c r="AR1600" s="8"/>
      <c r="AS1600" s="8"/>
      <c r="AT1600" s="8"/>
      <c r="AU1600" s="8"/>
      <c r="AV1600" s="8"/>
      <c r="AW1600" s="8"/>
      <c r="AX1600" s="4" t="s">
        <v>38</v>
      </c>
      <c r="AY1600" s="5" t="s">
        <v>7057</v>
      </c>
      <c r="AZ1600" s="5" t="s">
        <v>38</v>
      </c>
      <c r="BA1600" s="12"/>
      <c r="BB1600" s="12"/>
      <c r="BC1600" s="12"/>
      <c r="BD1600" s="11">
        <v>0</v>
      </c>
      <c r="BE1600" s="11">
        <v>0</v>
      </c>
    </row>
    <row x14ac:dyDescent="0.25" r="1601" customHeight="1" ht="17.25">
      <c r="A1601" s="11">
        <v>786014</v>
      </c>
      <c r="B1601" s="4" t="s">
        <v>7058</v>
      </c>
      <c r="C1601" s="5" t="s">
        <v>7059</v>
      </c>
      <c r="D1601" s="5" t="s">
        <v>7060</v>
      </c>
      <c r="E1601" s="5" t="s">
        <v>7061</v>
      </c>
      <c r="F1601" s="13">
        <f>"0874622212"</f>
      </c>
      <c r="G1601" s="13">
        <f>"9780874622218"</f>
      </c>
      <c r="H1601" s="11">
        <v>0</v>
      </c>
      <c r="I1601" s="14">
        <v>3.99</v>
      </c>
      <c r="J1601" s="7" t="s">
        <v>2496</v>
      </c>
      <c r="K1601" s="5" t="s">
        <v>60</v>
      </c>
      <c r="L1601" s="11">
        <v>266</v>
      </c>
      <c r="M1601" s="11">
        <v>1980</v>
      </c>
      <c r="N1601" s="11">
        <v>528</v>
      </c>
      <c r="O1601" s="15"/>
      <c r="P1601" s="8">
        <v>44960</v>
      </c>
      <c r="Q1601" s="8"/>
      <c r="R1601" s="8"/>
      <c r="S1601" s="8"/>
      <c r="T1601" s="8"/>
      <c r="U1601" s="8"/>
      <c r="V1601" s="8"/>
      <c r="W1601" s="8"/>
      <c r="X1601" s="8"/>
      <c r="Y1601" s="8"/>
      <c r="Z1601" s="8"/>
      <c r="AA1601" s="8"/>
      <c r="AB1601" s="8"/>
      <c r="AC1601" s="8"/>
      <c r="AD1601" s="8"/>
      <c r="AE1601" s="8"/>
      <c r="AF1601" s="8"/>
      <c r="AG1601" s="8"/>
      <c r="AH1601" s="8"/>
      <c r="AI1601" s="8"/>
      <c r="AJ1601" s="8"/>
      <c r="AK1601" s="8"/>
      <c r="AL1601" s="8"/>
      <c r="AM1601" s="8"/>
      <c r="AN1601" s="8"/>
      <c r="AO1601" s="8"/>
      <c r="AP1601" s="8"/>
      <c r="AQ1601" s="8"/>
      <c r="AR1601" s="8"/>
      <c r="AS1601" s="8"/>
      <c r="AT1601" s="8"/>
      <c r="AU1601" s="8"/>
      <c r="AV1601" s="8"/>
      <c r="AW1601" s="8"/>
      <c r="AX1601" s="4" t="s">
        <v>38</v>
      </c>
      <c r="AY1601" s="5" t="s">
        <v>7062</v>
      </c>
      <c r="AZ1601" s="5" t="s">
        <v>38</v>
      </c>
      <c r="BA1601" s="12"/>
      <c r="BB1601" s="12"/>
      <c r="BC1601" s="12"/>
      <c r="BD1601" s="11">
        <v>0</v>
      </c>
      <c r="BE1601" s="11">
        <v>0</v>
      </c>
    </row>
    <row x14ac:dyDescent="0.25" r="1602" customHeight="1" ht="17.25">
      <c r="A1602" s="11">
        <v>6891386</v>
      </c>
      <c r="B1602" s="4" t="s">
        <v>7063</v>
      </c>
      <c r="C1602" s="5" t="s">
        <v>7059</v>
      </c>
      <c r="D1602" s="5" t="s">
        <v>7060</v>
      </c>
      <c r="E1602" s="12"/>
      <c r="F1602" s="13">
        <f>"141915625X"</f>
      </c>
      <c r="G1602" s="13">
        <f>"9781419156250"</f>
      </c>
      <c r="H1602" s="11">
        <v>0</v>
      </c>
      <c r="I1602" s="14">
        <v>3.76</v>
      </c>
      <c r="J1602" s="7" t="s">
        <v>7064</v>
      </c>
      <c r="K1602" s="5" t="s">
        <v>60</v>
      </c>
      <c r="L1602" s="11">
        <v>48</v>
      </c>
      <c r="M1602" s="11">
        <v>2004</v>
      </c>
      <c r="N1602" s="11">
        <v>1958</v>
      </c>
      <c r="O1602" s="15"/>
      <c r="P1602" s="8">
        <v>44960</v>
      </c>
      <c r="Q1602" s="8"/>
      <c r="R1602" s="8"/>
      <c r="S1602" s="8"/>
      <c r="T1602" s="8"/>
      <c r="U1602" s="8"/>
      <c r="V1602" s="8"/>
      <c r="W1602" s="8"/>
      <c r="X1602" s="8"/>
      <c r="Y1602" s="8"/>
      <c r="Z1602" s="8"/>
      <c r="AA1602" s="8"/>
      <c r="AB1602" s="8"/>
      <c r="AC1602" s="8"/>
      <c r="AD1602" s="8"/>
      <c r="AE1602" s="8"/>
      <c r="AF1602" s="8"/>
      <c r="AG1602" s="8"/>
      <c r="AH1602" s="8"/>
      <c r="AI1602" s="8"/>
      <c r="AJ1602" s="8"/>
      <c r="AK1602" s="8"/>
      <c r="AL1602" s="8"/>
      <c r="AM1602" s="8"/>
      <c r="AN1602" s="8"/>
      <c r="AO1602" s="8"/>
      <c r="AP1602" s="8"/>
      <c r="AQ1602" s="8"/>
      <c r="AR1602" s="8"/>
      <c r="AS1602" s="8"/>
      <c r="AT1602" s="8"/>
      <c r="AU1602" s="8"/>
      <c r="AV1602" s="8"/>
      <c r="AW1602" s="8"/>
      <c r="AX1602" s="4" t="s">
        <v>38</v>
      </c>
      <c r="AY1602" s="5" t="s">
        <v>7065</v>
      </c>
      <c r="AZ1602" s="5" t="s">
        <v>38</v>
      </c>
      <c r="BA1602" s="12"/>
      <c r="BB1602" s="12"/>
      <c r="BC1602" s="12"/>
      <c r="BD1602" s="11">
        <v>0</v>
      </c>
      <c r="BE1602" s="11">
        <v>0</v>
      </c>
    </row>
    <row x14ac:dyDescent="0.25" r="1603" customHeight="1" ht="17.25">
      <c r="A1603" s="11">
        <v>6753296</v>
      </c>
      <c r="B1603" s="4" t="s">
        <v>7066</v>
      </c>
      <c r="C1603" s="5" t="s">
        <v>7067</v>
      </c>
      <c r="D1603" s="5" t="s">
        <v>7068</v>
      </c>
      <c r="E1603" s="12"/>
      <c r="F1603" s="13">
        <f>"0819601489"</f>
      </c>
      <c r="G1603" s="13">
        <f>"9780819601483"</f>
      </c>
      <c r="H1603" s="11">
        <v>0</v>
      </c>
      <c r="I1603" s="14">
        <v>3.67</v>
      </c>
      <c r="J1603" s="18"/>
      <c r="K1603" s="1"/>
      <c r="L1603" s="16"/>
      <c r="M1603" s="16"/>
      <c r="N1603" s="16"/>
      <c r="O1603" s="15"/>
      <c r="P1603" s="8">
        <v>44960</v>
      </c>
      <c r="Q1603" s="8"/>
      <c r="R1603" s="8"/>
      <c r="S1603" s="8"/>
      <c r="T1603" s="8"/>
      <c r="U1603" s="8"/>
      <c r="V1603" s="8"/>
      <c r="W1603" s="8"/>
      <c r="X1603" s="8"/>
      <c r="Y1603" s="8"/>
      <c r="Z1603" s="8"/>
      <c r="AA1603" s="8"/>
      <c r="AB1603" s="8"/>
      <c r="AC1603" s="8"/>
      <c r="AD1603" s="8"/>
      <c r="AE1603" s="8"/>
      <c r="AF1603" s="8"/>
      <c r="AG1603" s="8"/>
      <c r="AH1603" s="8"/>
      <c r="AI1603" s="8"/>
      <c r="AJ1603" s="8"/>
      <c r="AK1603" s="8"/>
      <c r="AL1603" s="8"/>
      <c r="AM1603" s="8"/>
      <c r="AN1603" s="8"/>
      <c r="AO1603" s="8"/>
      <c r="AP1603" s="8"/>
      <c r="AQ1603" s="8"/>
      <c r="AR1603" s="8"/>
      <c r="AS1603" s="8"/>
      <c r="AT1603" s="8"/>
      <c r="AU1603" s="8"/>
      <c r="AV1603" s="8"/>
      <c r="AW1603" s="8"/>
      <c r="AX1603" s="4" t="s">
        <v>38</v>
      </c>
      <c r="AY1603" s="5" t="s">
        <v>7069</v>
      </c>
      <c r="AZ1603" s="5" t="s">
        <v>38</v>
      </c>
      <c r="BA1603" s="12"/>
      <c r="BB1603" s="12"/>
      <c r="BC1603" s="12"/>
      <c r="BD1603" s="11">
        <v>0</v>
      </c>
      <c r="BE1603" s="11">
        <v>0</v>
      </c>
    </row>
    <row x14ac:dyDescent="0.25" r="1604" customHeight="1" ht="17.25">
      <c r="A1604" s="11">
        <v>48659515</v>
      </c>
      <c r="B1604" s="4" t="s">
        <v>7070</v>
      </c>
      <c r="C1604" s="5" t="s">
        <v>4342</v>
      </c>
      <c r="D1604" s="5" t="s">
        <v>4343</v>
      </c>
      <c r="E1604" s="12"/>
      <c r="F1604" s="13">
        <f>"8494972553"</f>
      </c>
      <c r="G1604" s="13">
        <f>"9788494972553"</f>
      </c>
      <c r="H1604" s="11">
        <v>0</v>
      </c>
      <c r="I1604" s="14">
        <v>3.59</v>
      </c>
      <c r="J1604" s="7" t="s">
        <v>7071</v>
      </c>
      <c r="K1604" s="5" t="s">
        <v>60</v>
      </c>
      <c r="L1604" s="11">
        <v>88</v>
      </c>
      <c r="M1604" s="11">
        <v>2019</v>
      </c>
      <c r="N1604" s="16"/>
      <c r="O1604" s="15"/>
      <c r="P1604" s="8">
        <v>44960</v>
      </c>
      <c r="Q1604" s="8"/>
      <c r="R1604" s="8"/>
      <c r="S1604" s="8"/>
      <c r="T1604" s="8"/>
      <c r="U1604" s="8"/>
      <c r="V1604" s="8"/>
      <c r="W1604" s="8"/>
      <c r="X1604" s="8"/>
      <c r="Y1604" s="8"/>
      <c r="Z1604" s="8"/>
      <c r="AA1604" s="8"/>
      <c r="AB1604" s="8"/>
      <c r="AC1604" s="8"/>
      <c r="AD1604" s="8"/>
      <c r="AE1604" s="8"/>
      <c r="AF1604" s="8"/>
      <c r="AG1604" s="8"/>
      <c r="AH1604" s="8"/>
      <c r="AI1604" s="8"/>
      <c r="AJ1604" s="8"/>
      <c r="AK1604" s="8"/>
      <c r="AL1604" s="8"/>
      <c r="AM1604" s="8"/>
      <c r="AN1604" s="8"/>
      <c r="AO1604" s="8"/>
      <c r="AP1604" s="8"/>
      <c r="AQ1604" s="8"/>
      <c r="AR1604" s="8"/>
      <c r="AS1604" s="8"/>
      <c r="AT1604" s="8"/>
      <c r="AU1604" s="8"/>
      <c r="AV1604" s="8"/>
      <c r="AW1604" s="8"/>
      <c r="AX1604" s="4" t="s">
        <v>38</v>
      </c>
      <c r="AY1604" s="5" t="s">
        <v>7072</v>
      </c>
      <c r="AZ1604" s="5" t="s">
        <v>38</v>
      </c>
      <c r="BA1604" s="12"/>
      <c r="BB1604" s="12"/>
      <c r="BC1604" s="12"/>
      <c r="BD1604" s="11">
        <v>0</v>
      </c>
      <c r="BE1604" s="11">
        <v>0</v>
      </c>
    </row>
    <row x14ac:dyDescent="0.25" r="1605" customHeight="1" ht="17.25">
      <c r="A1605" s="11">
        <v>79927383</v>
      </c>
      <c r="B1605" s="4" t="s">
        <v>7073</v>
      </c>
      <c r="C1605" s="5" t="s">
        <v>7074</v>
      </c>
      <c r="D1605" s="5" t="s">
        <v>7075</v>
      </c>
      <c r="E1605" s="12"/>
      <c r="F1605" s="13">
        <f>"1245971336"</f>
      </c>
      <c r="G1605" s="13">
        <f>"9781245971331"</f>
      </c>
      <c r="H1605" s="11">
        <v>0</v>
      </c>
      <c r="I1605" s="11">
        <v>0</v>
      </c>
      <c r="J1605" s="7" t="s">
        <v>7076</v>
      </c>
      <c r="K1605" s="5" t="s">
        <v>60</v>
      </c>
      <c r="L1605" s="11">
        <v>558</v>
      </c>
      <c r="M1605" s="11">
        <v>2011</v>
      </c>
      <c r="N1605" s="16"/>
      <c r="O1605" s="15"/>
      <c r="P1605" s="8">
        <v>44960</v>
      </c>
      <c r="Q1605" s="8"/>
      <c r="R1605" s="8"/>
      <c r="S1605" s="8"/>
      <c r="T1605" s="8"/>
      <c r="U1605" s="8"/>
      <c r="V1605" s="8"/>
      <c r="W1605" s="8"/>
      <c r="X1605" s="8"/>
      <c r="Y1605" s="8"/>
      <c r="Z1605" s="8"/>
      <c r="AA1605" s="8"/>
      <c r="AB1605" s="8"/>
      <c r="AC1605" s="8"/>
      <c r="AD1605" s="8"/>
      <c r="AE1605" s="8"/>
      <c r="AF1605" s="8"/>
      <c r="AG1605" s="8"/>
      <c r="AH1605" s="8"/>
      <c r="AI1605" s="8"/>
      <c r="AJ1605" s="8"/>
      <c r="AK1605" s="8"/>
      <c r="AL1605" s="8"/>
      <c r="AM1605" s="8"/>
      <c r="AN1605" s="8"/>
      <c r="AO1605" s="8"/>
      <c r="AP1605" s="8"/>
      <c r="AQ1605" s="8"/>
      <c r="AR1605" s="8"/>
      <c r="AS1605" s="8"/>
      <c r="AT1605" s="8"/>
      <c r="AU1605" s="8"/>
      <c r="AV1605" s="8"/>
      <c r="AW1605" s="8"/>
      <c r="AX1605" s="4" t="s">
        <v>38</v>
      </c>
      <c r="AY1605" s="5" t="s">
        <v>7077</v>
      </c>
      <c r="AZ1605" s="5" t="s">
        <v>38</v>
      </c>
      <c r="BA1605" s="12"/>
      <c r="BB1605" s="12"/>
      <c r="BC1605" s="12"/>
      <c r="BD1605" s="11">
        <v>0</v>
      </c>
      <c r="BE1605" s="11">
        <v>0</v>
      </c>
    </row>
    <row x14ac:dyDescent="0.25" r="1606" customHeight="1" ht="17.25">
      <c r="A1606" s="11">
        <v>2470204</v>
      </c>
      <c r="B1606" s="4" t="s">
        <v>7078</v>
      </c>
      <c r="C1606" s="5" t="s">
        <v>7079</v>
      </c>
      <c r="D1606" s="5" t="s">
        <v>7080</v>
      </c>
      <c r="E1606" s="12"/>
      <c r="F1606" s="13">
        <f>""</f>
      </c>
      <c r="G1606" s="13">
        <f>"9789681603007"</f>
      </c>
      <c r="H1606" s="11">
        <v>0</v>
      </c>
      <c r="I1606" s="14">
        <v>3.99</v>
      </c>
      <c r="J1606" s="7" t="s">
        <v>6077</v>
      </c>
      <c r="K1606" s="5" t="s">
        <v>60</v>
      </c>
      <c r="L1606" s="11">
        <v>355</v>
      </c>
      <c r="M1606" s="11">
        <v>2013</v>
      </c>
      <c r="N1606" s="11">
        <v>1944</v>
      </c>
      <c r="O1606" s="15"/>
      <c r="P1606" s="8">
        <v>44960</v>
      </c>
      <c r="Q1606" s="8"/>
      <c r="R1606" s="8"/>
      <c r="S1606" s="8"/>
      <c r="T1606" s="8"/>
      <c r="U1606" s="8"/>
      <c r="V1606" s="8"/>
      <c r="W1606" s="8"/>
      <c r="X1606" s="8"/>
      <c r="Y1606" s="8"/>
      <c r="Z1606" s="8"/>
      <c r="AA1606" s="8"/>
      <c r="AB1606" s="8"/>
      <c r="AC1606" s="8"/>
      <c r="AD1606" s="8"/>
      <c r="AE1606" s="8"/>
      <c r="AF1606" s="8"/>
      <c r="AG1606" s="8"/>
      <c r="AH1606" s="8"/>
      <c r="AI1606" s="8"/>
      <c r="AJ1606" s="8"/>
      <c r="AK1606" s="8"/>
      <c r="AL1606" s="8"/>
      <c r="AM1606" s="8"/>
      <c r="AN1606" s="8"/>
      <c r="AO1606" s="8"/>
      <c r="AP1606" s="8"/>
      <c r="AQ1606" s="8"/>
      <c r="AR1606" s="8"/>
      <c r="AS1606" s="8"/>
      <c r="AT1606" s="8"/>
      <c r="AU1606" s="8"/>
      <c r="AV1606" s="8"/>
      <c r="AW1606" s="8"/>
      <c r="AX1606" s="4" t="s">
        <v>38</v>
      </c>
      <c r="AY1606" s="5" t="s">
        <v>7081</v>
      </c>
      <c r="AZ1606" s="5" t="s">
        <v>38</v>
      </c>
      <c r="BA1606" s="12"/>
      <c r="BB1606" s="12"/>
      <c r="BC1606" s="12"/>
      <c r="BD1606" s="11">
        <v>0</v>
      </c>
      <c r="BE1606" s="11">
        <v>0</v>
      </c>
    </row>
    <row x14ac:dyDescent="0.25" r="1607" customHeight="1" ht="17.25">
      <c r="A1607" s="11">
        <v>26915632</v>
      </c>
      <c r="B1607" s="4" t="s">
        <v>7082</v>
      </c>
      <c r="C1607" s="5" t="s">
        <v>6032</v>
      </c>
      <c r="D1607" s="5" t="s">
        <v>6033</v>
      </c>
      <c r="E1607" s="12"/>
      <c r="F1607" s="13">
        <f>"1330211839"</f>
      </c>
      <c r="G1607" s="13">
        <f>"9781330211830"</f>
      </c>
      <c r="H1607" s="11">
        <v>0</v>
      </c>
      <c r="I1607" s="11">
        <v>0</v>
      </c>
      <c r="J1607" s="7" t="s">
        <v>460</v>
      </c>
      <c r="K1607" s="5" t="s">
        <v>60</v>
      </c>
      <c r="L1607" s="11">
        <v>484</v>
      </c>
      <c r="M1607" s="11">
        <v>2017</v>
      </c>
      <c r="N1607" s="11">
        <v>2015</v>
      </c>
      <c r="O1607" s="15"/>
      <c r="P1607" s="8">
        <v>44960</v>
      </c>
      <c r="Q1607" s="8"/>
      <c r="R1607" s="8"/>
      <c r="S1607" s="8"/>
      <c r="T1607" s="8"/>
      <c r="U1607" s="8"/>
      <c r="V1607" s="8"/>
      <c r="W1607" s="8"/>
      <c r="X1607" s="8"/>
      <c r="Y1607" s="8"/>
      <c r="Z1607" s="8"/>
      <c r="AA1607" s="8"/>
      <c r="AB1607" s="8"/>
      <c r="AC1607" s="8"/>
      <c r="AD1607" s="8"/>
      <c r="AE1607" s="8"/>
      <c r="AF1607" s="8"/>
      <c r="AG1607" s="8"/>
      <c r="AH1607" s="8"/>
      <c r="AI1607" s="8"/>
      <c r="AJ1607" s="8"/>
      <c r="AK1607" s="8"/>
      <c r="AL1607" s="8"/>
      <c r="AM1607" s="8"/>
      <c r="AN1607" s="8"/>
      <c r="AO1607" s="8"/>
      <c r="AP1607" s="8"/>
      <c r="AQ1607" s="8"/>
      <c r="AR1607" s="8"/>
      <c r="AS1607" s="8"/>
      <c r="AT1607" s="8"/>
      <c r="AU1607" s="8"/>
      <c r="AV1607" s="8"/>
      <c r="AW1607" s="8"/>
      <c r="AX1607" s="4" t="s">
        <v>38</v>
      </c>
      <c r="AY1607" s="5" t="s">
        <v>7083</v>
      </c>
      <c r="AZ1607" s="5" t="s">
        <v>38</v>
      </c>
      <c r="BA1607" s="12"/>
      <c r="BB1607" s="12"/>
      <c r="BC1607" s="12"/>
      <c r="BD1607" s="11">
        <v>0</v>
      </c>
      <c r="BE1607" s="11">
        <v>0</v>
      </c>
    </row>
    <row x14ac:dyDescent="0.25" r="1608" customHeight="1" ht="17.25">
      <c r="A1608" s="11">
        <v>1230482</v>
      </c>
      <c r="B1608" s="4" t="s">
        <v>7084</v>
      </c>
      <c r="C1608" s="5" t="s">
        <v>7085</v>
      </c>
      <c r="D1608" s="5" t="s">
        <v>7086</v>
      </c>
      <c r="E1608" s="12"/>
      <c r="F1608" s="13">
        <f>"0333082400"</f>
      </c>
      <c r="G1608" s="13">
        <f>"9780333082409"</f>
      </c>
      <c r="H1608" s="11">
        <v>0</v>
      </c>
      <c r="I1608" s="14">
        <v>4.42</v>
      </c>
      <c r="J1608" s="7" t="s">
        <v>7087</v>
      </c>
      <c r="K1608" s="5" t="s">
        <v>72</v>
      </c>
      <c r="L1608" s="16"/>
      <c r="M1608" s="11">
        <v>1943</v>
      </c>
      <c r="N1608" s="11">
        <v>1967</v>
      </c>
      <c r="O1608" s="15"/>
      <c r="P1608" s="8">
        <v>44960</v>
      </c>
      <c r="Q1608" s="8"/>
      <c r="R1608" s="8"/>
      <c r="S1608" s="8"/>
      <c r="T1608" s="8"/>
      <c r="U1608" s="8"/>
      <c r="V1608" s="8"/>
      <c r="W1608" s="8"/>
      <c r="X1608" s="8"/>
      <c r="Y1608" s="8"/>
      <c r="Z1608" s="8"/>
      <c r="AA1608" s="8"/>
      <c r="AB1608" s="8"/>
      <c r="AC1608" s="8"/>
      <c r="AD1608" s="8"/>
      <c r="AE1608" s="8"/>
      <c r="AF1608" s="8"/>
      <c r="AG1608" s="8"/>
      <c r="AH1608" s="8"/>
      <c r="AI1608" s="8"/>
      <c r="AJ1608" s="8"/>
      <c r="AK1608" s="8"/>
      <c r="AL1608" s="8"/>
      <c r="AM1608" s="8"/>
      <c r="AN1608" s="8"/>
      <c r="AO1608" s="8"/>
      <c r="AP1608" s="8"/>
      <c r="AQ1608" s="8"/>
      <c r="AR1608" s="8"/>
      <c r="AS1608" s="8"/>
      <c r="AT1608" s="8"/>
      <c r="AU1608" s="8"/>
      <c r="AV1608" s="8"/>
      <c r="AW1608" s="8"/>
      <c r="AX1608" s="4" t="s">
        <v>38</v>
      </c>
      <c r="AY1608" s="5" t="s">
        <v>7088</v>
      </c>
      <c r="AZ1608" s="5" t="s">
        <v>38</v>
      </c>
      <c r="BA1608" s="12"/>
      <c r="BB1608" s="12"/>
      <c r="BC1608" s="12"/>
      <c r="BD1608" s="11">
        <v>0</v>
      </c>
      <c r="BE1608" s="11">
        <v>0</v>
      </c>
    </row>
    <row x14ac:dyDescent="0.25" r="1609" customHeight="1" ht="17.25">
      <c r="A1609" s="11">
        <v>766938</v>
      </c>
      <c r="B1609" s="4" t="s">
        <v>7089</v>
      </c>
      <c r="C1609" s="5" t="s">
        <v>7090</v>
      </c>
      <c r="D1609" s="5" t="s">
        <v>7091</v>
      </c>
      <c r="E1609" s="12"/>
      <c r="F1609" s="13">
        <f>"0877289425"</f>
      </c>
      <c r="G1609" s="13">
        <f>"9780877289425"</f>
      </c>
      <c r="H1609" s="11">
        <v>0</v>
      </c>
      <c r="I1609" s="14">
        <v>3.88</v>
      </c>
      <c r="J1609" s="7" t="s">
        <v>5059</v>
      </c>
      <c r="K1609" s="5" t="s">
        <v>60</v>
      </c>
      <c r="L1609" s="11">
        <v>432</v>
      </c>
      <c r="M1609" s="11">
        <v>2000</v>
      </c>
      <c r="N1609" s="11">
        <v>1801</v>
      </c>
      <c r="O1609" s="15"/>
      <c r="P1609" s="8">
        <v>44960</v>
      </c>
      <c r="Q1609" s="8"/>
      <c r="R1609" s="8"/>
      <c r="S1609" s="8"/>
      <c r="T1609" s="8"/>
      <c r="U1609" s="8"/>
      <c r="V1609" s="8"/>
      <c r="W1609" s="8"/>
      <c r="X1609" s="8"/>
      <c r="Y1609" s="8"/>
      <c r="Z1609" s="8"/>
      <c r="AA1609" s="8"/>
      <c r="AB1609" s="8"/>
      <c r="AC1609" s="8"/>
      <c r="AD1609" s="8"/>
      <c r="AE1609" s="8"/>
      <c r="AF1609" s="8"/>
      <c r="AG1609" s="8"/>
      <c r="AH1609" s="8"/>
      <c r="AI1609" s="8"/>
      <c r="AJ1609" s="8"/>
      <c r="AK1609" s="8"/>
      <c r="AL1609" s="8"/>
      <c r="AM1609" s="8"/>
      <c r="AN1609" s="8"/>
      <c r="AO1609" s="8"/>
      <c r="AP1609" s="8"/>
      <c r="AQ1609" s="8"/>
      <c r="AR1609" s="8"/>
      <c r="AS1609" s="8"/>
      <c r="AT1609" s="8"/>
      <c r="AU1609" s="8"/>
      <c r="AV1609" s="8"/>
      <c r="AW1609" s="8"/>
      <c r="AX1609" s="4" t="s">
        <v>38</v>
      </c>
      <c r="AY1609" s="5" t="s">
        <v>7092</v>
      </c>
      <c r="AZ1609" s="5" t="s">
        <v>38</v>
      </c>
      <c r="BA1609" s="12"/>
      <c r="BB1609" s="12"/>
      <c r="BC1609" s="12"/>
      <c r="BD1609" s="11">
        <v>0</v>
      </c>
      <c r="BE1609" s="11">
        <v>0</v>
      </c>
    </row>
    <row x14ac:dyDescent="0.25" r="1610" customHeight="1" ht="17.25">
      <c r="A1610" s="11">
        <v>32627627</v>
      </c>
      <c r="B1610" s="4" t="s">
        <v>7093</v>
      </c>
      <c r="C1610" s="5" t="s">
        <v>7090</v>
      </c>
      <c r="D1610" s="5" t="s">
        <v>7091</v>
      </c>
      <c r="E1610" s="12"/>
      <c r="F1610" s="13">
        <f>"1333947984"</f>
      </c>
      <c r="G1610" s="13">
        <f>"9781333947989"</f>
      </c>
      <c r="H1610" s="11">
        <v>0</v>
      </c>
      <c r="I1610" s="11">
        <v>5</v>
      </c>
      <c r="J1610" s="7" t="s">
        <v>460</v>
      </c>
      <c r="K1610" s="5" t="s">
        <v>60</v>
      </c>
      <c r="L1610" s="11">
        <v>398</v>
      </c>
      <c r="M1610" s="11">
        <v>2018</v>
      </c>
      <c r="N1610" s="11">
        <v>2015</v>
      </c>
      <c r="O1610" s="15"/>
      <c r="P1610" s="8">
        <v>44960</v>
      </c>
      <c r="Q1610" s="8"/>
      <c r="R1610" s="8"/>
      <c r="S1610" s="8"/>
      <c r="T1610" s="8"/>
      <c r="U1610" s="8"/>
      <c r="V1610" s="8"/>
      <c r="W1610" s="8"/>
      <c r="X1610" s="8"/>
      <c r="Y1610" s="8"/>
      <c r="Z1610" s="8"/>
      <c r="AA1610" s="8"/>
      <c r="AB1610" s="8"/>
      <c r="AC1610" s="8"/>
      <c r="AD1610" s="8"/>
      <c r="AE1610" s="8"/>
      <c r="AF1610" s="8"/>
      <c r="AG1610" s="8"/>
      <c r="AH1610" s="8"/>
      <c r="AI1610" s="8"/>
      <c r="AJ1610" s="8"/>
      <c r="AK1610" s="8"/>
      <c r="AL1610" s="8"/>
      <c r="AM1610" s="8"/>
      <c r="AN1610" s="8"/>
      <c r="AO1610" s="8"/>
      <c r="AP1610" s="8"/>
      <c r="AQ1610" s="8"/>
      <c r="AR1610" s="8"/>
      <c r="AS1610" s="8"/>
      <c r="AT1610" s="8"/>
      <c r="AU1610" s="8"/>
      <c r="AV1610" s="8"/>
      <c r="AW1610" s="8"/>
      <c r="AX1610" s="4" t="s">
        <v>38</v>
      </c>
      <c r="AY1610" s="5" t="s">
        <v>7094</v>
      </c>
      <c r="AZ1610" s="5" t="s">
        <v>38</v>
      </c>
      <c r="BA1610" s="12"/>
      <c r="BB1610" s="12"/>
      <c r="BC1610" s="12"/>
      <c r="BD1610" s="11">
        <v>0</v>
      </c>
      <c r="BE1610" s="11">
        <v>0</v>
      </c>
    </row>
    <row x14ac:dyDescent="0.25" r="1611" customHeight="1" ht="17.25">
      <c r="A1611" s="11">
        <v>1205517</v>
      </c>
      <c r="B1611" s="4" t="s">
        <v>7095</v>
      </c>
      <c r="C1611" s="5" t="s">
        <v>7096</v>
      </c>
      <c r="D1611" s="5" t="s">
        <v>7097</v>
      </c>
      <c r="E1611" s="5" t="s">
        <v>7098</v>
      </c>
      <c r="F1611" s="13">
        <f>"0691029881"</f>
      </c>
      <c r="G1611" s="13">
        <f>"9780691029887"</f>
      </c>
      <c r="H1611" s="11">
        <v>0</v>
      </c>
      <c r="I1611" s="14">
        <v>4.2</v>
      </c>
      <c r="J1611" s="7" t="s">
        <v>172</v>
      </c>
      <c r="K1611" s="5" t="s">
        <v>60</v>
      </c>
      <c r="L1611" s="11">
        <v>392</v>
      </c>
      <c r="M1611" s="11">
        <v>1953</v>
      </c>
      <c r="N1611" s="11">
        <v>1940</v>
      </c>
      <c r="O1611" s="15"/>
      <c r="P1611" s="8">
        <v>44959</v>
      </c>
      <c r="Q1611" s="8"/>
      <c r="R1611" s="8"/>
      <c r="S1611" s="8"/>
      <c r="T1611" s="8"/>
      <c r="U1611" s="8"/>
      <c r="V1611" s="8"/>
      <c r="W1611" s="8"/>
      <c r="X1611" s="8"/>
      <c r="Y1611" s="8"/>
      <c r="Z1611" s="8"/>
      <c r="AA1611" s="8"/>
      <c r="AB1611" s="8"/>
      <c r="AC1611" s="8"/>
      <c r="AD1611" s="8"/>
      <c r="AE1611" s="8"/>
      <c r="AF1611" s="8"/>
      <c r="AG1611" s="8"/>
      <c r="AH1611" s="8"/>
      <c r="AI1611" s="8"/>
      <c r="AJ1611" s="8"/>
      <c r="AK1611" s="8"/>
      <c r="AL1611" s="8"/>
      <c r="AM1611" s="8"/>
      <c r="AN1611" s="8"/>
      <c r="AO1611" s="8"/>
      <c r="AP1611" s="8"/>
      <c r="AQ1611" s="8"/>
      <c r="AR1611" s="8"/>
      <c r="AS1611" s="8"/>
      <c r="AT1611" s="8"/>
      <c r="AU1611" s="8"/>
      <c r="AV1611" s="8"/>
      <c r="AW1611" s="8"/>
      <c r="AX1611" s="4" t="s">
        <v>38</v>
      </c>
      <c r="AY1611" s="5" t="s">
        <v>7099</v>
      </c>
      <c r="AZ1611" s="5" t="s">
        <v>38</v>
      </c>
      <c r="BA1611" s="12"/>
      <c r="BB1611" s="12"/>
      <c r="BC1611" s="12"/>
      <c r="BD1611" s="11">
        <v>0</v>
      </c>
      <c r="BE1611" s="11">
        <v>0</v>
      </c>
    </row>
    <row x14ac:dyDescent="0.25" r="1612" customHeight="1" ht="17.25">
      <c r="A1612" s="11">
        <v>14735332</v>
      </c>
      <c r="B1612" s="4" t="s">
        <v>7100</v>
      </c>
      <c r="C1612" s="5" t="s">
        <v>7101</v>
      </c>
      <c r="D1612" s="5" t="s">
        <v>7102</v>
      </c>
      <c r="E1612" s="12"/>
      <c r="F1612" s="13">
        <f>"9681670221"</f>
      </c>
      <c r="G1612" s="13">
        <f>"9789681670221"</f>
      </c>
      <c r="H1612" s="11">
        <v>0</v>
      </c>
      <c r="I1612" s="11">
        <v>0</v>
      </c>
      <c r="J1612" s="7" t="s">
        <v>6077</v>
      </c>
      <c r="K1612" s="5" t="s">
        <v>60</v>
      </c>
      <c r="L1612" s="11">
        <v>533</v>
      </c>
      <c r="M1612" s="11">
        <v>2005</v>
      </c>
      <c r="N1612" s="11">
        <v>1947</v>
      </c>
      <c r="O1612" s="15"/>
      <c r="P1612" s="8">
        <v>44959</v>
      </c>
      <c r="Q1612" s="8"/>
      <c r="R1612" s="8"/>
      <c r="S1612" s="8"/>
      <c r="T1612" s="8"/>
      <c r="U1612" s="8"/>
      <c r="V1612" s="8"/>
      <c r="W1612" s="8"/>
      <c r="X1612" s="8"/>
      <c r="Y1612" s="8"/>
      <c r="Z1612" s="8"/>
      <c r="AA1612" s="8"/>
      <c r="AB1612" s="8"/>
      <c r="AC1612" s="8"/>
      <c r="AD1612" s="8"/>
      <c r="AE1612" s="8"/>
      <c r="AF1612" s="8"/>
      <c r="AG1612" s="8"/>
      <c r="AH1612" s="8"/>
      <c r="AI1612" s="8"/>
      <c r="AJ1612" s="8"/>
      <c r="AK1612" s="8"/>
      <c r="AL1612" s="8"/>
      <c r="AM1612" s="8"/>
      <c r="AN1612" s="8"/>
      <c r="AO1612" s="8"/>
      <c r="AP1612" s="8"/>
      <c r="AQ1612" s="8"/>
      <c r="AR1612" s="8"/>
      <c r="AS1612" s="8"/>
      <c r="AT1612" s="8"/>
      <c r="AU1612" s="8"/>
      <c r="AV1612" s="8"/>
      <c r="AW1612" s="8"/>
      <c r="AX1612" s="4" t="s">
        <v>38</v>
      </c>
      <c r="AY1612" s="5" t="s">
        <v>7103</v>
      </c>
      <c r="AZ1612" s="5" t="s">
        <v>38</v>
      </c>
      <c r="BA1612" s="12"/>
      <c r="BB1612" s="12"/>
      <c r="BC1612" s="12"/>
      <c r="BD1612" s="11">
        <v>0</v>
      </c>
      <c r="BE1612" s="11">
        <v>0</v>
      </c>
    </row>
    <row x14ac:dyDescent="0.25" r="1613" customHeight="1" ht="17.25">
      <c r="A1613" s="11">
        <v>114517</v>
      </c>
      <c r="B1613" s="4" t="s">
        <v>7104</v>
      </c>
      <c r="C1613" s="5" t="s">
        <v>160</v>
      </c>
      <c r="D1613" s="5" t="s">
        <v>161</v>
      </c>
      <c r="E1613" s="5" t="s">
        <v>7105</v>
      </c>
      <c r="F1613" s="13">
        <f>"0691018154"</f>
      </c>
      <c r="G1613" s="13">
        <f>"9780691018157"</f>
      </c>
      <c r="H1613" s="11">
        <v>0</v>
      </c>
      <c r="I1613" s="14">
        <v>4.43</v>
      </c>
      <c r="J1613" s="7" t="s">
        <v>172</v>
      </c>
      <c r="K1613" s="5" t="s">
        <v>60</v>
      </c>
      <c r="L1613" s="11">
        <v>590</v>
      </c>
      <c r="M1613" s="11">
        <v>1977</v>
      </c>
      <c r="N1613" s="11">
        <v>1912</v>
      </c>
      <c r="O1613" s="15"/>
      <c r="P1613" s="8">
        <v>44959</v>
      </c>
      <c r="Q1613" s="8"/>
      <c r="R1613" s="8"/>
      <c r="S1613" s="8"/>
      <c r="T1613" s="8"/>
      <c r="U1613" s="8"/>
      <c r="V1613" s="8"/>
      <c r="W1613" s="8"/>
      <c r="X1613" s="8"/>
      <c r="Y1613" s="8"/>
      <c r="Z1613" s="8"/>
      <c r="AA1613" s="8"/>
      <c r="AB1613" s="8"/>
      <c r="AC1613" s="8"/>
      <c r="AD1613" s="8"/>
      <c r="AE1613" s="8"/>
      <c r="AF1613" s="8"/>
      <c r="AG1613" s="8"/>
      <c r="AH1613" s="8"/>
      <c r="AI1613" s="8"/>
      <c r="AJ1613" s="8"/>
      <c r="AK1613" s="8"/>
      <c r="AL1613" s="8"/>
      <c r="AM1613" s="8"/>
      <c r="AN1613" s="8"/>
      <c r="AO1613" s="8"/>
      <c r="AP1613" s="8"/>
      <c r="AQ1613" s="8"/>
      <c r="AR1613" s="8"/>
      <c r="AS1613" s="8"/>
      <c r="AT1613" s="8"/>
      <c r="AU1613" s="8"/>
      <c r="AV1613" s="8"/>
      <c r="AW1613" s="8"/>
      <c r="AX1613" s="4" t="s">
        <v>38</v>
      </c>
      <c r="AY1613" s="5" t="s">
        <v>7106</v>
      </c>
      <c r="AZ1613" s="5" t="s">
        <v>38</v>
      </c>
      <c r="BA1613" s="12"/>
      <c r="BB1613" s="12"/>
      <c r="BC1613" s="12"/>
      <c r="BD1613" s="11">
        <v>0</v>
      </c>
      <c r="BE1613" s="11">
        <v>0</v>
      </c>
    </row>
    <row x14ac:dyDescent="0.25" r="1614" customHeight="1" ht="17.25">
      <c r="A1614" s="11">
        <v>156968</v>
      </c>
      <c r="B1614" s="4" t="s">
        <v>7107</v>
      </c>
      <c r="C1614" s="5" t="s">
        <v>7108</v>
      </c>
      <c r="D1614" s="5" t="s">
        <v>7109</v>
      </c>
      <c r="E1614" s="12"/>
      <c r="F1614" s="13">
        <f>"0030184363"</f>
      </c>
      <c r="G1614" s="13">
        <f>"9780030184369"</f>
      </c>
      <c r="H1614" s="11">
        <v>0</v>
      </c>
      <c r="I1614" s="14">
        <v>3.82</v>
      </c>
      <c r="J1614" s="7" t="s">
        <v>7110</v>
      </c>
      <c r="K1614" s="5" t="s">
        <v>60</v>
      </c>
      <c r="L1614" s="11">
        <v>263</v>
      </c>
      <c r="M1614" s="11">
        <v>1976</v>
      </c>
      <c r="N1614" s="11">
        <v>1951</v>
      </c>
      <c r="O1614" s="15"/>
      <c r="P1614" s="8">
        <v>44959</v>
      </c>
      <c r="Q1614" s="8"/>
      <c r="R1614" s="8"/>
      <c r="S1614" s="8"/>
      <c r="T1614" s="8"/>
      <c r="U1614" s="8"/>
      <c r="V1614" s="8"/>
      <c r="W1614" s="8"/>
      <c r="X1614" s="8"/>
      <c r="Y1614" s="8"/>
      <c r="Z1614" s="8"/>
      <c r="AA1614" s="8"/>
      <c r="AB1614" s="8"/>
      <c r="AC1614" s="8"/>
      <c r="AD1614" s="8"/>
      <c r="AE1614" s="8"/>
      <c r="AF1614" s="8"/>
      <c r="AG1614" s="8"/>
      <c r="AH1614" s="8"/>
      <c r="AI1614" s="8"/>
      <c r="AJ1614" s="8"/>
      <c r="AK1614" s="8"/>
      <c r="AL1614" s="8"/>
      <c r="AM1614" s="8"/>
      <c r="AN1614" s="8"/>
      <c r="AO1614" s="8"/>
      <c r="AP1614" s="8"/>
      <c r="AQ1614" s="8"/>
      <c r="AR1614" s="8"/>
      <c r="AS1614" s="8"/>
      <c r="AT1614" s="8"/>
      <c r="AU1614" s="8"/>
      <c r="AV1614" s="8"/>
      <c r="AW1614" s="8"/>
      <c r="AX1614" s="4" t="s">
        <v>38</v>
      </c>
      <c r="AY1614" s="5" t="s">
        <v>7111</v>
      </c>
      <c r="AZ1614" s="5" t="s">
        <v>38</v>
      </c>
      <c r="BA1614" s="12"/>
      <c r="BB1614" s="12"/>
      <c r="BC1614" s="12"/>
      <c r="BD1614" s="11">
        <v>0</v>
      </c>
      <c r="BE1614" s="11">
        <v>0</v>
      </c>
    </row>
    <row x14ac:dyDescent="0.25" r="1615" customHeight="1" ht="17.25">
      <c r="A1615" s="11">
        <v>406896</v>
      </c>
      <c r="B1615" s="4" t="s">
        <v>7112</v>
      </c>
      <c r="C1615" s="5" t="s">
        <v>7113</v>
      </c>
      <c r="D1615" s="5" t="s">
        <v>7114</v>
      </c>
      <c r="E1615" s="5" t="s">
        <v>7115</v>
      </c>
      <c r="F1615" s="13">
        <f>"1877727571"</f>
      </c>
      <c r="G1615" s="13">
        <f>"9781877727573"</f>
      </c>
      <c r="H1615" s="11">
        <v>0</v>
      </c>
      <c r="I1615" s="14">
        <v>4.54</v>
      </c>
      <c r="J1615" s="7" t="s">
        <v>2421</v>
      </c>
      <c r="K1615" s="5" t="s">
        <v>60</v>
      </c>
      <c r="L1615" s="11">
        <v>265</v>
      </c>
      <c r="M1615" s="11">
        <v>1996</v>
      </c>
      <c r="N1615" s="11">
        <v>1996</v>
      </c>
      <c r="O1615" s="15"/>
      <c r="P1615" s="8">
        <v>44941</v>
      </c>
      <c r="Q1615" s="8"/>
      <c r="R1615" s="8"/>
      <c r="S1615" s="8"/>
      <c r="T1615" s="8"/>
      <c r="U1615" s="8"/>
      <c r="V1615" s="8"/>
      <c r="W1615" s="8"/>
      <c r="X1615" s="8"/>
      <c r="Y1615" s="8"/>
      <c r="Z1615" s="8"/>
      <c r="AA1615" s="8"/>
      <c r="AB1615" s="8"/>
      <c r="AC1615" s="8"/>
      <c r="AD1615" s="8"/>
      <c r="AE1615" s="8"/>
      <c r="AF1615" s="8"/>
      <c r="AG1615" s="8"/>
      <c r="AH1615" s="8"/>
      <c r="AI1615" s="8"/>
      <c r="AJ1615" s="8"/>
      <c r="AK1615" s="8"/>
      <c r="AL1615" s="8"/>
      <c r="AM1615" s="8"/>
      <c r="AN1615" s="8"/>
      <c r="AO1615" s="8"/>
      <c r="AP1615" s="8"/>
      <c r="AQ1615" s="8"/>
      <c r="AR1615" s="8"/>
      <c r="AS1615" s="8"/>
      <c r="AT1615" s="8"/>
      <c r="AU1615" s="8"/>
      <c r="AV1615" s="8"/>
      <c r="AW1615" s="8"/>
      <c r="AX1615" s="4" t="s">
        <v>38</v>
      </c>
      <c r="AY1615" s="5" t="s">
        <v>7116</v>
      </c>
      <c r="AZ1615" s="5" t="s">
        <v>38</v>
      </c>
      <c r="BA1615" s="12"/>
      <c r="BB1615" s="12"/>
      <c r="BC1615" s="12"/>
      <c r="BD1615" s="11">
        <v>0</v>
      </c>
      <c r="BE1615" s="11">
        <v>0</v>
      </c>
    </row>
    <row x14ac:dyDescent="0.25" r="1616" customHeight="1" ht="17.25">
      <c r="A1616" s="11">
        <v>40245130</v>
      </c>
      <c r="B1616" s="4" t="s">
        <v>7117</v>
      </c>
      <c r="C1616" s="5" t="s">
        <v>7118</v>
      </c>
      <c r="D1616" s="5" t="s">
        <v>7119</v>
      </c>
      <c r="E1616" s="12"/>
      <c r="F1616" s="13">
        <f>"0525520619"</f>
      </c>
      <c r="G1616" s="13">
        <f>""</f>
      </c>
      <c r="H1616" s="11">
        <v>0</v>
      </c>
      <c r="I1616" s="14">
        <v>3.81</v>
      </c>
      <c r="J1616" s="7" t="s">
        <v>665</v>
      </c>
      <c r="K1616" s="5" t="s">
        <v>72</v>
      </c>
      <c r="L1616" s="11">
        <v>385</v>
      </c>
      <c r="M1616" s="11">
        <v>2019</v>
      </c>
      <c r="N1616" s="11">
        <v>2019</v>
      </c>
      <c r="O1616" s="15"/>
      <c r="P1616" s="9">
        <v>44920</v>
      </c>
      <c r="Q1616" s="9"/>
      <c r="R1616" s="9"/>
      <c r="S1616" s="9"/>
      <c r="T1616" s="9"/>
      <c r="U1616" s="9"/>
      <c r="V1616" s="9"/>
      <c r="W1616" s="9"/>
      <c r="X1616" s="9"/>
      <c r="Y1616" s="9"/>
      <c r="Z1616" s="9"/>
      <c r="AA1616" s="9"/>
      <c r="AB1616" s="9"/>
      <c r="AC1616" s="9"/>
      <c r="AD1616" s="9"/>
      <c r="AE1616" s="9"/>
      <c r="AF1616" s="9"/>
      <c r="AG1616" s="9"/>
      <c r="AH1616" s="9"/>
      <c r="AI1616" s="9"/>
      <c r="AJ1616" s="9"/>
      <c r="AK1616" s="9"/>
      <c r="AL1616" s="9"/>
      <c r="AM1616" s="9"/>
      <c r="AN1616" s="9"/>
      <c r="AO1616" s="9"/>
      <c r="AP1616" s="9"/>
      <c r="AQ1616" s="9"/>
      <c r="AR1616" s="9"/>
      <c r="AS1616" s="9"/>
      <c r="AT1616" s="9"/>
      <c r="AU1616" s="9"/>
      <c r="AV1616" s="9"/>
      <c r="AW1616" s="9"/>
      <c r="AX1616" s="4" t="s">
        <v>38</v>
      </c>
      <c r="AY1616" s="5" t="s">
        <v>7120</v>
      </c>
      <c r="AZ1616" s="5" t="s">
        <v>38</v>
      </c>
      <c r="BA1616" s="12"/>
      <c r="BB1616" s="12"/>
      <c r="BC1616" s="12"/>
      <c r="BD1616" s="11">
        <v>0</v>
      </c>
      <c r="BE1616" s="11">
        <v>0</v>
      </c>
    </row>
    <row x14ac:dyDescent="0.25" r="1617" customHeight="1" ht="17.25">
      <c r="A1617" s="11">
        <v>63894260</v>
      </c>
      <c r="B1617" s="4" t="s">
        <v>7121</v>
      </c>
      <c r="C1617" s="5" t="s">
        <v>7122</v>
      </c>
      <c r="D1617" s="5" t="s">
        <v>7123</v>
      </c>
      <c r="E1617" s="12"/>
      <c r="F1617" s="13">
        <f>"8412466977"</f>
      </c>
      <c r="G1617" s="13">
        <f>"9788412466973"</f>
      </c>
      <c r="H1617" s="11">
        <v>0</v>
      </c>
      <c r="I1617" s="14">
        <v>4.5</v>
      </c>
      <c r="J1617" s="7" t="s">
        <v>7124</v>
      </c>
      <c r="K1617" s="5" t="s">
        <v>60</v>
      </c>
      <c r="L1617" s="11">
        <v>286</v>
      </c>
      <c r="M1617" s="11">
        <v>2022</v>
      </c>
      <c r="N1617" s="16"/>
      <c r="O1617" s="15"/>
      <c r="P1617" s="9">
        <v>44918</v>
      </c>
      <c r="Q1617" s="9"/>
      <c r="R1617" s="9"/>
      <c r="S1617" s="9"/>
      <c r="T1617" s="9"/>
      <c r="U1617" s="9"/>
      <c r="V1617" s="9"/>
      <c r="W1617" s="9"/>
      <c r="X1617" s="9"/>
      <c r="Y1617" s="9"/>
      <c r="Z1617" s="9"/>
      <c r="AA1617" s="9"/>
      <c r="AB1617" s="9"/>
      <c r="AC1617" s="9"/>
      <c r="AD1617" s="9"/>
      <c r="AE1617" s="9"/>
      <c r="AF1617" s="9"/>
      <c r="AG1617" s="9"/>
      <c r="AH1617" s="9"/>
      <c r="AI1617" s="9"/>
      <c r="AJ1617" s="9"/>
      <c r="AK1617" s="9"/>
      <c r="AL1617" s="9"/>
      <c r="AM1617" s="9"/>
      <c r="AN1617" s="9"/>
      <c r="AO1617" s="9"/>
      <c r="AP1617" s="9"/>
      <c r="AQ1617" s="9"/>
      <c r="AR1617" s="9"/>
      <c r="AS1617" s="9"/>
      <c r="AT1617" s="9"/>
      <c r="AU1617" s="9"/>
      <c r="AV1617" s="9"/>
      <c r="AW1617" s="9"/>
      <c r="AX1617" s="4" t="s">
        <v>38</v>
      </c>
      <c r="AY1617" s="5" t="s">
        <v>7125</v>
      </c>
      <c r="AZ1617" s="5" t="s">
        <v>38</v>
      </c>
      <c r="BA1617" s="12"/>
      <c r="BB1617" s="12"/>
      <c r="BC1617" s="12"/>
      <c r="BD1617" s="11">
        <v>0</v>
      </c>
      <c r="BE1617" s="11">
        <v>0</v>
      </c>
    </row>
    <row x14ac:dyDescent="0.25" r="1618" customHeight="1" ht="17.25">
      <c r="A1618" s="11">
        <v>543760</v>
      </c>
      <c r="B1618" s="4" t="s">
        <v>7126</v>
      </c>
      <c r="C1618" s="5" t="s">
        <v>7127</v>
      </c>
      <c r="D1618" s="5" t="s">
        <v>7128</v>
      </c>
      <c r="E1618" s="12"/>
      <c r="F1618" s="13">
        <f>"0786708808"</f>
      </c>
      <c r="G1618" s="13">
        <f>"9780786708802"</f>
      </c>
      <c r="H1618" s="11">
        <v>0</v>
      </c>
      <c r="I1618" s="14">
        <v>4.4</v>
      </c>
      <c r="J1618" s="7" t="s">
        <v>7129</v>
      </c>
      <c r="K1618" s="5" t="s">
        <v>60</v>
      </c>
      <c r="L1618" s="11">
        <v>416</v>
      </c>
      <c r="M1618" s="11">
        <v>2001</v>
      </c>
      <c r="N1618" s="11">
        <v>1933</v>
      </c>
      <c r="O1618" s="15"/>
      <c r="P1618" s="9">
        <v>44915</v>
      </c>
      <c r="Q1618" s="9"/>
      <c r="R1618" s="9"/>
      <c r="S1618" s="9"/>
      <c r="T1618" s="9"/>
      <c r="U1618" s="9"/>
      <c r="V1618" s="9"/>
      <c r="W1618" s="9"/>
      <c r="X1618" s="9"/>
      <c r="Y1618" s="9"/>
      <c r="Z1618" s="9"/>
      <c r="AA1618" s="9"/>
      <c r="AB1618" s="9"/>
      <c r="AC1618" s="9"/>
      <c r="AD1618" s="9"/>
      <c r="AE1618" s="9"/>
      <c r="AF1618" s="9"/>
      <c r="AG1618" s="9"/>
      <c r="AH1618" s="9"/>
      <c r="AI1618" s="9"/>
      <c r="AJ1618" s="9"/>
      <c r="AK1618" s="9"/>
      <c r="AL1618" s="9"/>
      <c r="AM1618" s="9"/>
      <c r="AN1618" s="9"/>
      <c r="AO1618" s="9"/>
      <c r="AP1618" s="9"/>
      <c r="AQ1618" s="9"/>
      <c r="AR1618" s="9"/>
      <c r="AS1618" s="9"/>
      <c r="AT1618" s="9"/>
      <c r="AU1618" s="9"/>
      <c r="AV1618" s="9"/>
      <c r="AW1618" s="9"/>
      <c r="AX1618" s="4" t="s">
        <v>38</v>
      </c>
      <c r="AY1618" s="5" t="s">
        <v>7130</v>
      </c>
      <c r="AZ1618" s="5" t="s">
        <v>38</v>
      </c>
      <c r="BA1618" s="12"/>
      <c r="BB1618" s="12"/>
      <c r="BC1618" s="12"/>
      <c r="BD1618" s="11">
        <v>0</v>
      </c>
      <c r="BE1618" s="11">
        <v>0</v>
      </c>
    </row>
    <row x14ac:dyDescent="0.25" r="1619" customHeight="1" ht="17.25">
      <c r="A1619" s="11">
        <v>45555393</v>
      </c>
      <c r="B1619" s="4" t="s">
        <v>7131</v>
      </c>
      <c r="C1619" s="5" t="s">
        <v>7132</v>
      </c>
      <c r="D1619" s="5" t="s">
        <v>7133</v>
      </c>
      <c r="E1619" s="5" t="s">
        <v>7134</v>
      </c>
      <c r="F1619" s="13">
        <f>""</f>
      </c>
      <c r="G1619" s="13">
        <f>""</f>
      </c>
      <c r="H1619" s="11">
        <v>0</v>
      </c>
      <c r="I1619" s="14">
        <v>3.74</v>
      </c>
      <c r="J1619" s="7" t="s">
        <v>7135</v>
      </c>
      <c r="K1619" s="5" t="s">
        <v>60</v>
      </c>
      <c r="L1619" s="11">
        <v>124</v>
      </c>
      <c r="M1619" s="11">
        <v>2019</v>
      </c>
      <c r="N1619" s="16"/>
      <c r="O1619" s="15"/>
      <c r="P1619" s="9">
        <v>44910</v>
      </c>
      <c r="Q1619" s="9"/>
      <c r="R1619" s="9"/>
      <c r="S1619" s="9"/>
      <c r="T1619" s="9"/>
      <c r="U1619" s="9"/>
      <c r="V1619" s="9"/>
      <c r="W1619" s="9"/>
      <c r="X1619" s="9"/>
      <c r="Y1619" s="9"/>
      <c r="Z1619" s="9"/>
      <c r="AA1619" s="9"/>
      <c r="AB1619" s="9"/>
      <c r="AC1619" s="9"/>
      <c r="AD1619" s="9"/>
      <c r="AE1619" s="9"/>
      <c r="AF1619" s="9"/>
      <c r="AG1619" s="9"/>
      <c r="AH1619" s="9"/>
      <c r="AI1619" s="9"/>
      <c r="AJ1619" s="9"/>
      <c r="AK1619" s="9"/>
      <c r="AL1619" s="9"/>
      <c r="AM1619" s="9"/>
      <c r="AN1619" s="9"/>
      <c r="AO1619" s="9"/>
      <c r="AP1619" s="9"/>
      <c r="AQ1619" s="9"/>
      <c r="AR1619" s="9"/>
      <c r="AS1619" s="9"/>
      <c r="AT1619" s="9"/>
      <c r="AU1619" s="9"/>
      <c r="AV1619" s="9"/>
      <c r="AW1619" s="9"/>
      <c r="AX1619" s="4" t="s">
        <v>38</v>
      </c>
      <c r="AY1619" s="5" t="s">
        <v>7136</v>
      </c>
      <c r="AZ1619" s="5" t="s">
        <v>38</v>
      </c>
      <c r="BA1619" s="12"/>
      <c r="BB1619" s="12"/>
      <c r="BC1619" s="12"/>
      <c r="BD1619" s="11">
        <v>0</v>
      </c>
      <c r="BE1619" s="11">
        <v>0</v>
      </c>
    </row>
    <row x14ac:dyDescent="0.25" r="1620" customHeight="1" ht="17.25">
      <c r="A1620" s="11">
        <v>1232960</v>
      </c>
      <c r="B1620" s="4" t="s">
        <v>7137</v>
      </c>
      <c r="C1620" s="5" t="s">
        <v>2529</v>
      </c>
      <c r="D1620" s="5" t="s">
        <v>2530</v>
      </c>
      <c r="E1620" s="12"/>
      <c r="F1620" s="13">
        <f>"1573831115"</f>
      </c>
      <c r="G1620" s="13">
        <f>"9781573831116"</f>
      </c>
      <c r="H1620" s="11">
        <v>0</v>
      </c>
      <c r="I1620" s="14">
        <v>3.84</v>
      </c>
      <c r="J1620" s="7" t="s">
        <v>7138</v>
      </c>
      <c r="K1620" s="5" t="s">
        <v>60</v>
      </c>
      <c r="L1620" s="11">
        <v>288</v>
      </c>
      <c r="M1620" s="11">
        <v>2003</v>
      </c>
      <c r="N1620" s="11">
        <v>1932</v>
      </c>
      <c r="O1620" s="15"/>
      <c r="P1620" s="9">
        <v>44908</v>
      </c>
      <c r="Q1620" s="9"/>
      <c r="R1620" s="9"/>
      <c r="S1620" s="9"/>
      <c r="T1620" s="9"/>
      <c r="U1620" s="9"/>
      <c r="V1620" s="9"/>
      <c r="W1620" s="9"/>
      <c r="X1620" s="9"/>
      <c r="Y1620" s="9"/>
      <c r="Z1620" s="9"/>
      <c r="AA1620" s="9"/>
      <c r="AB1620" s="9"/>
      <c r="AC1620" s="9"/>
      <c r="AD1620" s="9"/>
      <c r="AE1620" s="9"/>
      <c r="AF1620" s="9"/>
      <c r="AG1620" s="9"/>
      <c r="AH1620" s="9"/>
      <c r="AI1620" s="9"/>
      <c r="AJ1620" s="9"/>
      <c r="AK1620" s="9"/>
      <c r="AL1620" s="9"/>
      <c r="AM1620" s="9"/>
      <c r="AN1620" s="9"/>
      <c r="AO1620" s="9"/>
      <c r="AP1620" s="9"/>
      <c r="AQ1620" s="9"/>
      <c r="AR1620" s="9"/>
      <c r="AS1620" s="9"/>
      <c r="AT1620" s="9"/>
      <c r="AU1620" s="9"/>
      <c r="AV1620" s="9"/>
      <c r="AW1620" s="9"/>
      <c r="AX1620" s="4" t="s">
        <v>38</v>
      </c>
      <c r="AY1620" s="5" t="s">
        <v>7139</v>
      </c>
      <c r="AZ1620" s="5" t="s">
        <v>38</v>
      </c>
      <c r="BA1620" s="12"/>
      <c r="BB1620" s="12"/>
      <c r="BC1620" s="12"/>
      <c r="BD1620" s="11">
        <v>0</v>
      </c>
      <c r="BE1620" s="11">
        <v>0</v>
      </c>
    </row>
    <row x14ac:dyDescent="0.25" r="1621" customHeight="1" ht="17.25">
      <c r="A1621" s="11">
        <v>7821831</v>
      </c>
      <c r="B1621" s="4" t="s">
        <v>7140</v>
      </c>
      <c r="C1621" s="5" t="s">
        <v>7141</v>
      </c>
      <c r="D1621" s="5" t="s">
        <v>7142</v>
      </c>
      <c r="E1621" s="12"/>
      <c r="F1621" s="13">
        <f>"1594202761"</f>
      </c>
      <c r="G1621" s="13">
        <f>"9781594202766"</f>
      </c>
      <c r="H1621" s="11">
        <v>0</v>
      </c>
      <c r="I1621" s="14">
        <v>4.02</v>
      </c>
      <c r="J1621" s="7" t="s">
        <v>7143</v>
      </c>
      <c r="K1621" s="5" t="s">
        <v>72</v>
      </c>
      <c r="L1621" s="11">
        <v>237</v>
      </c>
      <c r="M1621" s="11">
        <v>2010</v>
      </c>
      <c r="N1621" s="11">
        <v>2010</v>
      </c>
      <c r="O1621" s="15"/>
      <c r="P1621" s="9">
        <v>44908</v>
      </c>
      <c r="Q1621" s="9"/>
      <c r="R1621" s="9"/>
      <c r="S1621" s="9"/>
      <c r="T1621" s="9"/>
      <c r="U1621" s="9"/>
      <c r="V1621" s="9"/>
      <c r="W1621" s="9"/>
      <c r="X1621" s="9"/>
      <c r="Y1621" s="9"/>
      <c r="Z1621" s="9"/>
      <c r="AA1621" s="9"/>
      <c r="AB1621" s="9"/>
      <c r="AC1621" s="9"/>
      <c r="AD1621" s="9"/>
      <c r="AE1621" s="9"/>
      <c r="AF1621" s="9"/>
      <c r="AG1621" s="9"/>
      <c r="AH1621" s="9"/>
      <c r="AI1621" s="9"/>
      <c r="AJ1621" s="9"/>
      <c r="AK1621" s="9"/>
      <c r="AL1621" s="9"/>
      <c r="AM1621" s="9"/>
      <c r="AN1621" s="9"/>
      <c r="AO1621" s="9"/>
      <c r="AP1621" s="9"/>
      <c r="AQ1621" s="9"/>
      <c r="AR1621" s="9"/>
      <c r="AS1621" s="9"/>
      <c r="AT1621" s="9"/>
      <c r="AU1621" s="9"/>
      <c r="AV1621" s="9"/>
      <c r="AW1621" s="9"/>
      <c r="AX1621" s="4" t="s">
        <v>38</v>
      </c>
      <c r="AY1621" s="5" t="s">
        <v>7144</v>
      </c>
      <c r="AZ1621" s="5" t="s">
        <v>38</v>
      </c>
      <c r="BA1621" s="12"/>
      <c r="BB1621" s="12"/>
      <c r="BC1621" s="12"/>
      <c r="BD1621" s="11">
        <v>0</v>
      </c>
      <c r="BE1621" s="11">
        <v>0</v>
      </c>
    </row>
    <row x14ac:dyDescent="0.25" r="1622" customHeight="1" ht="17.25">
      <c r="A1622" s="11">
        <v>32261</v>
      </c>
      <c r="B1622" s="4" t="s">
        <v>7145</v>
      </c>
      <c r="C1622" s="5" t="s">
        <v>7146</v>
      </c>
      <c r="D1622" s="5" t="s">
        <v>7147</v>
      </c>
      <c r="E1622" s="5" t="s">
        <v>7148</v>
      </c>
      <c r="F1622" s="13">
        <f>""</f>
      </c>
      <c r="G1622" s="13">
        <f>""</f>
      </c>
      <c r="H1622" s="11">
        <v>0</v>
      </c>
      <c r="I1622" s="14">
        <v>3.83</v>
      </c>
      <c r="J1622" s="7" t="s">
        <v>263</v>
      </c>
      <c r="K1622" s="5" t="s">
        <v>60</v>
      </c>
      <c r="L1622" s="11">
        <v>518</v>
      </c>
      <c r="M1622" s="11">
        <v>2003</v>
      </c>
      <c r="N1622" s="11">
        <v>1891</v>
      </c>
      <c r="O1622" s="15"/>
      <c r="P1622" s="8">
        <v>44904</v>
      </c>
      <c r="Q1622" s="8"/>
      <c r="R1622" s="8"/>
      <c r="S1622" s="8"/>
      <c r="T1622" s="8"/>
      <c r="U1622" s="8"/>
      <c r="V1622" s="8"/>
      <c r="W1622" s="8"/>
      <c r="X1622" s="8"/>
      <c r="Y1622" s="8"/>
      <c r="Z1622" s="8"/>
      <c r="AA1622" s="8"/>
      <c r="AB1622" s="8"/>
      <c r="AC1622" s="8"/>
      <c r="AD1622" s="8"/>
      <c r="AE1622" s="8"/>
      <c r="AF1622" s="8"/>
      <c r="AG1622" s="8"/>
      <c r="AH1622" s="8"/>
      <c r="AI1622" s="8"/>
      <c r="AJ1622" s="8"/>
      <c r="AK1622" s="8"/>
      <c r="AL1622" s="8"/>
      <c r="AM1622" s="8"/>
      <c r="AN1622" s="8"/>
      <c r="AO1622" s="8"/>
      <c r="AP1622" s="8"/>
      <c r="AQ1622" s="8"/>
      <c r="AR1622" s="8"/>
      <c r="AS1622" s="8"/>
      <c r="AT1622" s="8"/>
      <c r="AU1622" s="8"/>
      <c r="AV1622" s="8"/>
      <c r="AW1622" s="8"/>
      <c r="AX1622" s="4" t="s">
        <v>38</v>
      </c>
      <c r="AY1622" s="5" t="s">
        <v>7149</v>
      </c>
      <c r="AZ1622" s="5" t="s">
        <v>38</v>
      </c>
      <c r="BA1622" s="12"/>
      <c r="BB1622" s="12"/>
      <c r="BC1622" s="12"/>
      <c r="BD1622" s="11">
        <v>0</v>
      </c>
      <c r="BE1622" s="11">
        <v>0</v>
      </c>
    </row>
    <row x14ac:dyDescent="0.25" r="1623" customHeight="1" ht="17.25">
      <c r="A1623" s="11">
        <v>54495292</v>
      </c>
      <c r="B1623" s="4" t="s">
        <v>7150</v>
      </c>
      <c r="C1623" s="5" t="s">
        <v>7151</v>
      </c>
      <c r="D1623" s="5" t="s">
        <v>7152</v>
      </c>
      <c r="E1623" s="12"/>
      <c r="F1623" s="13">
        <f>""</f>
      </c>
      <c r="G1623" s="13">
        <f>""</f>
      </c>
      <c r="H1623" s="11">
        <v>0</v>
      </c>
      <c r="I1623" s="14">
        <v>3.81</v>
      </c>
      <c r="J1623" s="7" t="s">
        <v>2001</v>
      </c>
      <c r="K1623" s="5" t="s">
        <v>90</v>
      </c>
      <c r="L1623" s="11">
        <v>320</v>
      </c>
      <c r="M1623" s="11">
        <v>2021</v>
      </c>
      <c r="N1623" s="11">
        <v>2021</v>
      </c>
      <c r="O1623" s="15"/>
      <c r="P1623" s="8">
        <v>44873</v>
      </c>
      <c r="Q1623" s="8"/>
      <c r="R1623" s="8"/>
      <c r="S1623" s="8"/>
      <c r="T1623" s="8"/>
      <c r="U1623" s="8"/>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4" t="s">
        <v>38</v>
      </c>
      <c r="AY1623" s="5" t="s">
        <v>7153</v>
      </c>
      <c r="AZ1623" s="5" t="s">
        <v>38</v>
      </c>
      <c r="BA1623" s="12"/>
      <c r="BB1623" s="12"/>
      <c r="BC1623" s="12"/>
      <c r="BD1623" s="11">
        <v>0</v>
      </c>
      <c r="BE1623" s="11">
        <v>0</v>
      </c>
    </row>
    <row x14ac:dyDescent="0.25" r="1624" customHeight="1" ht="17.25">
      <c r="A1624" s="11">
        <v>60097027</v>
      </c>
      <c r="B1624" s="4" t="s">
        <v>7154</v>
      </c>
      <c r="C1624" s="5" t="s">
        <v>7013</v>
      </c>
      <c r="D1624" s="5" t="s">
        <v>7014</v>
      </c>
      <c r="E1624" s="5" t="s">
        <v>7155</v>
      </c>
      <c r="F1624" s="13">
        <f>"0525656898"</f>
      </c>
      <c r="G1624" s="13">
        <f>"9780525656890"</f>
      </c>
      <c r="H1624" s="11">
        <v>0</v>
      </c>
      <c r="I1624" s="14">
        <v>3.59</v>
      </c>
      <c r="J1624" s="7" t="s">
        <v>665</v>
      </c>
      <c r="K1624" s="5" t="s">
        <v>72</v>
      </c>
      <c r="L1624" s="11">
        <v>683</v>
      </c>
      <c r="M1624" s="11">
        <v>2022</v>
      </c>
      <c r="N1624" s="11">
        <v>2021</v>
      </c>
      <c r="O1624" s="15"/>
      <c r="P1624" s="8">
        <v>44869</v>
      </c>
      <c r="Q1624" s="8"/>
      <c r="R1624" s="8"/>
      <c r="S1624" s="8"/>
      <c r="T1624" s="8"/>
      <c r="U1624" s="8"/>
      <c r="V1624" s="8"/>
      <c r="W1624" s="8"/>
      <c r="X1624" s="8"/>
      <c r="Y1624" s="8"/>
      <c r="Z1624" s="8"/>
      <c r="AA1624" s="8"/>
      <c r="AB1624" s="8"/>
      <c r="AC1624" s="8"/>
      <c r="AD1624" s="8"/>
      <c r="AE1624" s="8"/>
      <c r="AF1624" s="8"/>
      <c r="AG1624" s="8"/>
      <c r="AH1624" s="8"/>
      <c r="AI1624" s="8"/>
      <c r="AJ1624" s="8"/>
      <c r="AK1624" s="8"/>
      <c r="AL1624" s="8"/>
      <c r="AM1624" s="8"/>
      <c r="AN1624" s="8"/>
      <c r="AO1624" s="8"/>
      <c r="AP1624" s="8"/>
      <c r="AQ1624" s="8"/>
      <c r="AR1624" s="8"/>
      <c r="AS1624" s="8"/>
      <c r="AT1624" s="8"/>
      <c r="AU1624" s="8"/>
      <c r="AV1624" s="8"/>
      <c r="AW1624" s="8"/>
      <c r="AX1624" s="4" t="s">
        <v>38</v>
      </c>
      <c r="AY1624" s="5" t="s">
        <v>7156</v>
      </c>
      <c r="AZ1624" s="5" t="s">
        <v>38</v>
      </c>
      <c r="BA1624" s="12"/>
      <c r="BB1624" s="12"/>
      <c r="BC1624" s="12"/>
      <c r="BD1624" s="11">
        <v>0</v>
      </c>
      <c r="BE1624" s="11">
        <v>0</v>
      </c>
    </row>
    <row x14ac:dyDescent="0.25" r="1625" customHeight="1" ht="17.25">
      <c r="A1625" s="11">
        <v>60809286</v>
      </c>
      <c r="B1625" s="4" t="s">
        <v>7157</v>
      </c>
      <c r="C1625" s="5" t="s">
        <v>7158</v>
      </c>
      <c r="D1625" s="5" t="s">
        <v>7159</v>
      </c>
      <c r="E1625" s="5" t="s">
        <v>7160</v>
      </c>
      <c r="F1625" s="13">
        <f>"1914990013"</f>
      </c>
      <c r="G1625" s="13">
        <f>"9781914990014"</f>
      </c>
      <c r="H1625" s="11">
        <v>0</v>
      </c>
      <c r="I1625" s="14">
        <v>4.07</v>
      </c>
      <c r="J1625" s="7" t="s">
        <v>7161</v>
      </c>
      <c r="K1625" s="5" t="s">
        <v>60</v>
      </c>
      <c r="L1625" s="11">
        <v>588</v>
      </c>
      <c r="M1625" s="11">
        <v>2021</v>
      </c>
      <c r="N1625" s="11">
        <v>1999</v>
      </c>
      <c r="O1625" s="15"/>
      <c r="P1625" s="8">
        <v>44869</v>
      </c>
      <c r="Q1625" s="8"/>
      <c r="R1625" s="8"/>
      <c r="S1625" s="8"/>
      <c r="T1625" s="8"/>
      <c r="U1625" s="8"/>
      <c r="V1625" s="8"/>
      <c r="W1625" s="8"/>
      <c r="X1625" s="8"/>
      <c r="Y1625" s="8"/>
      <c r="Z1625" s="8"/>
      <c r="AA1625" s="8"/>
      <c r="AB1625" s="8"/>
      <c r="AC1625" s="8"/>
      <c r="AD1625" s="8"/>
      <c r="AE1625" s="8"/>
      <c r="AF1625" s="8"/>
      <c r="AG1625" s="8"/>
      <c r="AH1625" s="8"/>
      <c r="AI1625" s="8"/>
      <c r="AJ1625" s="8"/>
      <c r="AK1625" s="8"/>
      <c r="AL1625" s="8"/>
      <c r="AM1625" s="8"/>
      <c r="AN1625" s="8"/>
      <c r="AO1625" s="8"/>
      <c r="AP1625" s="8"/>
      <c r="AQ1625" s="8"/>
      <c r="AR1625" s="8"/>
      <c r="AS1625" s="8"/>
      <c r="AT1625" s="8"/>
      <c r="AU1625" s="8"/>
      <c r="AV1625" s="8"/>
      <c r="AW1625" s="8"/>
      <c r="AX1625" s="4" t="s">
        <v>38</v>
      </c>
      <c r="AY1625" s="5" t="s">
        <v>7162</v>
      </c>
      <c r="AZ1625" s="5" t="s">
        <v>38</v>
      </c>
      <c r="BA1625" s="12"/>
      <c r="BB1625" s="12"/>
      <c r="BC1625" s="12"/>
      <c r="BD1625" s="11">
        <v>0</v>
      </c>
      <c r="BE1625" s="11">
        <v>0</v>
      </c>
    </row>
    <row x14ac:dyDescent="0.25" r="1626" customHeight="1" ht="17.25">
      <c r="A1626" s="11">
        <v>669450</v>
      </c>
      <c r="B1626" s="4" t="s">
        <v>7163</v>
      </c>
      <c r="C1626" s="5" t="s">
        <v>7164</v>
      </c>
      <c r="D1626" s="5" t="s">
        <v>7165</v>
      </c>
      <c r="E1626" s="5" t="s">
        <v>7166</v>
      </c>
      <c r="F1626" s="13">
        <f>"0374521972"</f>
      </c>
      <c r="G1626" s="13">
        <f>"9780374521974"</f>
      </c>
      <c r="H1626" s="11">
        <v>0</v>
      </c>
      <c r="I1626" s="14">
        <v>3.78</v>
      </c>
      <c r="J1626" s="7" t="s">
        <v>120</v>
      </c>
      <c r="K1626" s="5" t="s">
        <v>60</v>
      </c>
      <c r="L1626" s="11">
        <v>186</v>
      </c>
      <c r="M1626" s="11">
        <v>1989</v>
      </c>
      <c r="N1626" s="11">
        <v>1949</v>
      </c>
      <c r="O1626" s="15"/>
      <c r="P1626" s="8">
        <v>44868</v>
      </c>
      <c r="Q1626" s="8"/>
      <c r="R1626" s="8"/>
      <c r="S1626" s="8"/>
      <c r="T1626" s="8"/>
      <c r="U1626" s="8"/>
      <c r="V1626" s="8"/>
      <c r="W1626" s="8"/>
      <c r="X1626" s="8"/>
      <c r="Y1626" s="8"/>
      <c r="Z1626" s="8"/>
      <c r="AA1626" s="8"/>
      <c r="AB1626" s="8"/>
      <c r="AC1626" s="8"/>
      <c r="AD1626" s="8"/>
      <c r="AE1626" s="8"/>
      <c r="AF1626" s="8"/>
      <c r="AG1626" s="8"/>
      <c r="AH1626" s="8"/>
      <c r="AI1626" s="8"/>
      <c r="AJ1626" s="8"/>
      <c r="AK1626" s="8"/>
      <c r="AL1626" s="8"/>
      <c r="AM1626" s="8"/>
      <c r="AN1626" s="8"/>
      <c r="AO1626" s="8"/>
      <c r="AP1626" s="8"/>
      <c r="AQ1626" s="8"/>
      <c r="AR1626" s="8"/>
      <c r="AS1626" s="8"/>
      <c r="AT1626" s="8"/>
      <c r="AU1626" s="8"/>
      <c r="AV1626" s="8"/>
      <c r="AW1626" s="8"/>
      <c r="AX1626" s="4" t="s">
        <v>38</v>
      </c>
      <c r="AY1626" s="5" t="s">
        <v>7167</v>
      </c>
      <c r="AZ1626" s="5" t="s">
        <v>38</v>
      </c>
      <c r="BA1626" s="12"/>
      <c r="BB1626" s="12"/>
      <c r="BC1626" s="12"/>
      <c r="BD1626" s="11">
        <v>0</v>
      </c>
      <c r="BE1626" s="11">
        <v>0</v>
      </c>
    </row>
    <row x14ac:dyDescent="0.25" r="1627" customHeight="1" ht="17.25">
      <c r="A1627" s="11">
        <v>59429424</v>
      </c>
      <c r="B1627" s="4" t="s">
        <v>7168</v>
      </c>
      <c r="C1627" s="5" t="s">
        <v>7169</v>
      </c>
      <c r="D1627" s="5" t="s">
        <v>7170</v>
      </c>
      <c r="E1627" s="12"/>
      <c r="F1627" s="13">
        <f>"0316487228"</f>
      </c>
      <c r="G1627" s="13">
        <f>"9780316487221"</f>
      </c>
      <c r="H1627" s="11">
        <v>0</v>
      </c>
      <c r="I1627" s="14">
        <v>3.81</v>
      </c>
      <c r="J1627" s="7" t="s">
        <v>7171</v>
      </c>
      <c r="K1627" s="5" t="s">
        <v>90</v>
      </c>
      <c r="L1627" s="11">
        <v>315</v>
      </c>
      <c r="M1627" s="11">
        <v>2022</v>
      </c>
      <c r="N1627" s="16"/>
      <c r="O1627" s="15"/>
      <c r="P1627" s="9">
        <v>44865</v>
      </c>
      <c r="Q1627" s="9"/>
      <c r="R1627" s="9"/>
      <c r="S1627" s="9"/>
      <c r="T1627" s="9"/>
      <c r="U1627" s="9"/>
      <c r="V1627" s="9"/>
      <c r="W1627" s="9"/>
      <c r="X1627" s="9"/>
      <c r="Y1627" s="9"/>
      <c r="Z1627" s="9"/>
      <c r="AA1627" s="9"/>
      <c r="AB1627" s="9"/>
      <c r="AC1627" s="9"/>
      <c r="AD1627" s="9"/>
      <c r="AE1627" s="9"/>
      <c r="AF1627" s="9"/>
      <c r="AG1627" s="9"/>
      <c r="AH1627" s="9"/>
      <c r="AI1627" s="9"/>
      <c r="AJ1627" s="9"/>
      <c r="AK1627" s="9"/>
      <c r="AL1627" s="9"/>
      <c r="AM1627" s="9"/>
      <c r="AN1627" s="9"/>
      <c r="AO1627" s="9"/>
      <c r="AP1627" s="9"/>
      <c r="AQ1627" s="9"/>
      <c r="AR1627" s="9"/>
      <c r="AS1627" s="9"/>
      <c r="AT1627" s="9"/>
      <c r="AU1627" s="9"/>
      <c r="AV1627" s="9"/>
      <c r="AW1627" s="9"/>
      <c r="AX1627" s="4" t="s">
        <v>38</v>
      </c>
      <c r="AY1627" s="5" t="s">
        <v>7172</v>
      </c>
      <c r="AZ1627" s="5" t="s">
        <v>38</v>
      </c>
      <c r="BA1627" s="12"/>
      <c r="BB1627" s="12"/>
      <c r="BC1627" s="12"/>
      <c r="BD1627" s="11">
        <v>0</v>
      </c>
      <c r="BE1627" s="11">
        <v>0</v>
      </c>
    </row>
    <row x14ac:dyDescent="0.25" r="1628" customHeight="1" ht="17.25">
      <c r="A1628" s="11">
        <v>56269269</v>
      </c>
      <c r="B1628" s="4" t="s">
        <v>7173</v>
      </c>
      <c r="C1628" s="5" t="s">
        <v>7174</v>
      </c>
      <c r="D1628" s="5" t="s">
        <v>7175</v>
      </c>
      <c r="E1628" s="12"/>
      <c r="F1628" s="13">
        <f>"0374539235"</f>
      </c>
      <c r="G1628" s="13">
        <f>"9780374539238"</f>
      </c>
      <c r="H1628" s="11">
        <v>0</v>
      </c>
      <c r="I1628" s="14">
        <v>3.76</v>
      </c>
      <c r="J1628" s="7" t="s">
        <v>7176</v>
      </c>
      <c r="K1628" s="5" t="s">
        <v>60</v>
      </c>
      <c r="L1628" s="11">
        <v>272</v>
      </c>
      <c r="M1628" s="11">
        <v>2021</v>
      </c>
      <c r="N1628" s="11">
        <v>2021</v>
      </c>
      <c r="O1628" s="15"/>
      <c r="P1628" s="9">
        <v>44863</v>
      </c>
      <c r="Q1628" s="9"/>
      <c r="R1628" s="9"/>
      <c r="S1628" s="9"/>
      <c r="T1628" s="9"/>
      <c r="U1628" s="9"/>
      <c r="V1628" s="9"/>
      <c r="W1628" s="9"/>
      <c r="X1628" s="9"/>
      <c r="Y1628" s="9"/>
      <c r="Z1628" s="9"/>
      <c r="AA1628" s="9"/>
      <c r="AB1628" s="9"/>
      <c r="AC1628" s="9"/>
      <c r="AD1628" s="9"/>
      <c r="AE1628" s="9"/>
      <c r="AF1628" s="9"/>
      <c r="AG1628" s="9"/>
      <c r="AH1628" s="9"/>
      <c r="AI1628" s="9"/>
      <c r="AJ1628" s="9"/>
      <c r="AK1628" s="9"/>
      <c r="AL1628" s="9"/>
      <c r="AM1628" s="9"/>
      <c r="AN1628" s="9"/>
      <c r="AO1628" s="9"/>
      <c r="AP1628" s="9"/>
      <c r="AQ1628" s="9"/>
      <c r="AR1628" s="9"/>
      <c r="AS1628" s="9"/>
      <c r="AT1628" s="9"/>
      <c r="AU1628" s="9"/>
      <c r="AV1628" s="9"/>
      <c r="AW1628" s="9"/>
      <c r="AX1628" s="4" t="s">
        <v>38</v>
      </c>
      <c r="AY1628" s="5" t="s">
        <v>7177</v>
      </c>
      <c r="AZ1628" s="5" t="s">
        <v>38</v>
      </c>
      <c r="BA1628" s="12"/>
      <c r="BB1628" s="12"/>
      <c r="BC1628" s="12"/>
      <c r="BD1628" s="11">
        <v>0</v>
      </c>
      <c r="BE1628" s="11">
        <v>0</v>
      </c>
    </row>
    <row x14ac:dyDescent="0.25" r="1629" customHeight="1" ht="17.25">
      <c r="A1629" s="11">
        <v>58446227</v>
      </c>
      <c r="B1629" s="4" t="s">
        <v>7178</v>
      </c>
      <c r="C1629" s="5" t="s">
        <v>7179</v>
      </c>
      <c r="D1629" s="5" t="s">
        <v>7180</v>
      </c>
      <c r="E1629" s="12"/>
      <c r="F1629" s="13">
        <f>"0593321448"</f>
      </c>
      <c r="G1629" s="13">
        <f>"9780593321447"</f>
      </c>
      <c r="H1629" s="11">
        <v>0</v>
      </c>
      <c r="I1629" s="14">
        <v>4.1</v>
      </c>
      <c r="J1629" s="7" t="s">
        <v>665</v>
      </c>
      <c r="K1629" s="5" t="s">
        <v>72</v>
      </c>
      <c r="L1629" s="11">
        <v>259</v>
      </c>
      <c r="M1629" s="11">
        <v>2022</v>
      </c>
      <c r="N1629" s="11">
        <v>2022</v>
      </c>
      <c r="O1629" s="15"/>
      <c r="P1629" s="9">
        <v>44853</v>
      </c>
      <c r="Q1629" s="9"/>
      <c r="R1629" s="9"/>
      <c r="S1629" s="9"/>
      <c r="T1629" s="9"/>
      <c r="U1629" s="9"/>
      <c r="V1629" s="9"/>
      <c r="W1629" s="9"/>
      <c r="X1629" s="9"/>
      <c r="Y1629" s="9"/>
      <c r="Z1629" s="9"/>
      <c r="AA1629" s="9"/>
      <c r="AB1629" s="9"/>
      <c r="AC1629" s="9"/>
      <c r="AD1629" s="9"/>
      <c r="AE1629" s="9"/>
      <c r="AF1629" s="9"/>
      <c r="AG1629" s="9"/>
      <c r="AH1629" s="9"/>
      <c r="AI1629" s="9"/>
      <c r="AJ1629" s="9"/>
      <c r="AK1629" s="9"/>
      <c r="AL1629" s="9"/>
      <c r="AM1629" s="9"/>
      <c r="AN1629" s="9"/>
      <c r="AO1629" s="9"/>
      <c r="AP1629" s="9"/>
      <c r="AQ1629" s="9"/>
      <c r="AR1629" s="9"/>
      <c r="AS1629" s="9"/>
      <c r="AT1629" s="9"/>
      <c r="AU1629" s="9"/>
      <c r="AV1629" s="9"/>
      <c r="AW1629" s="9"/>
      <c r="AX1629" s="4" t="s">
        <v>38</v>
      </c>
      <c r="AY1629" s="5" t="s">
        <v>7181</v>
      </c>
      <c r="AZ1629" s="5" t="s">
        <v>38</v>
      </c>
      <c r="BA1629" s="12"/>
      <c r="BB1629" s="12"/>
      <c r="BC1629" s="12"/>
      <c r="BD1629" s="11">
        <v>0</v>
      </c>
      <c r="BE1629" s="11">
        <v>0</v>
      </c>
    </row>
    <row x14ac:dyDescent="0.25" r="1630" customHeight="1" ht="17.25">
      <c r="A1630" s="11">
        <v>7194727</v>
      </c>
      <c r="B1630" s="4" t="s">
        <v>7182</v>
      </c>
      <c r="C1630" s="5" t="s">
        <v>7183</v>
      </c>
      <c r="D1630" s="5" t="s">
        <v>7184</v>
      </c>
      <c r="E1630" s="5" t="s">
        <v>7185</v>
      </c>
      <c r="F1630" s="13">
        <f>"0977934357"</f>
      </c>
      <c r="G1630" s="13">
        <f>"9780977934355"</f>
      </c>
      <c r="H1630" s="11">
        <v>0</v>
      </c>
      <c r="I1630" s="14">
        <v>4.23</v>
      </c>
      <c r="J1630" s="7" t="s">
        <v>7186</v>
      </c>
      <c r="K1630" s="5" t="s">
        <v>60</v>
      </c>
      <c r="L1630" s="11">
        <v>326</v>
      </c>
      <c r="M1630" s="11">
        <v>2010</v>
      </c>
      <c r="N1630" s="11">
        <v>2010</v>
      </c>
      <c r="O1630" s="15"/>
      <c r="P1630" s="9">
        <v>44852</v>
      </c>
      <c r="Q1630" s="9"/>
      <c r="R1630" s="9"/>
      <c r="S1630" s="9"/>
      <c r="T1630" s="9"/>
      <c r="U1630" s="9"/>
      <c r="V1630" s="9"/>
      <c r="W1630" s="9"/>
      <c r="X1630" s="9"/>
      <c r="Y1630" s="9"/>
      <c r="Z1630" s="9"/>
      <c r="AA1630" s="9"/>
      <c r="AB1630" s="9"/>
      <c r="AC1630" s="9"/>
      <c r="AD1630" s="9"/>
      <c r="AE1630" s="9"/>
      <c r="AF1630" s="9"/>
      <c r="AG1630" s="9"/>
      <c r="AH1630" s="9"/>
      <c r="AI1630" s="9"/>
      <c r="AJ1630" s="9"/>
      <c r="AK1630" s="9"/>
      <c r="AL1630" s="9"/>
      <c r="AM1630" s="9"/>
      <c r="AN1630" s="9"/>
      <c r="AO1630" s="9"/>
      <c r="AP1630" s="9"/>
      <c r="AQ1630" s="9"/>
      <c r="AR1630" s="9"/>
      <c r="AS1630" s="9"/>
      <c r="AT1630" s="9"/>
      <c r="AU1630" s="9"/>
      <c r="AV1630" s="9"/>
      <c r="AW1630" s="9"/>
      <c r="AX1630" s="4" t="s">
        <v>38</v>
      </c>
      <c r="AY1630" s="5" t="s">
        <v>7187</v>
      </c>
      <c r="AZ1630" s="5" t="s">
        <v>38</v>
      </c>
      <c r="BA1630" s="12"/>
      <c r="BB1630" s="12"/>
      <c r="BC1630" s="12"/>
      <c r="BD1630" s="11">
        <v>0</v>
      </c>
      <c r="BE1630" s="11">
        <v>0</v>
      </c>
    </row>
    <row x14ac:dyDescent="0.25" r="1631" customHeight="1" ht="17.25">
      <c r="A1631" s="11">
        <v>60708721</v>
      </c>
      <c r="B1631" s="4" t="s">
        <v>7188</v>
      </c>
      <c r="C1631" s="5" t="s">
        <v>7183</v>
      </c>
      <c r="D1631" s="5" t="s">
        <v>7184</v>
      </c>
      <c r="E1631" s="12"/>
      <c r="F1631" s="13">
        <f>""</f>
      </c>
      <c r="G1631" s="13">
        <f>"9781952177798"</f>
      </c>
      <c r="H1631" s="11">
        <v>0</v>
      </c>
      <c r="I1631" s="14">
        <v>4.23</v>
      </c>
      <c r="J1631" s="7" t="s">
        <v>2147</v>
      </c>
      <c r="K1631" s="5" t="s">
        <v>60</v>
      </c>
      <c r="L1631" s="11">
        <v>298</v>
      </c>
      <c r="M1631" s="11">
        <v>2022</v>
      </c>
      <c r="N1631" s="11">
        <v>2022</v>
      </c>
      <c r="O1631" s="15"/>
      <c r="P1631" s="9">
        <v>44852</v>
      </c>
      <c r="Q1631" s="9"/>
      <c r="R1631" s="9"/>
      <c r="S1631" s="9"/>
      <c r="T1631" s="9"/>
      <c r="U1631" s="9"/>
      <c r="V1631" s="9"/>
      <c r="W1631" s="9"/>
      <c r="X1631" s="9"/>
      <c r="Y1631" s="9"/>
      <c r="Z1631" s="9"/>
      <c r="AA1631" s="9"/>
      <c r="AB1631" s="9"/>
      <c r="AC1631" s="9"/>
      <c r="AD1631" s="9"/>
      <c r="AE1631" s="9"/>
      <c r="AF1631" s="9"/>
      <c r="AG1631" s="9"/>
      <c r="AH1631" s="9"/>
      <c r="AI1631" s="9"/>
      <c r="AJ1631" s="9"/>
      <c r="AK1631" s="9"/>
      <c r="AL1631" s="9"/>
      <c r="AM1631" s="9"/>
      <c r="AN1631" s="9"/>
      <c r="AO1631" s="9"/>
      <c r="AP1631" s="9"/>
      <c r="AQ1631" s="9"/>
      <c r="AR1631" s="9"/>
      <c r="AS1631" s="9"/>
      <c r="AT1631" s="9"/>
      <c r="AU1631" s="9"/>
      <c r="AV1631" s="9"/>
      <c r="AW1631" s="9"/>
      <c r="AX1631" s="4" t="s">
        <v>38</v>
      </c>
      <c r="AY1631" s="5" t="s">
        <v>7189</v>
      </c>
      <c r="AZ1631" s="5" t="s">
        <v>38</v>
      </c>
      <c r="BA1631" s="12"/>
      <c r="BB1631" s="12"/>
      <c r="BC1631" s="12"/>
      <c r="BD1631" s="11">
        <v>0</v>
      </c>
      <c r="BE1631" s="11">
        <v>0</v>
      </c>
    </row>
    <row x14ac:dyDescent="0.25" r="1632" customHeight="1" ht="17.25">
      <c r="A1632" s="11">
        <v>54716655</v>
      </c>
      <c r="B1632" s="4" t="s">
        <v>7190</v>
      </c>
      <c r="C1632" s="5" t="s">
        <v>7191</v>
      </c>
      <c r="D1632" s="5" t="s">
        <v>7192</v>
      </c>
      <c r="E1632" s="12"/>
      <c r="F1632" s="13">
        <f>"1718501188"</f>
      </c>
      <c r="G1632" s="13">
        <f>"9781718501188"</f>
      </c>
      <c r="H1632" s="11">
        <v>0</v>
      </c>
      <c r="I1632" s="14">
        <v>4.18</v>
      </c>
      <c r="J1632" s="7" t="s">
        <v>3446</v>
      </c>
      <c r="K1632" s="5" t="s">
        <v>60</v>
      </c>
      <c r="L1632" s="11">
        <v>248</v>
      </c>
      <c r="M1632" s="11">
        <v>2021</v>
      </c>
      <c r="N1632" s="16"/>
      <c r="O1632" s="15"/>
      <c r="P1632" s="9">
        <v>44846</v>
      </c>
      <c r="Q1632" s="9"/>
      <c r="R1632" s="9"/>
      <c r="S1632" s="9"/>
      <c r="T1632" s="9"/>
      <c r="U1632" s="9"/>
      <c r="V1632" s="9"/>
      <c r="W1632" s="9"/>
      <c r="X1632" s="9"/>
      <c r="Y1632" s="9"/>
      <c r="Z1632" s="9"/>
      <c r="AA1632" s="9"/>
      <c r="AB1632" s="9"/>
      <c r="AC1632" s="9"/>
      <c r="AD1632" s="9"/>
      <c r="AE1632" s="9"/>
      <c r="AF1632" s="9"/>
      <c r="AG1632" s="9"/>
      <c r="AH1632" s="9"/>
      <c r="AI1632" s="9"/>
      <c r="AJ1632" s="9"/>
      <c r="AK1632" s="9"/>
      <c r="AL1632" s="9"/>
      <c r="AM1632" s="9"/>
      <c r="AN1632" s="9"/>
      <c r="AO1632" s="9"/>
      <c r="AP1632" s="9"/>
      <c r="AQ1632" s="9"/>
      <c r="AR1632" s="9"/>
      <c r="AS1632" s="9"/>
      <c r="AT1632" s="9"/>
      <c r="AU1632" s="9"/>
      <c r="AV1632" s="9"/>
      <c r="AW1632" s="9"/>
      <c r="AX1632" s="4" t="s">
        <v>38</v>
      </c>
      <c r="AY1632" s="5" t="s">
        <v>7193</v>
      </c>
      <c r="AZ1632" s="5" t="s">
        <v>38</v>
      </c>
      <c r="BA1632" s="12"/>
      <c r="BB1632" s="12"/>
      <c r="BC1632" s="12"/>
      <c r="BD1632" s="11">
        <v>0</v>
      </c>
      <c r="BE1632" s="11">
        <v>0</v>
      </c>
    </row>
    <row x14ac:dyDescent="0.25" r="1633" customHeight="1" ht="17.25">
      <c r="A1633" s="11">
        <v>36258582</v>
      </c>
      <c r="B1633" s="4" t="s">
        <v>7194</v>
      </c>
      <c r="C1633" s="5" t="s">
        <v>7195</v>
      </c>
      <c r="D1633" s="5" t="s">
        <v>7196</v>
      </c>
      <c r="E1633" s="12"/>
      <c r="F1633" s="13">
        <f>"1911358383"</f>
      </c>
      <c r="G1633" s="13">
        <f>"9781911358381"</f>
      </c>
      <c r="H1633" s="11">
        <v>0</v>
      </c>
      <c r="I1633" s="14">
        <v>4.18</v>
      </c>
      <c r="J1633" s="7" t="s">
        <v>7197</v>
      </c>
      <c r="K1633" s="5" t="s">
        <v>72</v>
      </c>
      <c r="L1633" s="11">
        <v>176</v>
      </c>
      <c r="M1633" s="11">
        <v>2018</v>
      </c>
      <c r="N1633" s="16"/>
      <c r="O1633" s="15"/>
      <c r="P1633" s="8">
        <v>44840</v>
      </c>
      <c r="Q1633" s="8"/>
      <c r="R1633" s="8"/>
      <c r="S1633" s="8"/>
      <c r="T1633" s="8"/>
      <c r="U1633" s="8"/>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4" t="s">
        <v>38</v>
      </c>
      <c r="AY1633" s="5" t="s">
        <v>7198</v>
      </c>
      <c r="AZ1633" s="5" t="s">
        <v>38</v>
      </c>
      <c r="BA1633" s="12"/>
      <c r="BB1633" s="12"/>
      <c r="BC1633" s="12"/>
      <c r="BD1633" s="11">
        <v>0</v>
      </c>
      <c r="BE1633" s="11">
        <v>0</v>
      </c>
    </row>
    <row x14ac:dyDescent="0.25" r="1634" customHeight="1" ht="17.25">
      <c r="A1634" s="11">
        <v>433547</v>
      </c>
      <c r="B1634" s="4" t="s">
        <v>7199</v>
      </c>
      <c r="C1634" s="5" t="s">
        <v>7200</v>
      </c>
      <c r="D1634" s="5" t="s">
        <v>7201</v>
      </c>
      <c r="E1634" s="12"/>
      <c r="F1634" s="13">
        <f>"0892551526"</f>
      </c>
      <c r="G1634" s="13">
        <f>"9780892551521"</f>
      </c>
      <c r="H1634" s="11">
        <v>0</v>
      </c>
      <c r="I1634" s="14">
        <v>3.93</v>
      </c>
      <c r="J1634" s="7" t="s">
        <v>7202</v>
      </c>
      <c r="K1634" s="5" t="s">
        <v>60</v>
      </c>
      <c r="L1634" s="11">
        <v>266</v>
      </c>
      <c r="M1634" s="11">
        <v>1990</v>
      </c>
      <c r="N1634" s="11">
        <v>1984</v>
      </c>
      <c r="O1634" s="15"/>
      <c r="P1634" s="8">
        <v>44840</v>
      </c>
      <c r="Q1634" s="8"/>
      <c r="R1634" s="8"/>
      <c r="S1634" s="8"/>
      <c r="T1634" s="8"/>
      <c r="U1634" s="8"/>
      <c r="V1634" s="8"/>
      <c r="W1634" s="8"/>
      <c r="X1634" s="8"/>
      <c r="Y1634" s="8"/>
      <c r="Z1634" s="8"/>
      <c r="AA1634" s="8"/>
      <c r="AB1634" s="8"/>
      <c r="AC1634" s="8"/>
      <c r="AD1634" s="8"/>
      <c r="AE1634" s="8"/>
      <c r="AF1634" s="8"/>
      <c r="AG1634" s="8"/>
      <c r="AH1634" s="8"/>
      <c r="AI1634" s="8"/>
      <c r="AJ1634" s="8"/>
      <c r="AK1634" s="8"/>
      <c r="AL1634" s="8"/>
      <c r="AM1634" s="8"/>
      <c r="AN1634" s="8"/>
      <c r="AO1634" s="8"/>
      <c r="AP1634" s="8"/>
      <c r="AQ1634" s="8"/>
      <c r="AR1634" s="8"/>
      <c r="AS1634" s="8"/>
      <c r="AT1634" s="8"/>
      <c r="AU1634" s="8"/>
      <c r="AV1634" s="8"/>
      <c r="AW1634" s="8"/>
      <c r="AX1634" s="4" t="s">
        <v>38</v>
      </c>
      <c r="AY1634" s="5" t="s">
        <v>7203</v>
      </c>
      <c r="AZ1634" s="5" t="s">
        <v>38</v>
      </c>
      <c r="BA1634" s="12"/>
      <c r="BB1634" s="12"/>
      <c r="BC1634" s="12"/>
      <c r="BD1634" s="11">
        <v>0</v>
      </c>
      <c r="BE1634" s="11">
        <v>0</v>
      </c>
    </row>
    <row x14ac:dyDescent="0.25" r="1635" customHeight="1" ht="17.25">
      <c r="A1635" s="11">
        <v>59808603</v>
      </c>
      <c r="B1635" s="4" t="s">
        <v>7204</v>
      </c>
      <c r="C1635" s="5" t="s">
        <v>7205</v>
      </c>
      <c r="D1635" s="5" t="s">
        <v>7206</v>
      </c>
      <c r="E1635" s="12"/>
      <c r="F1635" s="13">
        <f>"0374605955"</f>
      </c>
      <c r="G1635" s="13">
        <f>"9780374605957"</f>
      </c>
      <c r="H1635" s="11">
        <v>0</v>
      </c>
      <c r="I1635" s="11">
        <v>4</v>
      </c>
      <c r="J1635" s="7" t="s">
        <v>1075</v>
      </c>
      <c r="K1635" s="5" t="s">
        <v>72</v>
      </c>
      <c r="L1635" s="11">
        <v>456</v>
      </c>
      <c r="M1635" s="11">
        <v>2022</v>
      </c>
      <c r="N1635" s="11">
        <v>2022</v>
      </c>
      <c r="O1635" s="15"/>
      <c r="P1635" s="8">
        <v>44837</v>
      </c>
      <c r="Q1635" s="8"/>
      <c r="R1635" s="8"/>
      <c r="S1635" s="8"/>
      <c r="T1635" s="8"/>
      <c r="U1635" s="8"/>
      <c r="V1635" s="8"/>
      <c r="W1635" s="8"/>
      <c r="X1635" s="8"/>
      <c r="Y1635" s="8"/>
      <c r="Z1635" s="8"/>
      <c r="AA1635" s="8"/>
      <c r="AB1635" s="8"/>
      <c r="AC1635" s="8"/>
      <c r="AD1635" s="8"/>
      <c r="AE1635" s="8"/>
      <c r="AF1635" s="8"/>
      <c r="AG1635" s="8"/>
      <c r="AH1635" s="8"/>
      <c r="AI1635" s="8"/>
      <c r="AJ1635" s="8"/>
      <c r="AK1635" s="8"/>
      <c r="AL1635" s="8"/>
      <c r="AM1635" s="8"/>
      <c r="AN1635" s="8"/>
      <c r="AO1635" s="8"/>
      <c r="AP1635" s="8"/>
      <c r="AQ1635" s="8"/>
      <c r="AR1635" s="8"/>
      <c r="AS1635" s="8"/>
      <c r="AT1635" s="8"/>
      <c r="AU1635" s="8"/>
      <c r="AV1635" s="8"/>
      <c r="AW1635" s="8"/>
      <c r="AX1635" s="4" t="s">
        <v>38</v>
      </c>
      <c r="AY1635" s="5" t="s">
        <v>7207</v>
      </c>
      <c r="AZ1635" s="5" t="s">
        <v>38</v>
      </c>
      <c r="BA1635" s="12"/>
      <c r="BB1635" s="12"/>
      <c r="BC1635" s="12"/>
      <c r="BD1635" s="11">
        <v>0</v>
      </c>
      <c r="BE1635" s="11">
        <v>0</v>
      </c>
    </row>
    <row x14ac:dyDescent="0.25" r="1636" customHeight="1" ht="17.25">
      <c r="A1636" s="11">
        <v>2598322</v>
      </c>
      <c r="B1636" s="4" t="s">
        <v>7208</v>
      </c>
      <c r="C1636" s="5" t="s">
        <v>7209</v>
      </c>
      <c r="D1636" s="5" t="s">
        <v>7210</v>
      </c>
      <c r="E1636" s="12"/>
      <c r="F1636" s="13">
        <f>"1417978031"</f>
      </c>
      <c r="G1636" s="13">
        <f>"9781417978038"</f>
      </c>
      <c r="H1636" s="11">
        <v>0</v>
      </c>
      <c r="I1636" s="14">
        <v>4.25</v>
      </c>
      <c r="J1636" s="7" t="s">
        <v>7064</v>
      </c>
      <c r="K1636" s="5" t="s">
        <v>60</v>
      </c>
      <c r="L1636" s="11">
        <v>136</v>
      </c>
      <c r="M1636" s="11">
        <v>2004</v>
      </c>
      <c r="N1636" s="11">
        <v>2004</v>
      </c>
      <c r="O1636" s="15"/>
      <c r="P1636" s="8">
        <v>44814</v>
      </c>
      <c r="Q1636" s="8"/>
      <c r="R1636" s="8"/>
      <c r="S1636" s="8"/>
      <c r="T1636" s="8"/>
      <c r="U1636" s="8"/>
      <c r="V1636" s="8"/>
      <c r="W1636" s="8"/>
      <c r="X1636" s="8"/>
      <c r="Y1636" s="8"/>
      <c r="Z1636" s="8"/>
      <c r="AA1636" s="8"/>
      <c r="AB1636" s="8"/>
      <c r="AC1636" s="8"/>
      <c r="AD1636" s="8"/>
      <c r="AE1636" s="8"/>
      <c r="AF1636" s="8"/>
      <c r="AG1636" s="8"/>
      <c r="AH1636" s="8"/>
      <c r="AI1636" s="8"/>
      <c r="AJ1636" s="8"/>
      <c r="AK1636" s="8"/>
      <c r="AL1636" s="8"/>
      <c r="AM1636" s="8"/>
      <c r="AN1636" s="8"/>
      <c r="AO1636" s="8"/>
      <c r="AP1636" s="8"/>
      <c r="AQ1636" s="8"/>
      <c r="AR1636" s="8"/>
      <c r="AS1636" s="8"/>
      <c r="AT1636" s="8"/>
      <c r="AU1636" s="8"/>
      <c r="AV1636" s="8"/>
      <c r="AW1636" s="8"/>
      <c r="AX1636" s="4" t="s">
        <v>38</v>
      </c>
      <c r="AY1636" s="5" t="s">
        <v>7211</v>
      </c>
      <c r="AZ1636" s="5" t="s">
        <v>38</v>
      </c>
      <c r="BA1636" s="12"/>
      <c r="BB1636" s="12"/>
      <c r="BC1636" s="12"/>
      <c r="BD1636" s="11">
        <v>0</v>
      </c>
      <c r="BE1636" s="11">
        <v>0</v>
      </c>
    </row>
    <row x14ac:dyDescent="0.25" r="1637" customHeight="1" ht="17.25">
      <c r="A1637" s="11">
        <v>1920908</v>
      </c>
      <c r="B1637" s="4" t="s">
        <v>7212</v>
      </c>
      <c r="C1637" s="5" t="s">
        <v>7213</v>
      </c>
      <c r="D1637" s="5" t="s">
        <v>7214</v>
      </c>
      <c r="E1637" s="12"/>
      <c r="F1637" s="13">
        <f>"0385110251"</f>
      </c>
      <c r="G1637" s="13">
        <f>"9780385110259"</f>
      </c>
      <c r="H1637" s="11">
        <v>0</v>
      </c>
      <c r="I1637" s="14">
        <v>3.84</v>
      </c>
      <c r="J1637" s="7" t="s">
        <v>7215</v>
      </c>
      <c r="K1637" s="5" t="s">
        <v>60</v>
      </c>
      <c r="L1637" s="11">
        <v>383</v>
      </c>
      <c r="M1637" s="11">
        <v>1976</v>
      </c>
      <c r="N1637" s="11">
        <v>1976</v>
      </c>
      <c r="O1637" s="15"/>
      <c r="P1637" s="8">
        <v>44814</v>
      </c>
      <c r="Q1637" s="8"/>
      <c r="R1637" s="8"/>
      <c r="S1637" s="8"/>
      <c r="T1637" s="8"/>
      <c r="U1637" s="8"/>
      <c r="V1637" s="8"/>
      <c r="W1637" s="8"/>
      <c r="X1637" s="8"/>
      <c r="Y1637" s="8"/>
      <c r="Z1637" s="8"/>
      <c r="AA1637" s="8"/>
      <c r="AB1637" s="8"/>
      <c r="AC1637" s="8"/>
      <c r="AD1637" s="8"/>
      <c r="AE1637" s="8"/>
      <c r="AF1637" s="8"/>
      <c r="AG1637" s="8"/>
      <c r="AH1637" s="8"/>
      <c r="AI1637" s="8"/>
      <c r="AJ1637" s="8"/>
      <c r="AK1637" s="8"/>
      <c r="AL1637" s="8"/>
      <c r="AM1637" s="8"/>
      <c r="AN1637" s="8"/>
      <c r="AO1637" s="8"/>
      <c r="AP1637" s="8"/>
      <c r="AQ1637" s="8"/>
      <c r="AR1637" s="8"/>
      <c r="AS1637" s="8"/>
      <c r="AT1637" s="8"/>
      <c r="AU1637" s="8"/>
      <c r="AV1637" s="8"/>
      <c r="AW1637" s="8"/>
      <c r="AX1637" s="4" t="s">
        <v>38</v>
      </c>
      <c r="AY1637" s="5" t="s">
        <v>7216</v>
      </c>
      <c r="AZ1637" s="5" t="s">
        <v>38</v>
      </c>
      <c r="BA1637" s="12"/>
      <c r="BB1637" s="12"/>
      <c r="BC1637" s="12"/>
      <c r="BD1637" s="11">
        <v>0</v>
      </c>
      <c r="BE1637" s="11">
        <v>0</v>
      </c>
    </row>
    <row x14ac:dyDescent="0.25" r="1638" customHeight="1" ht="17.25">
      <c r="A1638" s="11">
        <v>221157</v>
      </c>
      <c r="B1638" s="4" t="s">
        <v>7217</v>
      </c>
      <c r="C1638" s="5" t="s">
        <v>7218</v>
      </c>
      <c r="D1638" s="5" t="s">
        <v>7219</v>
      </c>
      <c r="E1638" s="12"/>
      <c r="F1638" s="13">
        <f>"0892365110"</f>
      </c>
      <c r="G1638" s="13">
        <f>"9780892365111"</f>
      </c>
      <c r="H1638" s="11">
        <v>0</v>
      </c>
      <c r="I1638" s="14">
        <v>3.86</v>
      </c>
      <c r="J1638" s="7" t="s">
        <v>7220</v>
      </c>
      <c r="K1638" s="5" t="s">
        <v>60</v>
      </c>
      <c r="L1638" s="11">
        <v>154</v>
      </c>
      <c r="M1638" s="11">
        <v>1999</v>
      </c>
      <c r="N1638" s="11">
        <v>1999</v>
      </c>
      <c r="O1638" s="15"/>
      <c r="P1638" s="8">
        <v>44814</v>
      </c>
      <c r="Q1638" s="8"/>
      <c r="R1638" s="8"/>
      <c r="S1638" s="8"/>
      <c r="T1638" s="8"/>
      <c r="U1638" s="8"/>
      <c r="V1638" s="8"/>
      <c r="W1638" s="8"/>
      <c r="X1638" s="8"/>
      <c r="Y1638" s="8"/>
      <c r="Z1638" s="8"/>
      <c r="AA1638" s="8"/>
      <c r="AB1638" s="8"/>
      <c r="AC1638" s="8"/>
      <c r="AD1638" s="8"/>
      <c r="AE1638" s="8"/>
      <c r="AF1638" s="8"/>
      <c r="AG1638" s="8"/>
      <c r="AH1638" s="8"/>
      <c r="AI1638" s="8"/>
      <c r="AJ1638" s="8"/>
      <c r="AK1638" s="8"/>
      <c r="AL1638" s="8"/>
      <c r="AM1638" s="8"/>
      <c r="AN1638" s="8"/>
      <c r="AO1638" s="8"/>
      <c r="AP1638" s="8"/>
      <c r="AQ1638" s="8"/>
      <c r="AR1638" s="8"/>
      <c r="AS1638" s="8"/>
      <c r="AT1638" s="8"/>
      <c r="AU1638" s="8"/>
      <c r="AV1638" s="8"/>
      <c r="AW1638" s="8"/>
      <c r="AX1638" s="4" t="s">
        <v>38</v>
      </c>
      <c r="AY1638" s="5" t="s">
        <v>7221</v>
      </c>
      <c r="AZ1638" s="5" t="s">
        <v>38</v>
      </c>
      <c r="BA1638" s="12"/>
      <c r="BB1638" s="12"/>
      <c r="BC1638" s="12"/>
      <c r="BD1638" s="11">
        <v>0</v>
      </c>
      <c r="BE1638" s="11">
        <v>0</v>
      </c>
    </row>
    <row x14ac:dyDescent="0.25" r="1639" customHeight="1" ht="17.25">
      <c r="A1639" s="11">
        <v>37919340</v>
      </c>
      <c r="B1639" s="4" t="s">
        <v>7222</v>
      </c>
      <c r="C1639" s="5" t="s">
        <v>3795</v>
      </c>
      <c r="D1639" s="5" t="s">
        <v>3796</v>
      </c>
      <c r="E1639" s="5" t="s">
        <v>7223</v>
      </c>
      <c r="F1639" s="13">
        <f>"0709158246"</f>
      </c>
      <c r="G1639" s="13">
        <f>"9780709158240"</f>
      </c>
      <c r="H1639" s="11">
        <v>0</v>
      </c>
      <c r="I1639" s="11">
        <v>0</v>
      </c>
      <c r="J1639" s="7" t="s">
        <v>7224</v>
      </c>
      <c r="K1639" s="5" t="s">
        <v>72</v>
      </c>
      <c r="L1639" s="11">
        <v>192</v>
      </c>
      <c r="M1639" s="11">
        <v>1976</v>
      </c>
      <c r="N1639" s="16"/>
      <c r="O1639" s="15"/>
      <c r="P1639" s="8">
        <v>44814</v>
      </c>
      <c r="Q1639" s="8"/>
      <c r="R1639" s="8"/>
      <c r="S1639" s="8"/>
      <c r="T1639" s="8"/>
      <c r="U1639" s="8"/>
      <c r="V1639" s="8"/>
      <c r="W1639" s="8"/>
      <c r="X1639" s="8"/>
      <c r="Y1639" s="8"/>
      <c r="Z1639" s="8"/>
      <c r="AA1639" s="8"/>
      <c r="AB1639" s="8"/>
      <c r="AC1639" s="8"/>
      <c r="AD1639" s="8"/>
      <c r="AE1639" s="8"/>
      <c r="AF1639" s="8"/>
      <c r="AG1639" s="8"/>
      <c r="AH1639" s="8"/>
      <c r="AI1639" s="8"/>
      <c r="AJ1639" s="8"/>
      <c r="AK1639" s="8"/>
      <c r="AL1639" s="8"/>
      <c r="AM1639" s="8"/>
      <c r="AN1639" s="8"/>
      <c r="AO1639" s="8"/>
      <c r="AP1639" s="8"/>
      <c r="AQ1639" s="8"/>
      <c r="AR1639" s="8"/>
      <c r="AS1639" s="8"/>
      <c r="AT1639" s="8"/>
      <c r="AU1639" s="8"/>
      <c r="AV1639" s="8"/>
      <c r="AW1639" s="8"/>
      <c r="AX1639" s="4" t="s">
        <v>38</v>
      </c>
      <c r="AY1639" s="5" t="s">
        <v>7225</v>
      </c>
      <c r="AZ1639" s="5" t="s">
        <v>38</v>
      </c>
      <c r="BA1639" s="12"/>
      <c r="BB1639" s="12"/>
      <c r="BC1639" s="12"/>
      <c r="BD1639" s="11">
        <v>0</v>
      </c>
      <c r="BE1639" s="11">
        <v>0</v>
      </c>
    </row>
    <row x14ac:dyDescent="0.25" r="1640" customHeight="1" ht="17.25">
      <c r="A1640" s="11">
        <v>6645126</v>
      </c>
      <c r="B1640" s="4" t="s">
        <v>7226</v>
      </c>
      <c r="C1640" s="5" t="s">
        <v>7227</v>
      </c>
      <c r="D1640" s="5" t="s">
        <v>7228</v>
      </c>
      <c r="E1640" s="12"/>
      <c r="F1640" s="13">
        <f>"1564592820"</f>
      </c>
      <c r="G1640" s="13">
        <f>"9781564592828"</f>
      </c>
      <c r="H1640" s="11">
        <v>0</v>
      </c>
      <c r="I1640" s="14">
        <v>3.92</v>
      </c>
      <c r="J1640" s="7" t="s">
        <v>7229</v>
      </c>
      <c r="K1640" s="5" t="s">
        <v>60</v>
      </c>
      <c r="L1640" s="11">
        <v>204</v>
      </c>
      <c r="M1640" s="11">
        <v>1999</v>
      </c>
      <c r="N1640" s="11">
        <v>1970</v>
      </c>
      <c r="O1640" s="15"/>
      <c r="P1640" s="8">
        <v>44812</v>
      </c>
      <c r="Q1640" s="8"/>
      <c r="R1640" s="8"/>
      <c r="S1640" s="8"/>
      <c r="T1640" s="8"/>
      <c r="U1640" s="8"/>
      <c r="V1640" s="8"/>
      <c r="W1640" s="8"/>
      <c r="X1640" s="8"/>
      <c r="Y1640" s="8"/>
      <c r="Z1640" s="8"/>
      <c r="AA1640" s="8"/>
      <c r="AB1640" s="8"/>
      <c r="AC1640" s="8"/>
      <c r="AD1640" s="8"/>
      <c r="AE1640" s="8"/>
      <c r="AF1640" s="8"/>
      <c r="AG1640" s="8"/>
      <c r="AH1640" s="8"/>
      <c r="AI1640" s="8"/>
      <c r="AJ1640" s="8"/>
      <c r="AK1640" s="8"/>
      <c r="AL1640" s="8"/>
      <c r="AM1640" s="8"/>
      <c r="AN1640" s="8"/>
      <c r="AO1640" s="8"/>
      <c r="AP1640" s="8"/>
      <c r="AQ1640" s="8"/>
      <c r="AR1640" s="8"/>
      <c r="AS1640" s="8"/>
      <c r="AT1640" s="8"/>
      <c r="AU1640" s="8"/>
      <c r="AV1640" s="8"/>
      <c r="AW1640" s="8"/>
      <c r="AX1640" s="4" t="s">
        <v>38</v>
      </c>
      <c r="AY1640" s="5" t="s">
        <v>7230</v>
      </c>
      <c r="AZ1640" s="5" t="s">
        <v>38</v>
      </c>
      <c r="BA1640" s="12"/>
      <c r="BB1640" s="12"/>
      <c r="BC1640" s="12"/>
      <c r="BD1640" s="11">
        <v>0</v>
      </c>
      <c r="BE1640" s="11">
        <v>0</v>
      </c>
    </row>
    <row x14ac:dyDescent="0.25" r="1641" customHeight="1" ht="17.25">
      <c r="A1641" s="11">
        <v>126348</v>
      </c>
      <c r="B1641" s="4" t="s">
        <v>7231</v>
      </c>
      <c r="C1641" s="5" t="s">
        <v>7232</v>
      </c>
      <c r="D1641" s="5" t="s">
        <v>7233</v>
      </c>
      <c r="E1641" s="12"/>
      <c r="F1641" s="13">
        <f>"1594480664"</f>
      </c>
      <c r="G1641" s="13">
        <f>"9781594480669"</f>
      </c>
      <c r="H1641" s="11">
        <v>0</v>
      </c>
      <c r="I1641" s="14">
        <v>4.14</v>
      </c>
      <c r="J1641" s="7" t="s">
        <v>418</v>
      </c>
      <c r="K1641" s="5" t="s">
        <v>60</v>
      </c>
      <c r="L1641" s="11">
        <v>272</v>
      </c>
      <c r="M1641" s="11">
        <v>2005</v>
      </c>
      <c r="N1641" s="11">
        <v>2004</v>
      </c>
      <c r="O1641" s="15"/>
      <c r="P1641" s="8">
        <v>44812</v>
      </c>
      <c r="Q1641" s="8"/>
      <c r="R1641" s="8"/>
      <c r="S1641" s="8"/>
      <c r="T1641" s="8"/>
      <c r="U1641" s="8"/>
      <c r="V1641" s="8"/>
      <c r="W1641" s="8"/>
      <c r="X1641" s="8"/>
      <c r="Y1641" s="8"/>
      <c r="Z1641" s="8"/>
      <c r="AA1641" s="8"/>
      <c r="AB1641" s="8"/>
      <c r="AC1641" s="8"/>
      <c r="AD1641" s="8"/>
      <c r="AE1641" s="8"/>
      <c r="AF1641" s="8"/>
      <c r="AG1641" s="8"/>
      <c r="AH1641" s="8"/>
      <c r="AI1641" s="8"/>
      <c r="AJ1641" s="8"/>
      <c r="AK1641" s="8"/>
      <c r="AL1641" s="8"/>
      <c r="AM1641" s="8"/>
      <c r="AN1641" s="8"/>
      <c r="AO1641" s="8"/>
      <c r="AP1641" s="8"/>
      <c r="AQ1641" s="8"/>
      <c r="AR1641" s="8"/>
      <c r="AS1641" s="8"/>
      <c r="AT1641" s="8"/>
      <c r="AU1641" s="8"/>
      <c r="AV1641" s="8"/>
      <c r="AW1641" s="8"/>
      <c r="AX1641" s="4" t="s">
        <v>38</v>
      </c>
      <c r="AY1641" s="5" t="s">
        <v>7234</v>
      </c>
      <c r="AZ1641" s="5" t="s">
        <v>38</v>
      </c>
      <c r="BA1641" s="12"/>
      <c r="BB1641" s="12"/>
      <c r="BC1641" s="12"/>
      <c r="BD1641" s="11">
        <v>0</v>
      </c>
      <c r="BE1641" s="11">
        <v>0</v>
      </c>
    </row>
    <row x14ac:dyDescent="0.25" r="1642" customHeight="1" ht="17.25">
      <c r="A1642" s="11">
        <v>1553525</v>
      </c>
      <c r="B1642" s="4" t="s">
        <v>7235</v>
      </c>
      <c r="C1642" s="5" t="s">
        <v>7236</v>
      </c>
      <c r="D1642" s="5" t="s">
        <v>7237</v>
      </c>
      <c r="E1642" s="12"/>
      <c r="F1642" s="13">
        <f>"0226576965"</f>
      </c>
      <c r="G1642" s="13">
        <f>"9780226576961"</f>
      </c>
      <c r="H1642" s="11">
        <v>0</v>
      </c>
      <c r="I1642" s="14">
        <v>4.36</v>
      </c>
      <c r="J1642" s="7" t="s">
        <v>255</v>
      </c>
      <c r="K1642" s="5" t="s">
        <v>72</v>
      </c>
      <c r="L1642" s="11">
        <v>235</v>
      </c>
      <c r="M1642" s="11">
        <v>2006</v>
      </c>
      <c r="N1642" s="11">
        <v>2006</v>
      </c>
      <c r="O1642" s="15"/>
      <c r="P1642" s="8">
        <v>44812</v>
      </c>
      <c r="Q1642" s="8"/>
      <c r="R1642" s="8"/>
      <c r="S1642" s="8"/>
      <c r="T1642" s="8"/>
      <c r="U1642" s="8"/>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8"/>
      <c r="AR1642" s="8"/>
      <c r="AS1642" s="8"/>
      <c r="AT1642" s="8"/>
      <c r="AU1642" s="8"/>
      <c r="AV1642" s="8"/>
      <c r="AW1642" s="8"/>
      <c r="AX1642" s="4" t="s">
        <v>38</v>
      </c>
      <c r="AY1642" s="5" t="s">
        <v>7238</v>
      </c>
      <c r="AZ1642" s="5" t="s">
        <v>38</v>
      </c>
      <c r="BA1642" s="12"/>
      <c r="BB1642" s="12"/>
      <c r="BC1642" s="12"/>
      <c r="BD1642" s="11">
        <v>0</v>
      </c>
      <c r="BE1642" s="11">
        <v>0</v>
      </c>
    </row>
    <row x14ac:dyDescent="0.25" r="1643" customHeight="1" ht="17.25">
      <c r="A1643" s="11">
        <v>770806</v>
      </c>
      <c r="B1643" s="4" t="s">
        <v>7239</v>
      </c>
      <c r="C1643" s="5" t="s">
        <v>7240</v>
      </c>
      <c r="D1643" s="5" t="s">
        <v>7241</v>
      </c>
      <c r="E1643" s="12"/>
      <c r="F1643" s="13">
        <f>"0500810036"</f>
      </c>
      <c r="G1643" s="13">
        <f>"9780500810033"</f>
      </c>
      <c r="H1643" s="11">
        <v>0</v>
      </c>
      <c r="I1643" s="14">
        <v>3.55</v>
      </c>
      <c r="J1643" s="7" t="s">
        <v>466</v>
      </c>
      <c r="K1643" s="5" t="s">
        <v>60</v>
      </c>
      <c r="L1643" s="11">
        <v>128</v>
      </c>
      <c r="M1643" s="11">
        <v>1986</v>
      </c>
      <c r="N1643" s="11">
        <v>1973</v>
      </c>
      <c r="O1643" s="15"/>
      <c r="P1643" s="8">
        <v>44812</v>
      </c>
      <c r="Q1643" s="8"/>
      <c r="R1643" s="8"/>
      <c r="S1643" s="8"/>
      <c r="T1643" s="8"/>
      <c r="U1643" s="8"/>
      <c r="V1643" s="8"/>
      <c r="W1643" s="8"/>
      <c r="X1643" s="8"/>
      <c r="Y1643" s="8"/>
      <c r="Z1643" s="8"/>
      <c r="AA1643" s="8"/>
      <c r="AB1643" s="8"/>
      <c r="AC1643" s="8"/>
      <c r="AD1643" s="8"/>
      <c r="AE1643" s="8"/>
      <c r="AF1643" s="8"/>
      <c r="AG1643" s="8"/>
      <c r="AH1643" s="8"/>
      <c r="AI1643" s="8"/>
      <c r="AJ1643" s="8"/>
      <c r="AK1643" s="8"/>
      <c r="AL1643" s="8"/>
      <c r="AM1643" s="8"/>
      <c r="AN1643" s="8"/>
      <c r="AO1643" s="8"/>
      <c r="AP1643" s="8"/>
      <c r="AQ1643" s="8"/>
      <c r="AR1643" s="8"/>
      <c r="AS1643" s="8"/>
      <c r="AT1643" s="8"/>
      <c r="AU1643" s="8"/>
      <c r="AV1643" s="8"/>
      <c r="AW1643" s="8"/>
      <c r="AX1643" s="4" t="s">
        <v>38</v>
      </c>
      <c r="AY1643" s="5" t="s">
        <v>7242</v>
      </c>
      <c r="AZ1643" s="5" t="s">
        <v>38</v>
      </c>
      <c r="BA1643" s="12"/>
      <c r="BB1643" s="12"/>
      <c r="BC1643" s="12"/>
      <c r="BD1643" s="11">
        <v>0</v>
      </c>
      <c r="BE1643" s="11">
        <v>0</v>
      </c>
    </row>
    <row x14ac:dyDescent="0.25" r="1644" customHeight="1" ht="17.25">
      <c r="A1644" s="11">
        <v>42879606</v>
      </c>
      <c r="B1644" s="4" t="s">
        <v>7243</v>
      </c>
      <c r="C1644" s="5" t="s">
        <v>7244</v>
      </c>
      <c r="D1644" s="5" t="s">
        <v>7245</v>
      </c>
      <c r="E1644" s="5" t="s">
        <v>7246</v>
      </c>
      <c r="F1644" s="13">
        <f>"1788840267"</f>
      </c>
      <c r="G1644" s="13">
        <f>"9781788840262"</f>
      </c>
      <c r="H1644" s="11">
        <v>0</v>
      </c>
      <c r="I1644" s="11">
        <v>5</v>
      </c>
      <c r="J1644" s="7" t="s">
        <v>7247</v>
      </c>
      <c r="K1644" s="5" t="s">
        <v>72</v>
      </c>
      <c r="L1644" s="11">
        <v>240</v>
      </c>
      <c r="M1644" s="11">
        <v>2019</v>
      </c>
      <c r="N1644" s="16"/>
      <c r="O1644" s="15"/>
      <c r="P1644" s="8">
        <v>44812</v>
      </c>
      <c r="Q1644" s="8"/>
      <c r="R1644" s="8"/>
      <c r="S1644" s="8"/>
      <c r="T1644" s="8"/>
      <c r="U1644" s="8"/>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4" t="s">
        <v>38</v>
      </c>
      <c r="AY1644" s="5" t="s">
        <v>7248</v>
      </c>
      <c r="AZ1644" s="5" t="s">
        <v>38</v>
      </c>
      <c r="BA1644" s="12"/>
      <c r="BB1644" s="12"/>
      <c r="BC1644" s="12"/>
      <c r="BD1644" s="11">
        <v>0</v>
      </c>
      <c r="BE1644" s="11">
        <v>0</v>
      </c>
    </row>
    <row x14ac:dyDescent="0.25" r="1645" customHeight="1" ht="17.25">
      <c r="A1645" s="11">
        <v>1793776</v>
      </c>
      <c r="B1645" s="4" t="s">
        <v>7249</v>
      </c>
      <c r="C1645" s="5" t="s">
        <v>7240</v>
      </c>
      <c r="D1645" s="5" t="s">
        <v>7241</v>
      </c>
      <c r="E1645" s="12"/>
      <c r="F1645" s="13">
        <f>"0500279810"</f>
      </c>
      <c r="G1645" s="13">
        <f>"9780500279816"</f>
      </c>
      <c r="H1645" s="11">
        <v>0</v>
      </c>
      <c r="I1645" s="14">
        <v>4.57</v>
      </c>
      <c r="J1645" s="7" t="s">
        <v>466</v>
      </c>
      <c r="K1645" s="5" t="s">
        <v>60</v>
      </c>
      <c r="L1645" s="16"/>
      <c r="M1645" s="11">
        <v>1998</v>
      </c>
      <c r="N1645" s="11">
        <v>1988</v>
      </c>
      <c r="O1645" s="15"/>
      <c r="P1645" s="8">
        <v>44809</v>
      </c>
      <c r="Q1645" s="8"/>
      <c r="R1645" s="8"/>
      <c r="S1645" s="8"/>
      <c r="T1645" s="8"/>
      <c r="U1645" s="8"/>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8"/>
      <c r="AR1645" s="8"/>
      <c r="AS1645" s="8"/>
      <c r="AT1645" s="8"/>
      <c r="AU1645" s="8"/>
      <c r="AV1645" s="8"/>
      <c r="AW1645" s="8"/>
      <c r="AX1645" s="4" t="s">
        <v>38</v>
      </c>
      <c r="AY1645" s="5" t="s">
        <v>7250</v>
      </c>
      <c r="AZ1645" s="5" t="s">
        <v>38</v>
      </c>
      <c r="BA1645" s="12"/>
      <c r="BB1645" s="12"/>
      <c r="BC1645" s="12"/>
      <c r="BD1645" s="11">
        <v>0</v>
      </c>
      <c r="BE1645" s="11">
        <v>0</v>
      </c>
    </row>
    <row x14ac:dyDescent="0.25" r="1646" customHeight="1" ht="17.25">
      <c r="A1646" s="11">
        <v>145562</v>
      </c>
      <c r="B1646" s="4" t="s">
        <v>7251</v>
      </c>
      <c r="C1646" s="5" t="s">
        <v>7252</v>
      </c>
      <c r="D1646" s="5" t="s">
        <v>7253</v>
      </c>
      <c r="E1646" s="12"/>
      <c r="F1646" s="13">
        <f>"0875421229"</f>
      </c>
      <c r="G1646" s="13">
        <f>"9780875421223"</f>
      </c>
      <c r="H1646" s="11">
        <v>0</v>
      </c>
      <c r="I1646" s="14">
        <v>4.26</v>
      </c>
      <c r="J1646" s="7" t="s">
        <v>646</v>
      </c>
      <c r="K1646" s="5" t="s">
        <v>60</v>
      </c>
      <c r="L1646" s="11">
        <v>318</v>
      </c>
      <c r="M1646" s="11">
        <v>1985</v>
      </c>
      <c r="N1646" s="11">
        <v>1985</v>
      </c>
      <c r="O1646" s="15"/>
      <c r="P1646" s="8">
        <v>44809</v>
      </c>
      <c r="Q1646" s="8"/>
      <c r="R1646" s="8"/>
      <c r="S1646" s="8"/>
      <c r="T1646" s="8"/>
      <c r="U1646" s="8"/>
      <c r="V1646" s="8"/>
      <c r="W1646" s="8"/>
      <c r="X1646" s="8"/>
      <c r="Y1646" s="8"/>
      <c r="Z1646" s="8"/>
      <c r="AA1646" s="8"/>
      <c r="AB1646" s="8"/>
      <c r="AC1646" s="8"/>
      <c r="AD1646" s="8"/>
      <c r="AE1646" s="8"/>
      <c r="AF1646" s="8"/>
      <c r="AG1646" s="8"/>
      <c r="AH1646" s="8"/>
      <c r="AI1646" s="8"/>
      <c r="AJ1646" s="8"/>
      <c r="AK1646" s="8"/>
      <c r="AL1646" s="8"/>
      <c r="AM1646" s="8"/>
      <c r="AN1646" s="8"/>
      <c r="AO1646" s="8"/>
      <c r="AP1646" s="8"/>
      <c r="AQ1646" s="8"/>
      <c r="AR1646" s="8"/>
      <c r="AS1646" s="8"/>
      <c r="AT1646" s="8"/>
      <c r="AU1646" s="8"/>
      <c r="AV1646" s="8"/>
      <c r="AW1646" s="8"/>
      <c r="AX1646" s="4" t="s">
        <v>38</v>
      </c>
      <c r="AY1646" s="5" t="s">
        <v>7254</v>
      </c>
      <c r="AZ1646" s="5" t="s">
        <v>38</v>
      </c>
      <c r="BA1646" s="12"/>
      <c r="BB1646" s="12"/>
      <c r="BC1646" s="12"/>
      <c r="BD1646" s="11">
        <v>0</v>
      </c>
      <c r="BE1646" s="11">
        <v>0</v>
      </c>
    </row>
    <row x14ac:dyDescent="0.25" r="1647" customHeight="1" ht="17.25">
      <c r="A1647" s="11">
        <v>1259368</v>
      </c>
      <c r="B1647" s="4" t="s">
        <v>7255</v>
      </c>
      <c r="C1647" s="5" t="s">
        <v>7256</v>
      </c>
      <c r="D1647" s="5" t="s">
        <v>7257</v>
      </c>
      <c r="E1647" s="12"/>
      <c r="F1647" s="13">
        <f>"1891117122"</f>
      </c>
      <c r="G1647" s="13">
        <f>"9781891117121"</f>
      </c>
      <c r="H1647" s="11">
        <v>0</v>
      </c>
      <c r="I1647" s="14">
        <v>4.05</v>
      </c>
      <c r="J1647" s="7" t="s">
        <v>7258</v>
      </c>
      <c r="K1647" s="5" t="s">
        <v>60</v>
      </c>
      <c r="L1647" s="11">
        <v>543</v>
      </c>
      <c r="M1647" s="11">
        <v>1998</v>
      </c>
      <c r="N1647" s="11">
        <v>1998</v>
      </c>
      <c r="O1647" s="15"/>
      <c r="P1647" s="8">
        <v>44808</v>
      </c>
      <c r="Q1647" s="8"/>
      <c r="R1647" s="8"/>
      <c r="S1647" s="8"/>
      <c r="T1647" s="8"/>
      <c r="U1647" s="8"/>
      <c r="V1647" s="8"/>
      <c r="W1647" s="8"/>
      <c r="X1647" s="8"/>
      <c r="Y1647" s="8"/>
      <c r="Z1647" s="8"/>
      <c r="AA1647" s="8"/>
      <c r="AB1647" s="8"/>
      <c r="AC1647" s="8"/>
      <c r="AD1647" s="8"/>
      <c r="AE1647" s="8"/>
      <c r="AF1647" s="8"/>
      <c r="AG1647" s="8"/>
      <c r="AH1647" s="8"/>
      <c r="AI1647" s="8"/>
      <c r="AJ1647" s="8"/>
      <c r="AK1647" s="8"/>
      <c r="AL1647" s="8"/>
      <c r="AM1647" s="8"/>
      <c r="AN1647" s="8"/>
      <c r="AO1647" s="8"/>
      <c r="AP1647" s="8"/>
      <c r="AQ1647" s="8"/>
      <c r="AR1647" s="8"/>
      <c r="AS1647" s="8"/>
      <c r="AT1647" s="8"/>
      <c r="AU1647" s="8"/>
      <c r="AV1647" s="8"/>
      <c r="AW1647" s="8"/>
      <c r="AX1647" s="4" t="s">
        <v>38</v>
      </c>
      <c r="AY1647" s="5" t="s">
        <v>7259</v>
      </c>
      <c r="AZ1647" s="5" t="s">
        <v>38</v>
      </c>
      <c r="BA1647" s="12"/>
      <c r="BB1647" s="12"/>
      <c r="BC1647" s="12"/>
      <c r="BD1647" s="11">
        <v>0</v>
      </c>
      <c r="BE1647" s="11">
        <v>0</v>
      </c>
    </row>
    <row x14ac:dyDescent="0.25" r="1648" customHeight="1" ht="17.25">
      <c r="A1648" s="11">
        <v>1618942</v>
      </c>
      <c r="B1648" s="4" t="s">
        <v>7260</v>
      </c>
      <c r="C1648" s="5" t="s">
        <v>7261</v>
      </c>
      <c r="D1648" s="5" t="s">
        <v>7262</v>
      </c>
      <c r="E1648" s="12"/>
      <c r="F1648" s="13">
        <f>"093399933X"</f>
      </c>
      <c r="G1648" s="13">
        <f>"9780933999336"</f>
      </c>
      <c r="H1648" s="11">
        <v>0</v>
      </c>
      <c r="I1648" s="14">
        <v>4.09</v>
      </c>
      <c r="J1648" s="7" t="s">
        <v>1353</v>
      </c>
      <c r="K1648" s="5" t="s">
        <v>60</v>
      </c>
      <c r="L1648" s="11">
        <v>142</v>
      </c>
      <c r="M1648" s="11">
        <v>2008</v>
      </c>
      <c r="N1648" s="11">
        <v>1993</v>
      </c>
      <c r="O1648" s="15"/>
      <c r="P1648" s="8">
        <v>44808</v>
      </c>
      <c r="Q1648" s="8"/>
      <c r="R1648" s="8"/>
      <c r="S1648" s="8"/>
      <c r="T1648" s="8"/>
      <c r="U1648" s="8"/>
      <c r="V1648" s="8"/>
      <c r="W1648" s="8"/>
      <c r="X1648" s="8"/>
      <c r="Y1648" s="8"/>
      <c r="Z1648" s="8"/>
      <c r="AA1648" s="8"/>
      <c r="AB1648" s="8"/>
      <c r="AC1648" s="8"/>
      <c r="AD1648" s="8"/>
      <c r="AE1648" s="8"/>
      <c r="AF1648" s="8"/>
      <c r="AG1648" s="8"/>
      <c r="AH1648" s="8"/>
      <c r="AI1648" s="8"/>
      <c r="AJ1648" s="8"/>
      <c r="AK1648" s="8"/>
      <c r="AL1648" s="8"/>
      <c r="AM1648" s="8"/>
      <c r="AN1648" s="8"/>
      <c r="AO1648" s="8"/>
      <c r="AP1648" s="8"/>
      <c r="AQ1648" s="8"/>
      <c r="AR1648" s="8"/>
      <c r="AS1648" s="8"/>
      <c r="AT1648" s="8"/>
      <c r="AU1648" s="8"/>
      <c r="AV1648" s="8"/>
      <c r="AW1648" s="8"/>
      <c r="AX1648" s="4" t="s">
        <v>38</v>
      </c>
      <c r="AY1648" s="5" t="s">
        <v>7263</v>
      </c>
      <c r="AZ1648" s="5" t="s">
        <v>38</v>
      </c>
      <c r="BA1648" s="12"/>
      <c r="BB1648" s="12"/>
      <c r="BC1648" s="12"/>
      <c r="BD1648" s="11">
        <v>0</v>
      </c>
      <c r="BE1648" s="11">
        <v>0</v>
      </c>
    </row>
    <row x14ac:dyDescent="0.25" r="1649" customHeight="1" ht="17.25">
      <c r="A1649" s="11">
        <v>1034358</v>
      </c>
      <c r="B1649" s="4" t="s">
        <v>7264</v>
      </c>
      <c r="C1649" s="5" t="s">
        <v>7265</v>
      </c>
      <c r="D1649" s="5" t="s">
        <v>7266</v>
      </c>
      <c r="E1649" s="5" t="s">
        <v>7267</v>
      </c>
      <c r="F1649" s="13">
        <f>"0451625781"</f>
      </c>
      <c r="G1649" s="13">
        <f>"9780451625786"</f>
      </c>
      <c r="H1649" s="11">
        <v>0</v>
      </c>
      <c r="I1649" s="14">
        <v>3.96</v>
      </c>
      <c r="J1649" s="7" t="s">
        <v>7268</v>
      </c>
      <c r="K1649" s="5" t="s">
        <v>60</v>
      </c>
      <c r="L1649" s="11">
        <v>144</v>
      </c>
      <c r="M1649" s="11">
        <v>1973</v>
      </c>
      <c r="N1649" s="11">
        <v>1973</v>
      </c>
      <c r="O1649" s="15"/>
      <c r="P1649" s="8">
        <v>44808</v>
      </c>
      <c r="Q1649" s="8"/>
      <c r="R1649" s="8"/>
      <c r="S1649" s="8"/>
      <c r="T1649" s="8"/>
      <c r="U1649" s="8"/>
      <c r="V1649" s="8"/>
      <c r="W1649" s="8"/>
      <c r="X1649" s="8"/>
      <c r="Y1649" s="8"/>
      <c r="Z1649" s="8"/>
      <c r="AA1649" s="8"/>
      <c r="AB1649" s="8"/>
      <c r="AC1649" s="8"/>
      <c r="AD1649" s="8"/>
      <c r="AE1649" s="8"/>
      <c r="AF1649" s="8"/>
      <c r="AG1649" s="8"/>
      <c r="AH1649" s="8"/>
      <c r="AI1649" s="8"/>
      <c r="AJ1649" s="8"/>
      <c r="AK1649" s="8"/>
      <c r="AL1649" s="8"/>
      <c r="AM1649" s="8"/>
      <c r="AN1649" s="8"/>
      <c r="AO1649" s="8"/>
      <c r="AP1649" s="8"/>
      <c r="AQ1649" s="8"/>
      <c r="AR1649" s="8"/>
      <c r="AS1649" s="8"/>
      <c r="AT1649" s="8"/>
      <c r="AU1649" s="8"/>
      <c r="AV1649" s="8"/>
      <c r="AW1649" s="8"/>
      <c r="AX1649" s="4" t="s">
        <v>38</v>
      </c>
      <c r="AY1649" s="5" t="s">
        <v>7269</v>
      </c>
      <c r="AZ1649" s="5" t="s">
        <v>38</v>
      </c>
      <c r="BA1649" s="12"/>
      <c r="BB1649" s="12"/>
      <c r="BC1649" s="12"/>
      <c r="BD1649" s="11">
        <v>0</v>
      </c>
      <c r="BE1649" s="11">
        <v>0</v>
      </c>
    </row>
    <row x14ac:dyDescent="0.25" r="1650" customHeight="1" ht="17.25">
      <c r="A1650" s="11">
        <v>50775914</v>
      </c>
      <c r="B1650" s="4" t="s">
        <v>7270</v>
      </c>
      <c r="C1650" s="5" t="s">
        <v>7271</v>
      </c>
      <c r="D1650" s="5" t="s">
        <v>7272</v>
      </c>
      <c r="E1650" s="5" t="s">
        <v>7273</v>
      </c>
      <c r="F1650" s="13">
        <f>"0198812795"</f>
      </c>
      <c r="G1650" s="13">
        <f>"9780198812791"</f>
      </c>
      <c r="H1650" s="11">
        <v>0</v>
      </c>
      <c r="I1650" s="11">
        <v>4</v>
      </c>
      <c r="J1650" s="7" t="s">
        <v>245</v>
      </c>
      <c r="K1650" s="5" t="s">
        <v>72</v>
      </c>
      <c r="L1650" s="11">
        <v>323</v>
      </c>
      <c r="M1650" s="11">
        <v>2019</v>
      </c>
      <c r="N1650" s="16"/>
      <c r="O1650" s="15"/>
      <c r="P1650" s="8">
        <v>44808</v>
      </c>
      <c r="Q1650" s="8"/>
      <c r="R1650" s="8"/>
      <c r="S1650" s="8"/>
      <c r="T1650" s="8"/>
      <c r="U1650" s="8"/>
      <c r="V1650" s="8"/>
      <c r="W1650" s="8"/>
      <c r="X1650" s="8"/>
      <c r="Y1650" s="8"/>
      <c r="Z1650" s="8"/>
      <c r="AA1650" s="8"/>
      <c r="AB1650" s="8"/>
      <c r="AC1650" s="8"/>
      <c r="AD1650" s="8"/>
      <c r="AE1650" s="8"/>
      <c r="AF1650" s="8"/>
      <c r="AG1650" s="8"/>
      <c r="AH1650" s="8"/>
      <c r="AI1650" s="8"/>
      <c r="AJ1650" s="8"/>
      <c r="AK1650" s="8"/>
      <c r="AL1650" s="8"/>
      <c r="AM1650" s="8"/>
      <c r="AN1650" s="8"/>
      <c r="AO1650" s="8"/>
      <c r="AP1650" s="8"/>
      <c r="AQ1650" s="8"/>
      <c r="AR1650" s="8"/>
      <c r="AS1650" s="8"/>
      <c r="AT1650" s="8"/>
      <c r="AU1650" s="8"/>
      <c r="AV1650" s="8"/>
      <c r="AW1650" s="8"/>
      <c r="AX1650" s="4" t="s">
        <v>38</v>
      </c>
      <c r="AY1650" s="5" t="s">
        <v>7274</v>
      </c>
      <c r="AZ1650" s="5" t="s">
        <v>38</v>
      </c>
      <c r="BA1650" s="12"/>
      <c r="BB1650" s="12"/>
      <c r="BC1650" s="12"/>
      <c r="BD1650" s="11">
        <v>0</v>
      </c>
      <c r="BE1650" s="11">
        <v>0</v>
      </c>
    </row>
    <row x14ac:dyDescent="0.25" r="1651" customHeight="1" ht="17.25">
      <c r="A1651" s="11">
        <v>1900454</v>
      </c>
      <c r="B1651" s="4" t="s">
        <v>7275</v>
      </c>
      <c r="C1651" s="5" t="s">
        <v>7276</v>
      </c>
      <c r="D1651" s="5" t="s">
        <v>7277</v>
      </c>
      <c r="E1651" s="12"/>
      <c r="F1651" s="13">
        <f>""</f>
      </c>
      <c r="G1651" s="13">
        <f>""</f>
      </c>
      <c r="H1651" s="11">
        <v>0</v>
      </c>
      <c r="I1651" s="14">
        <v>3.81</v>
      </c>
      <c r="J1651" s="7" t="s">
        <v>7278</v>
      </c>
      <c r="K1651" s="5" t="s">
        <v>72</v>
      </c>
      <c r="L1651" s="11">
        <v>88</v>
      </c>
      <c r="M1651" s="11">
        <v>1958</v>
      </c>
      <c r="N1651" s="11">
        <v>1927</v>
      </c>
      <c r="O1651" s="15"/>
      <c r="P1651" s="8">
        <v>44808</v>
      </c>
      <c r="Q1651" s="8"/>
      <c r="R1651" s="8"/>
      <c r="S1651" s="8"/>
      <c r="T1651" s="8"/>
      <c r="U1651" s="8"/>
      <c r="V1651" s="8"/>
      <c r="W1651" s="8"/>
      <c r="X1651" s="8"/>
      <c r="Y1651" s="8"/>
      <c r="Z1651" s="8"/>
      <c r="AA1651" s="8"/>
      <c r="AB1651" s="8"/>
      <c r="AC1651" s="8"/>
      <c r="AD1651" s="8"/>
      <c r="AE1651" s="8"/>
      <c r="AF1651" s="8"/>
      <c r="AG1651" s="8"/>
      <c r="AH1651" s="8"/>
      <c r="AI1651" s="8"/>
      <c r="AJ1651" s="8"/>
      <c r="AK1651" s="8"/>
      <c r="AL1651" s="8"/>
      <c r="AM1651" s="8"/>
      <c r="AN1651" s="8"/>
      <c r="AO1651" s="8"/>
      <c r="AP1651" s="8"/>
      <c r="AQ1651" s="8"/>
      <c r="AR1651" s="8"/>
      <c r="AS1651" s="8"/>
      <c r="AT1651" s="8"/>
      <c r="AU1651" s="8"/>
      <c r="AV1651" s="8"/>
      <c r="AW1651" s="8"/>
      <c r="AX1651" s="4" t="s">
        <v>38</v>
      </c>
      <c r="AY1651" s="5" t="s">
        <v>7279</v>
      </c>
      <c r="AZ1651" s="5" t="s">
        <v>38</v>
      </c>
      <c r="BA1651" s="12"/>
      <c r="BB1651" s="12"/>
      <c r="BC1651" s="12"/>
      <c r="BD1651" s="11">
        <v>0</v>
      </c>
      <c r="BE1651" s="11">
        <v>0</v>
      </c>
    </row>
    <row x14ac:dyDescent="0.25" r="1652" customHeight="1" ht="17.25">
      <c r="A1652" s="11">
        <v>17573685</v>
      </c>
      <c r="B1652" s="4" t="s">
        <v>7280</v>
      </c>
      <c r="C1652" s="5" t="s">
        <v>7281</v>
      </c>
      <c r="D1652" s="5" t="s">
        <v>7282</v>
      </c>
      <c r="E1652" s="5" t="s">
        <v>7283</v>
      </c>
      <c r="F1652" s="13">
        <f>"0393346781"</f>
      </c>
      <c r="G1652" s="13">
        <f>"9780393346787"</f>
      </c>
      <c r="H1652" s="11">
        <v>0</v>
      </c>
      <c r="I1652" s="14">
        <v>3.87</v>
      </c>
      <c r="J1652" s="7" t="s">
        <v>144</v>
      </c>
      <c r="K1652" s="5" t="s">
        <v>60</v>
      </c>
      <c r="L1652" s="11">
        <v>562</v>
      </c>
      <c r="M1652" s="11">
        <v>2013</v>
      </c>
      <c r="N1652" s="11">
        <v>1963</v>
      </c>
      <c r="O1652" s="15"/>
      <c r="P1652" s="8">
        <v>44808</v>
      </c>
      <c r="Q1652" s="8"/>
      <c r="R1652" s="8"/>
      <c r="S1652" s="8"/>
      <c r="T1652" s="8"/>
      <c r="U1652" s="8"/>
      <c r="V1652" s="8"/>
      <c r="W1652" s="8"/>
      <c r="X1652" s="8"/>
      <c r="Y1652" s="8"/>
      <c r="Z1652" s="8"/>
      <c r="AA1652" s="8"/>
      <c r="AB1652" s="8"/>
      <c r="AC1652" s="8"/>
      <c r="AD1652" s="8"/>
      <c r="AE1652" s="8"/>
      <c r="AF1652" s="8"/>
      <c r="AG1652" s="8"/>
      <c r="AH1652" s="8"/>
      <c r="AI1652" s="8"/>
      <c r="AJ1652" s="8"/>
      <c r="AK1652" s="8"/>
      <c r="AL1652" s="8"/>
      <c r="AM1652" s="8"/>
      <c r="AN1652" s="8"/>
      <c r="AO1652" s="8"/>
      <c r="AP1652" s="8"/>
      <c r="AQ1652" s="8"/>
      <c r="AR1652" s="8"/>
      <c r="AS1652" s="8"/>
      <c r="AT1652" s="8"/>
      <c r="AU1652" s="8"/>
      <c r="AV1652" s="8"/>
      <c r="AW1652" s="8"/>
      <c r="AX1652" s="4" t="s">
        <v>38</v>
      </c>
      <c r="AY1652" s="5" t="s">
        <v>7284</v>
      </c>
      <c r="AZ1652" s="5" t="s">
        <v>38</v>
      </c>
      <c r="BA1652" s="12"/>
      <c r="BB1652" s="12"/>
      <c r="BC1652" s="12"/>
      <c r="BD1652" s="11">
        <v>0</v>
      </c>
      <c r="BE1652" s="11">
        <v>0</v>
      </c>
    </row>
    <row x14ac:dyDescent="0.25" r="1653" customHeight="1" ht="17.25">
      <c r="A1653" s="11">
        <v>931984</v>
      </c>
      <c r="B1653" s="4" t="s">
        <v>7285</v>
      </c>
      <c r="C1653" s="5" t="s">
        <v>7286</v>
      </c>
      <c r="D1653" s="5" t="s">
        <v>7287</v>
      </c>
      <c r="E1653" s="12"/>
      <c r="F1653" s="13">
        <f>"0385094027"</f>
      </c>
      <c r="G1653" s="13">
        <f>"9780385094023"</f>
      </c>
      <c r="H1653" s="11">
        <v>0</v>
      </c>
      <c r="I1653" s="14">
        <v>4.06</v>
      </c>
      <c r="J1653" s="7" t="s">
        <v>4580</v>
      </c>
      <c r="K1653" s="5" t="s">
        <v>60</v>
      </c>
      <c r="L1653" s="11">
        <v>259</v>
      </c>
      <c r="M1653" s="11">
        <v>1959</v>
      </c>
      <c r="N1653" s="11">
        <v>1959</v>
      </c>
      <c r="O1653" s="15"/>
      <c r="P1653" s="8">
        <v>44803</v>
      </c>
      <c r="Q1653" s="8"/>
      <c r="R1653" s="8"/>
      <c r="S1653" s="8"/>
      <c r="T1653" s="8"/>
      <c r="U1653" s="8"/>
      <c r="V1653" s="8"/>
      <c r="W1653" s="8"/>
      <c r="X1653" s="8"/>
      <c r="Y1653" s="8"/>
      <c r="Z1653" s="8"/>
      <c r="AA1653" s="8"/>
      <c r="AB1653" s="8"/>
      <c r="AC1653" s="8"/>
      <c r="AD1653" s="8"/>
      <c r="AE1653" s="8"/>
      <c r="AF1653" s="8"/>
      <c r="AG1653" s="8"/>
      <c r="AH1653" s="8"/>
      <c r="AI1653" s="8"/>
      <c r="AJ1653" s="8"/>
      <c r="AK1653" s="8"/>
      <c r="AL1653" s="8"/>
      <c r="AM1653" s="8"/>
      <c r="AN1653" s="8"/>
      <c r="AO1653" s="8"/>
      <c r="AP1653" s="8"/>
      <c r="AQ1653" s="8"/>
      <c r="AR1653" s="8"/>
      <c r="AS1653" s="8"/>
      <c r="AT1653" s="8"/>
      <c r="AU1653" s="8"/>
      <c r="AV1653" s="8"/>
      <c r="AW1653" s="8"/>
      <c r="AX1653" s="4" t="s">
        <v>38</v>
      </c>
      <c r="AY1653" s="5" t="s">
        <v>7288</v>
      </c>
      <c r="AZ1653" s="5" t="s">
        <v>38</v>
      </c>
      <c r="BA1653" s="12"/>
      <c r="BB1653" s="12"/>
      <c r="BC1653" s="12"/>
      <c r="BD1653" s="11">
        <v>0</v>
      </c>
      <c r="BE1653" s="11">
        <v>0</v>
      </c>
    </row>
    <row x14ac:dyDescent="0.25" r="1654" customHeight="1" ht="17.25">
      <c r="A1654" s="11">
        <v>436108</v>
      </c>
      <c r="B1654" s="4" t="s">
        <v>7289</v>
      </c>
      <c r="C1654" s="5" t="s">
        <v>7290</v>
      </c>
      <c r="D1654" s="5" t="s">
        <v>7291</v>
      </c>
      <c r="E1654" s="12"/>
      <c r="F1654" s="13">
        <f>"0226065588"</f>
      </c>
      <c r="G1654" s="13">
        <f>"9780226065588"</f>
      </c>
      <c r="H1654" s="11">
        <v>0</v>
      </c>
      <c r="I1654" s="14">
        <v>4.01</v>
      </c>
      <c r="J1654" s="7" t="s">
        <v>255</v>
      </c>
      <c r="K1654" s="5" t="s">
        <v>60</v>
      </c>
      <c r="L1654" s="11">
        <v>552</v>
      </c>
      <c r="M1654" s="11">
        <v>1983</v>
      </c>
      <c r="N1654" s="11">
        <v>1961</v>
      </c>
      <c r="O1654" s="15"/>
      <c r="P1654" s="8">
        <v>44802</v>
      </c>
      <c r="Q1654" s="8"/>
      <c r="R1654" s="8"/>
      <c r="S1654" s="8"/>
      <c r="T1654" s="8"/>
      <c r="U1654" s="8"/>
      <c r="V1654" s="8"/>
      <c r="W1654" s="8"/>
      <c r="X1654" s="8"/>
      <c r="Y1654" s="8"/>
      <c r="Z1654" s="8"/>
      <c r="AA1654" s="8"/>
      <c r="AB1654" s="8"/>
      <c r="AC1654" s="8"/>
      <c r="AD1654" s="8"/>
      <c r="AE1654" s="8"/>
      <c r="AF1654" s="8"/>
      <c r="AG1654" s="8"/>
      <c r="AH1654" s="8"/>
      <c r="AI1654" s="8"/>
      <c r="AJ1654" s="8"/>
      <c r="AK1654" s="8"/>
      <c r="AL1654" s="8"/>
      <c r="AM1654" s="8"/>
      <c r="AN1654" s="8"/>
      <c r="AO1654" s="8"/>
      <c r="AP1654" s="8"/>
      <c r="AQ1654" s="8"/>
      <c r="AR1654" s="8"/>
      <c r="AS1654" s="8"/>
      <c r="AT1654" s="8"/>
      <c r="AU1654" s="8"/>
      <c r="AV1654" s="8"/>
      <c r="AW1654" s="8"/>
      <c r="AX1654" s="4" t="s">
        <v>38</v>
      </c>
      <c r="AY1654" s="5" t="s">
        <v>7292</v>
      </c>
      <c r="AZ1654" s="5" t="s">
        <v>38</v>
      </c>
      <c r="BA1654" s="12"/>
      <c r="BB1654" s="12"/>
      <c r="BC1654" s="12"/>
      <c r="BD1654" s="11">
        <v>0</v>
      </c>
      <c r="BE1654" s="11">
        <v>0</v>
      </c>
    </row>
    <row x14ac:dyDescent="0.25" r="1655" customHeight="1" ht="17.25">
      <c r="A1655" s="11">
        <v>154643</v>
      </c>
      <c r="B1655" s="4" t="s">
        <v>7293</v>
      </c>
      <c r="C1655" s="5" t="s">
        <v>7294</v>
      </c>
      <c r="D1655" s="5" t="s">
        <v>7295</v>
      </c>
      <c r="E1655" s="12"/>
      <c r="F1655" s="13">
        <f>""</f>
      </c>
      <c r="G1655" s="13">
        <f>""</f>
      </c>
      <c r="H1655" s="11">
        <v>0</v>
      </c>
      <c r="I1655" s="14">
        <v>4.05</v>
      </c>
      <c r="J1655" s="7" t="s">
        <v>6531</v>
      </c>
      <c r="K1655" s="5" t="s">
        <v>60</v>
      </c>
      <c r="L1655" s="11">
        <v>224</v>
      </c>
      <c r="M1655" s="11">
        <v>1991</v>
      </c>
      <c r="N1655" s="11">
        <v>1991</v>
      </c>
      <c r="O1655" s="15"/>
      <c r="P1655" s="8">
        <v>44802</v>
      </c>
      <c r="Q1655" s="8"/>
      <c r="R1655" s="8"/>
      <c r="S1655" s="8"/>
      <c r="T1655" s="8"/>
      <c r="U1655" s="8"/>
      <c r="V1655" s="8"/>
      <c r="W1655" s="8"/>
      <c r="X1655" s="8"/>
      <c r="Y1655" s="8"/>
      <c r="Z1655" s="8"/>
      <c r="AA1655" s="8"/>
      <c r="AB1655" s="8"/>
      <c r="AC1655" s="8"/>
      <c r="AD1655" s="8"/>
      <c r="AE1655" s="8"/>
      <c r="AF1655" s="8"/>
      <c r="AG1655" s="8"/>
      <c r="AH1655" s="8"/>
      <c r="AI1655" s="8"/>
      <c r="AJ1655" s="8"/>
      <c r="AK1655" s="8"/>
      <c r="AL1655" s="8"/>
      <c r="AM1655" s="8"/>
      <c r="AN1655" s="8"/>
      <c r="AO1655" s="8"/>
      <c r="AP1655" s="8"/>
      <c r="AQ1655" s="8"/>
      <c r="AR1655" s="8"/>
      <c r="AS1655" s="8"/>
      <c r="AT1655" s="8"/>
      <c r="AU1655" s="8"/>
      <c r="AV1655" s="8"/>
      <c r="AW1655" s="8"/>
      <c r="AX1655" s="4" t="s">
        <v>38</v>
      </c>
      <c r="AY1655" s="5" t="s">
        <v>7296</v>
      </c>
      <c r="AZ1655" s="5" t="s">
        <v>38</v>
      </c>
      <c r="BA1655" s="12"/>
      <c r="BB1655" s="12"/>
      <c r="BC1655" s="12"/>
      <c r="BD1655" s="11">
        <v>0</v>
      </c>
      <c r="BE1655" s="11">
        <v>0</v>
      </c>
    </row>
    <row x14ac:dyDescent="0.25" r="1656" customHeight="1" ht="17.25">
      <c r="A1656" s="11">
        <v>55405181</v>
      </c>
      <c r="B1656" s="4" t="s">
        <v>7297</v>
      </c>
      <c r="C1656" s="5" t="s">
        <v>6564</v>
      </c>
      <c r="D1656" s="5" t="s">
        <v>6565</v>
      </c>
      <c r="E1656" s="12"/>
      <c r="F1656" s="13">
        <f>"1566896150"</f>
      </c>
      <c r="G1656" s="13">
        <f>"9781566896153"</f>
      </c>
      <c r="H1656" s="11">
        <v>0</v>
      </c>
      <c r="I1656" s="14">
        <v>4.12</v>
      </c>
      <c r="J1656" s="7" t="s">
        <v>4035</v>
      </c>
      <c r="K1656" s="5" t="s">
        <v>96</v>
      </c>
      <c r="L1656" s="11">
        <v>254</v>
      </c>
      <c r="M1656" s="11">
        <v>2021</v>
      </c>
      <c r="N1656" s="11">
        <v>2021</v>
      </c>
      <c r="O1656" s="15"/>
      <c r="P1656" s="8">
        <v>44801</v>
      </c>
      <c r="Q1656" s="8"/>
      <c r="R1656" s="8"/>
      <c r="S1656" s="8"/>
      <c r="T1656" s="8"/>
      <c r="U1656" s="8"/>
      <c r="V1656" s="8"/>
      <c r="W1656" s="8"/>
      <c r="X1656" s="8"/>
      <c r="Y1656" s="8"/>
      <c r="Z1656" s="8"/>
      <c r="AA1656" s="8"/>
      <c r="AB1656" s="8"/>
      <c r="AC1656" s="8"/>
      <c r="AD1656" s="8"/>
      <c r="AE1656" s="8"/>
      <c r="AF1656" s="8"/>
      <c r="AG1656" s="8"/>
      <c r="AH1656" s="8"/>
      <c r="AI1656" s="8"/>
      <c r="AJ1656" s="8"/>
      <c r="AK1656" s="8"/>
      <c r="AL1656" s="8"/>
      <c r="AM1656" s="8"/>
      <c r="AN1656" s="8"/>
      <c r="AO1656" s="8"/>
      <c r="AP1656" s="8"/>
      <c r="AQ1656" s="8"/>
      <c r="AR1656" s="8"/>
      <c r="AS1656" s="8"/>
      <c r="AT1656" s="8"/>
      <c r="AU1656" s="8"/>
      <c r="AV1656" s="8"/>
      <c r="AW1656" s="8"/>
      <c r="AX1656" s="4" t="s">
        <v>38</v>
      </c>
      <c r="AY1656" s="5" t="s">
        <v>7298</v>
      </c>
      <c r="AZ1656" s="5" t="s">
        <v>38</v>
      </c>
      <c r="BA1656" s="12"/>
      <c r="BB1656" s="12"/>
      <c r="BC1656" s="12"/>
      <c r="BD1656" s="11">
        <v>0</v>
      </c>
      <c r="BE1656" s="11">
        <v>0</v>
      </c>
    </row>
    <row x14ac:dyDescent="0.25" r="1657" customHeight="1" ht="17.25">
      <c r="A1657" s="11">
        <v>58309618</v>
      </c>
      <c r="B1657" s="4" t="s">
        <v>7299</v>
      </c>
      <c r="C1657" s="5" t="s">
        <v>7300</v>
      </c>
      <c r="D1657" s="5" t="s">
        <v>7301</v>
      </c>
      <c r="E1657" s="12"/>
      <c r="F1657" s="13">
        <f>"1496226496"</f>
      </c>
      <c r="G1657" s="13">
        <f>"9781496226495"</f>
      </c>
      <c r="H1657" s="11">
        <v>0</v>
      </c>
      <c r="I1657" s="14">
        <v>4.18</v>
      </c>
      <c r="J1657" s="7" t="s">
        <v>4895</v>
      </c>
      <c r="K1657" s="5" t="s">
        <v>60</v>
      </c>
      <c r="L1657" s="11">
        <v>198</v>
      </c>
      <c r="M1657" s="11">
        <v>2022</v>
      </c>
      <c r="N1657" s="16"/>
      <c r="O1657" s="15"/>
      <c r="P1657" s="8">
        <v>44798</v>
      </c>
      <c r="Q1657" s="8"/>
      <c r="R1657" s="8"/>
      <c r="S1657" s="8"/>
      <c r="T1657" s="8"/>
      <c r="U1657" s="8"/>
      <c r="V1657" s="8"/>
      <c r="W1657" s="8"/>
      <c r="X1657" s="8"/>
      <c r="Y1657" s="8"/>
      <c r="Z1657" s="8"/>
      <c r="AA1657" s="8"/>
      <c r="AB1657" s="8"/>
      <c r="AC1657" s="8"/>
      <c r="AD1657" s="8"/>
      <c r="AE1657" s="8"/>
      <c r="AF1657" s="8"/>
      <c r="AG1657" s="8"/>
      <c r="AH1657" s="8"/>
      <c r="AI1657" s="8"/>
      <c r="AJ1657" s="8"/>
      <c r="AK1657" s="8"/>
      <c r="AL1657" s="8"/>
      <c r="AM1657" s="8"/>
      <c r="AN1657" s="8"/>
      <c r="AO1657" s="8"/>
      <c r="AP1657" s="8"/>
      <c r="AQ1657" s="8"/>
      <c r="AR1657" s="8"/>
      <c r="AS1657" s="8"/>
      <c r="AT1657" s="8"/>
      <c r="AU1657" s="8"/>
      <c r="AV1657" s="8"/>
      <c r="AW1657" s="8"/>
      <c r="AX1657" s="4" t="s">
        <v>38</v>
      </c>
      <c r="AY1657" s="5" t="s">
        <v>7302</v>
      </c>
      <c r="AZ1657" s="5" t="s">
        <v>38</v>
      </c>
      <c r="BA1657" s="12"/>
      <c r="BB1657" s="12"/>
      <c r="BC1657" s="12"/>
      <c r="BD1657" s="11">
        <v>0</v>
      </c>
      <c r="BE1657" s="11">
        <v>0</v>
      </c>
    </row>
    <row x14ac:dyDescent="0.25" r="1658" customHeight="1" ht="17.25">
      <c r="A1658" s="11">
        <v>1372009</v>
      </c>
      <c r="B1658" s="4" t="s">
        <v>7303</v>
      </c>
      <c r="C1658" s="5" t="s">
        <v>7304</v>
      </c>
      <c r="D1658" s="5" t="s">
        <v>7305</v>
      </c>
      <c r="E1658" s="12"/>
      <c r="F1658" s="13">
        <f>"0816022682"</f>
      </c>
      <c r="G1658" s="13">
        <f>"9780816022687"</f>
      </c>
      <c r="H1658" s="11">
        <v>0</v>
      </c>
      <c r="I1658" s="14">
        <v>4.04</v>
      </c>
      <c r="J1658" s="7" t="s">
        <v>7306</v>
      </c>
      <c r="K1658" s="5" t="s">
        <v>60</v>
      </c>
      <c r="L1658" s="11">
        <v>400</v>
      </c>
      <c r="M1658" s="11">
        <v>1990</v>
      </c>
      <c r="N1658" s="11">
        <v>1989</v>
      </c>
      <c r="O1658" s="15"/>
      <c r="P1658" s="8">
        <v>44790</v>
      </c>
      <c r="Q1658" s="8"/>
      <c r="R1658" s="8"/>
      <c r="S1658" s="8"/>
      <c r="T1658" s="8"/>
      <c r="U1658" s="8"/>
      <c r="V1658" s="8"/>
      <c r="W1658" s="8"/>
      <c r="X1658" s="8"/>
      <c r="Y1658" s="8"/>
      <c r="Z1658" s="8"/>
      <c r="AA1658" s="8"/>
      <c r="AB1658" s="8"/>
      <c r="AC1658" s="8"/>
      <c r="AD1658" s="8"/>
      <c r="AE1658" s="8"/>
      <c r="AF1658" s="8"/>
      <c r="AG1658" s="8"/>
      <c r="AH1658" s="8"/>
      <c r="AI1658" s="8"/>
      <c r="AJ1658" s="8"/>
      <c r="AK1658" s="8"/>
      <c r="AL1658" s="8"/>
      <c r="AM1658" s="8"/>
      <c r="AN1658" s="8"/>
      <c r="AO1658" s="8"/>
      <c r="AP1658" s="8"/>
      <c r="AQ1658" s="8"/>
      <c r="AR1658" s="8"/>
      <c r="AS1658" s="8"/>
      <c r="AT1658" s="8"/>
      <c r="AU1658" s="8"/>
      <c r="AV1658" s="8"/>
      <c r="AW1658" s="8"/>
      <c r="AX1658" s="4" t="s">
        <v>38</v>
      </c>
      <c r="AY1658" s="5" t="s">
        <v>7307</v>
      </c>
      <c r="AZ1658" s="5" t="s">
        <v>38</v>
      </c>
      <c r="BA1658" s="12"/>
      <c r="BB1658" s="12"/>
      <c r="BC1658" s="12"/>
      <c r="BD1658" s="11">
        <v>0</v>
      </c>
      <c r="BE1658" s="11">
        <v>0</v>
      </c>
    </row>
    <row x14ac:dyDescent="0.25" r="1659" customHeight="1" ht="17.25">
      <c r="A1659" s="11">
        <v>731697</v>
      </c>
      <c r="B1659" s="4" t="s">
        <v>7308</v>
      </c>
      <c r="C1659" s="5" t="s">
        <v>2956</v>
      </c>
      <c r="D1659" s="5" t="s">
        <v>2957</v>
      </c>
      <c r="E1659" s="12"/>
      <c r="F1659" s="13">
        <f>"0140440739"</f>
      </c>
      <c r="G1659" s="13">
        <f>"9780140440737"</f>
      </c>
      <c r="H1659" s="11">
        <v>0</v>
      </c>
      <c r="I1659" s="14">
        <v>4.13</v>
      </c>
      <c r="J1659" s="7" t="s">
        <v>263</v>
      </c>
      <c r="K1659" s="5" t="s">
        <v>60</v>
      </c>
      <c r="L1659" s="11">
        <v>320</v>
      </c>
      <c r="M1659" s="11">
        <v>1988</v>
      </c>
      <c r="N1659" s="11">
        <v>1565</v>
      </c>
      <c r="O1659" s="15"/>
      <c r="P1659" s="8">
        <v>44790</v>
      </c>
      <c r="Q1659" s="8"/>
      <c r="R1659" s="8"/>
      <c r="S1659" s="8"/>
      <c r="T1659" s="8"/>
      <c r="U1659" s="8"/>
      <c r="V1659" s="8"/>
      <c r="W1659" s="8"/>
      <c r="X1659" s="8"/>
      <c r="Y1659" s="8"/>
      <c r="Z1659" s="8"/>
      <c r="AA1659" s="8"/>
      <c r="AB1659" s="8"/>
      <c r="AC1659" s="8"/>
      <c r="AD1659" s="8"/>
      <c r="AE1659" s="8"/>
      <c r="AF1659" s="8"/>
      <c r="AG1659" s="8"/>
      <c r="AH1659" s="8"/>
      <c r="AI1659" s="8"/>
      <c r="AJ1659" s="8"/>
      <c r="AK1659" s="8"/>
      <c r="AL1659" s="8"/>
      <c r="AM1659" s="8"/>
      <c r="AN1659" s="8"/>
      <c r="AO1659" s="8"/>
      <c r="AP1659" s="8"/>
      <c r="AQ1659" s="8"/>
      <c r="AR1659" s="8"/>
      <c r="AS1659" s="8"/>
      <c r="AT1659" s="8"/>
      <c r="AU1659" s="8"/>
      <c r="AV1659" s="8"/>
      <c r="AW1659" s="8"/>
      <c r="AX1659" s="4" t="s">
        <v>38</v>
      </c>
      <c r="AY1659" s="5" t="s">
        <v>7309</v>
      </c>
      <c r="AZ1659" s="5" t="s">
        <v>38</v>
      </c>
      <c r="BA1659" s="12"/>
      <c r="BB1659" s="12"/>
      <c r="BC1659" s="12"/>
      <c r="BD1659" s="11">
        <v>0</v>
      </c>
      <c r="BE1659" s="11">
        <v>0</v>
      </c>
    </row>
    <row x14ac:dyDescent="0.25" r="1660" customHeight="1" ht="17.25">
      <c r="A1660" s="11">
        <v>1453576</v>
      </c>
      <c r="B1660" s="4" t="s">
        <v>7310</v>
      </c>
      <c r="C1660" s="5" t="s">
        <v>7311</v>
      </c>
      <c r="D1660" s="5" t="s">
        <v>7312</v>
      </c>
      <c r="E1660" s="12"/>
      <c r="F1660" s="13">
        <f>"0553260855"</f>
      </c>
      <c r="G1660" s="13">
        <f>"9780553260854"</f>
      </c>
      <c r="H1660" s="11">
        <v>0</v>
      </c>
      <c r="I1660" s="14">
        <v>4.23</v>
      </c>
      <c r="J1660" s="7" t="s">
        <v>1872</v>
      </c>
      <c r="K1660" s="5" t="s">
        <v>346</v>
      </c>
      <c r="L1660" s="11">
        <v>304</v>
      </c>
      <c r="M1660" s="11">
        <v>1989</v>
      </c>
      <c r="N1660" s="11">
        <v>1971</v>
      </c>
      <c r="O1660" s="15"/>
      <c r="P1660" s="8">
        <v>44790</v>
      </c>
      <c r="Q1660" s="8"/>
      <c r="R1660" s="8"/>
      <c r="S1660" s="8"/>
      <c r="T1660" s="8"/>
      <c r="U1660" s="8"/>
      <c r="V1660" s="8"/>
      <c r="W1660" s="8"/>
      <c r="X1660" s="8"/>
      <c r="Y1660" s="8"/>
      <c r="Z1660" s="8"/>
      <c r="AA1660" s="8"/>
      <c r="AB1660" s="8"/>
      <c r="AC1660" s="8"/>
      <c r="AD1660" s="8"/>
      <c r="AE1660" s="8"/>
      <c r="AF1660" s="8"/>
      <c r="AG1660" s="8"/>
      <c r="AH1660" s="8"/>
      <c r="AI1660" s="8"/>
      <c r="AJ1660" s="8"/>
      <c r="AK1660" s="8"/>
      <c r="AL1660" s="8"/>
      <c r="AM1660" s="8"/>
      <c r="AN1660" s="8"/>
      <c r="AO1660" s="8"/>
      <c r="AP1660" s="8"/>
      <c r="AQ1660" s="8"/>
      <c r="AR1660" s="8"/>
      <c r="AS1660" s="8"/>
      <c r="AT1660" s="8"/>
      <c r="AU1660" s="8"/>
      <c r="AV1660" s="8"/>
      <c r="AW1660" s="8"/>
      <c r="AX1660" s="4" t="s">
        <v>38</v>
      </c>
      <c r="AY1660" s="5" t="s">
        <v>7313</v>
      </c>
      <c r="AZ1660" s="5" t="s">
        <v>38</v>
      </c>
      <c r="BA1660" s="12"/>
      <c r="BB1660" s="12"/>
      <c r="BC1660" s="12"/>
      <c r="BD1660" s="11">
        <v>0</v>
      </c>
      <c r="BE1660" s="11">
        <v>0</v>
      </c>
    </row>
    <row x14ac:dyDescent="0.25" r="1661" customHeight="1" ht="17.25">
      <c r="A1661" s="11">
        <v>35805856</v>
      </c>
      <c r="B1661" s="4" t="s">
        <v>7314</v>
      </c>
      <c r="C1661" s="5" t="s">
        <v>7315</v>
      </c>
      <c r="D1661" s="5" t="s">
        <v>7316</v>
      </c>
      <c r="E1661" s="5" t="s">
        <v>7317</v>
      </c>
      <c r="F1661" s="13">
        <f>"1524733474"</f>
      </c>
      <c r="G1661" s="13">
        <f>"9781524733476"</f>
      </c>
      <c r="H1661" s="11">
        <v>0</v>
      </c>
      <c r="I1661" s="14">
        <v>4.17</v>
      </c>
      <c r="J1661" s="7" t="s">
        <v>665</v>
      </c>
      <c r="K1661" s="5" t="s">
        <v>72</v>
      </c>
      <c r="L1661" s="11">
        <v>256</v>
      </c>
      <c r="M1661" s="11">
        <v>2018</v>
      </c>
      <c r="N1661" s="11">
        <v>-400</v>
      </c>
      <c r="O1661" s="15"/>
      <c r="P1661" s="9">
        <v>44176</v>
      </c>
      <c r="Q1661" s="9"/>
      <c r="R1661" s="9"/>
      <c r="S1661" s="9"/>
      <c r="T1661" s="9"/>
      <c r="U1661" s="9"/>
      <c r="V1661" s="9"/>
      <c r="W1661" s="9"/>
      <c r="X1661" s="9"/>
      <c r="Y1661" s="9"/>
      <c r="Z1661" s="9"/>
      <c r="AA1661" s="9"/>
      <c r="AB1661" s="9"/>
      <c r="AC1661" s="9"/>
      <c r="AD1661" s="9"/>
      <c r="AE1661" s="9"/>
      <c r="AF1661" s="9"/>
      <c r="AG1661" s="9"/>
      <c r="AH1661" s="9"/>
      <c r="AI1661" s="9"/>
      <c r="AJ1661" s="9"/>
      <c r="AK1661" s="9"/>
      <c r="AL1661" s="9"/>
      <c r="AM1661" s="9"/>
      <c r="AN1661" s="9"/>
      <c r="AO1661" s="9"/>
      <c r="AP1661" s="9"/>
      <c r="AQ1661" s="9"/>
      <c r="AR1661" s="9"/>
      <c r="AS1661" s="9"/>
      <c r="AT1661" s="9"/>
      <c r="AU1661" s="9"/>
      <c r="AV1661" s="9"/>
      <c r="AW1661" s="9"/>
      <c r="AX1661" s="4" t="s">
        <v>38</v>
      </c>
      <c r="AY1661" s="5" t="s">
        <v>7318</v>
      </c>
      <c r="AZ1661" s="5" t="s">
        <v>38</v>
      </c>
      <c r="BA1661" s="12"/>
      <c r="BB1661" s="12"/>
      <c r="BC1661" s="12"/>
      <c r="BD1661" s="11">
        <v>0</v>
      </c>
      <c r="BE1661" s="11">
        <v>0</v>
      </c>
    </row>
    <row x14ac:dyDescent="0.25" r="1662" customHeight="1" ht="17.25">
      <c r="A1662" s="11">
        <v>56213211</v>
      </c>
      <c r="B1662" s="4" t="s">
        <v>7319</v>
      </c>
      <c r="C1662" s="5" t="s">
        <v>7320</v>
      </c>
      <c r="D1662" s="5" t="s">
        <v>7321</v>
      </c>
      <c r="E1662" s="12"/>
      <c r="F1662" s="13">
        <f>"0691204454"</f>
      </c>
      <c r="G1662" s="13">
        <f>"9780691204451"</f>
      </c>
      <c r="H1662" s="11">
        <v>0</v>
      </c>
      <c r="I1662" s="14">
        <v>3.9</v>
      </c>
      <c r="J1662" s="7" t="s">
        <v>172</v>
      </c>
      <c r="K1662" s="5" t="s">
        <v>72</v>
      </c>
      <c r="L1662" s="11">
        <v>256</v>
      </c>
      <c r="M1662" s="11">
        <v>2021</v>
      </c>
      <c r="N1662" s="11">
        <v>2021</v>
      </c>
      <c r="O1662" s="15"/>
      <c r="P1662" s="8">
        <v>44631</v>
      </c>
      <c r="Q1662" s="8"/>
      <c r="R1662" s="8"/>
      <c r="S1662" s="8"/>
      <c r="T1662" s="8"/>
      <c r="U1662" s="8"/>
      <c r="V1662" s="8"/>
      <c r="W1662" s="8"/>
      <c r="X1662" s="8"/>
      <c r="Y1662" s="8"/>
      <c r="Z1662" s="8"/>
      <c r="AA1662" s="8"/>
      <c r="AB1662" s="8"/>
      <c r="AC1662" s="8"/>
      <c r="AD1662" s="8"/>
      <c r="AE1662" s="8"/>
      <c r="AF1662" s="8"/>
      <c r="AG1662" s="8"/>
      <c r="AH1662" s="8"/>
      <c r="AI1662" s="8"/>
      <c r="AJ1662" s="8"/>
      <c r="AK1662" s="8"/>
      <c r="AL1662" s="8"/>
      <c r="AM1662" s="8"/>
      <c r="AN1662" s="8"/>
      <c r="AO1662" s="8"/>
      <c r="AP1662" s="8"/>
      <c r="AQ1662" s="8"/>
      <c r="AR1662" s="8"/>
      <c r="AS1662" s="8"/>
      <c r="AT1662" s="8"/>
      <c r="AU1662" s="8"/>
      <c r="AV1662" s="8"/>
      <c r="AW1662" s="8"/>
      <c r="AX1662" s="4" t="s">
        <v>38</v>
      </c>
      <c r="AY1662" s="5" t="s">
        <v>7322</v>
      </c>
      <c r="AZ1662" s="5" t="s">
        <v>38</v>
      </c>
      <c r="BA1662" s="12"/>
      <c r="BB1662" s="12"/>
      <c r="BC1662" s="12"/>
      <c r="BD1662" s="11">
        <v>0</v>
      </c>
      <c r="BE1662" s="11">
        <v>0</v>
      </c>
    </row>
    <row x14ac:dyDescent="0.25" r="1663" customHeight="1" ht="17.25">
      <c r="A1663" s="11">
        <v>34217599</v>
      </c>
      <c r="B1663" s="4" t="s">
        <v>7323</v>
      </c>
      <c r="C1663" s="5" t="s">
        <v>7324</v>
      </c>
      <c r="D1663" s="5" t="s">
        <v>7325</v>
      </c>
      <c r="E1663" s="12"/>
      <c r="F1663" s="13">
        <f>"0062694057"</f>
      </c>
      <c r="G1663" s="13">
        <f>"9780062694058"</f>
      </c>
      <c r="H1663" s="11">
        <v>0</v>
      </c>
      <c r="I1663" s="14">
        <v>3.59</v>
      </c>
      <c r="J1663" s="7" t="s">
        <v>225</v>
      </c>
      <c r="K1663" s="5" t="s">
        <v>72</v>
      </c>
      <c r="L1663" s="11">
        <v>263</v>
      </c>
      <c r="M1663" s="11">
        <v>2017</v>
      </c>
      <c r="N1663" s="11">
        <v>2017</v>
      </c>
      <c r="O1663" s="15"/>
      <c r="P1663" s="8">
        <v>44625</v>
      </c>
      <c r="Q1663" s="8"/>
      <c r="R1663" s="8"/>
      <c r="S1663" s="8"/>
      <c r="T1663" s="8"/>
      <c r="U1663" s="8"/>
      <c r="V1663" s="8"/>
      <c r="W1663" s="8"/>
      <c r="X1663" s="8"/>
      <c r="Y1663" s="8"/>
      <c r="Z1663" s="8"/>
      <c r="AA1663" s="8"/>
      <c r="AB1663" s="8"/>
      <c r="AC1663" s="8"/>
      <c r="AD1663" s="8"/>
      <c r="AE1663" s="8"/>
      <c r="AF1663" s="8"/>
      <c r="AG1663" s="8"/>
      <c r="AH1663" s="8"/>
      <c r="AI1663" s="8"/>
      <c r="AJ1663" s="8"/>
      <c r="AK1663" s="8"/>
      <c r="AL1663" s="8"/>
      <c r="AM1663" s="8"/>
      <c r="AN1663" s="8"/>
      <c r="AO1663" s="8"/>
      <c r="AP1663" s="8"/>
      <c r="AQ1663" s="8"/>
      <c r="AR1663" s="8"/>
      <c r="AS1663" s="8"/>
      <c r="AT1663" s="8"/>
      <c r="AU1663" s="8"/>
      <c r="AV1663" s="8"/>
      <c r="AW1663" s="8"/>
      <c r="AX1663" s="4" t="s">
        <v>38</v>
      </c>
      <c r="AY1663" s="5" t="s">
        <v>7326</v>
      </c>
      <c r="AZ1663" s="5" t="s">
        <v>38</v>
      </c>
      <c r="BA1663" s="12"/>
      <c r="BB1663" s="12"/>
      <c r="BC1663" s="12"/>
      <c r="BD1663" s="11">
        <v>0</v>
      </c>
      <c r="BE1663" s="11">
        <v>0</v>
      </c>
    </row>
    <row x14ac:dyDescent="0.25" r="1664" customHeight="1" ht="17.25">
      <c r="A1664" s="11">
        <v>676701</v>
      </c>
      <c r="B1664" s="4" t="s">
        <v>7327</v>
      </c>
      <c r="C1664" s="5" t="s">
        <v>7328</v>
      </c>
      <c r="D1664" s="5" t="s">
        <v>7329</v>
      </c>
      <c r="E1664" s="5" t="s">
        <v>7330</v>
      </c>
      <c r="F1664" s="13">
        <f>"0156001373"</f>
      </c>
      <c r="G1664" s="13">
        <f>"9780156001373"</f>
      </c>
      <c r="H1664" s="11">
        <v>0</v>
      </c>
      <c r="I1664" s="14">
        <v>3.88</v>
      </c>
      <c r="J1664" s="7" t="s">
        <v>2445</v>
      </c>
      <c r="K1664" s="5" t="s">
        <v>60</v>
      </c>
      <c r="L1664" s="11">
        <v>288</v>
      </c>
      <c r="M1664" s="11">
        <v>1995</v>
      </c>
      <c r="N1664" s="11">
        <v>1993</v>
      </c>
      <c r="O1664" s="15"/>
      <c r="P1664" s="8">
        <v>44563</v>
      </c>
      <c r="Q1664" s="8"/>
      <c r="R1664" s="8"/>
      <c r="S1664" s="8"/>
      <c r="T1664" s="8"/>
      <c r="U1664" s="8"/>
      <c r="V1664" s="8"/>
      <c r="W1664" s="8"/>
      <c r="X1664" s="8"/>
      <c r="Y1664" s="8"/>
      <c r="Z1664" s="8"/>
      <c r="AA1664" s="8"/>
      <c r="AB1664" s="8"/>
      <c r="AC1664" s="8"/>
      <c r="AD1664" s="8"/>
      <c r="AE1664" s="8"/>
      <c r="AF1664" s="8"/>
      <c r="AG1664" s="8"/>
      <c r="AH1664" s="8"/>
      <c r="AI1664" s="8"/>
      <c r="AJ1664" s="8"/>
      <c r="AK1664" s="8"/>
      <c r="AL1664" s="8"/>
      <c r="AM1664" s="8"/>
      <c r="AN1664" s="8"/>
      <c r="AO1664" s="8"/>
      <c r="AP1664" s="8"/>
      <c r="AQ1664" s="8"/>
      <c r="AR1664" s="8"/>
      <c r="AS1664" s="8"/>
      <c r="AT1664" s="8"/>
      <c r="AU1664" s="8"/>
      <c r="AV1664" s="8"/>
      <c r="AW1664" s="8"/>
      <c r="AX1664" s="4" t="s">
        <v>38</v>
      </c>
      <c r="AY1664" s="5" t="s">
        <v>7331</v>
      </c>
      <c r="AZ1664" s="5" t="s">
        <v>38</v>
      </c>
      <c r="BA1664" s="12"/>
      <c r="BB1664" s="12"/>
      <c r="BC1664" s="12"/>
      <c r="BD1664" s="11">
        <v>0</v>
      </c>
      <c r="BE1664" s="11">
        <v>0</v>
      </c>
    </row>
    <row x14ac:dyDescent="0.25" r="1665" customHeight="1" ht="17.25">
      <c r="A1665" s="11">
        <v>149401</v>
      </c>
      <c r="B1665" s="4" t="s">
        <v>7332</v>
      </c>
      <c r="C1665" s="5" t="s">
        <v>6703</v>
      </c>
      <c r="D1665" s="5" t="s">
        <v>6704</v>
      </c>
      <c r="E1665" s="5" t="s">
        <v>7333</v>
      </c>
      <c r="F1665" s="13">
        <f>"185984197X"</f>
      </c>
      <c r="G1665" s="13">
        <f>"9781859841976"</f>
      </c>
      <c r="H1665" s="11">
        <v>0</v>
      </c>
      <c r="I1665" s="14">
        <v>3.96</v>
      </c>
      <c r="J1665" s="7" t="s">
        <v>1155</v>
      </c>
      <c r="K1665" s="5" t="s">
        <v>60</v>
      </c>
      <c r="L1665" s="11">
        <v>392</v>
      </c>
      <c r="M1665" s="11">
        <v>1997</v>
      </c>
      <c r="N1665" s="11">
        <v>1928</v>
      </c>
      <c r="O1665" s="15"/>
      <c r="P1665" s="9">
        <v>44515</v>
      </c>
      <c r="Q1665" s="9"/>
      <c r="R1665" s="9"/>
      <c r="S1665" s="9"/>
      <c r="T1665" s="9"/>
      <c r="U1665" s="9"/>
      <c r="V1665" s="9"/>
      <c r="W1665" s="9"/>
      <c r="X1665" s="9"/>
      <c r="Y1665" s="9"/>
      <c r="Z1665" s="9"/>
      <c r="AA1665" s="9"/>
      <c r="AB1665" s="9"/>
      <c r="AC1665" s="9"/>
      <c r="AD1665" s="9"/>
      <c r="AE1665" s="9"/>
      <c r="AF1665" s="9"/>
      <c r="AG1665" s="9"/>
      <c r="AH1665" s="9"/>
      <c r="AI1665" s="9"/>
      <c r="AJ1665" s="9"/>
      <c r="AK1665" s="9"/>
      <c r="AL1665" s="9"/>
      <c r="AM1665" s="9"/>
      <c r="AN1665" s="9"/>
      <c r="AO1665" s="9"/>
      <c r="AP1665" s="9"/>
      <c r="AQ1665" s="9"/>
      <c r="AR1665" s="9"/>
      <c r="AS1665" s="9"/>
      <c r="AT1665" s="9"/>
      <c r="AU1665" s="9"/>
      <c r="AV1665" s="9"/>
      <c r="AW1665" s="9"/>
      <c r="AX1665" s="4" t="s">
        <v>38</v>
      </c>
      <c r="AY1665" s="5" t="s">
        <v>7334</v>
      </c>
      <c r="AZ1665" s="5" t="s">
        <v>38</v>
      </c>
      <c r="BA1665" s="12"/>
      <c r="BB1665" s="12"/>
      <c r="BC1665" s="12"/>
      <c r="BD1665" s="11">
        <v>0</v>
      </c>
      <c r="BE1665" s="11">
        <v>0</v>
      </c>
    </row>
    <row x14ac:dyDescent="0.25" r="1666" customHeight="1" ht="17.25">
      <c r="A1666" s="11">
        <v>49885074</v>
      </c>
      <c r="B1666" s="4" t="s">
        <v>7335</v>
      </c>
      <c r="C1666" s="5" t="s">
        <v>7336</v>
      </c>
      <c r="D1666" s="5" t="s">
        <v>7337</v>
      </c>
      <c r="E1666" s="12"/>
      <c r="F1666" s="13">
        <f>"2246822696"</f>
      </c>
      <c r="G1666" s="13">
        <f>"9782246822691"</f>
      </c>
      <c r="H1666" s="11">
        <v>0</v>
      </c>
      <c r="I1666" s="14">
        <v>4.28</v>
      </c>
      <c r="J1666" s="7" t="s">
        <v>7338</v>
      </c>
      <c r="K1666" s="5" t="s">
        <v>60</v>
      </c>
      <c r="L1666" s="11">
        <v>216</v>
      </c>
      <c r="M1666" s="11">
        <v>2020</v>
      </c>
      <c r="N1666" s="11">
        <v>2020</v>
      </c>
      <c r="O1666" s="15"/>
      <c r="P1666" s="8">
        <v>44243</v>
      </c>
      <c r="Q1666" s="8"/>
      <c r="R1666" s="8"/>
      <c r="S1666" s="8"/>
      <c r="T1666" s="8"/>
      <c r="U1666" s="8"/>
      <c r="V1666" s="8"/>
      <c r="W1666" s="8"/>
      <c r="X1666" s="8"/>
      <c r="Y1666" s="8"/>
      <c r="Z1666" s="8"/>
      <c r="AA1666" s="8"/>
      <c r="AB1666" s="8"/>
      <c r="AC1666" s="8"/>
      <c r="AD1666" s="8"/>
      <c r="AE1666" s="8"/>
      <c r="AF1666" s="8"/>
      <c r="AG1666" s="8"/>
      <c r="AH1666" s="8"/>
      <c r="AI1666" s="8"/>
      <c r="AJ1666" s="8"/>
      <c r="AK1666" s="8"/>
      <c r="AL1666" s="8"/>
      <c r="AM1666" s="8"/>
      <c r="AN1666" s="8"/>
      <c r="AO1666" s="8"/>
      <c r="AP1666" s="8"/>
      <c r="AQ1666" s="8"/>
      <c r="AR1666" s="8"/>
      <c r="AS1666" s="8"/>
      <c r="AT1666" s="8"/>
      <c r="AU1666" s="8"/>
      <c r="AV1666" s="8"/>
      <c r="AW1666" s="8"/>
      <c r="AX1666" s="4" t="s">
        <v>38</v>
      </c>
      <c r="AY1666" s="5" t="s">
        <v>7339</v>
      </c>
      <c r="AZ1666" s="5" t="s">
        <v>38</v>
      </c>
      <c r="BA1666" s="12"/>
      <c r="BB1666" s="12"/>
      <c r="BC1666" s="12"/>
      <c r="BD1666" s="11">
        <v>0</v>
      </c>
      <c r="BE1666" s="11">
        <v>0</v>
      </c>
    </row>
    <row x14ac:dyDescent="0.25" r="1667" customHeight="1" ht="17.25">
      <c r="A1667" s="11">
        <v>55200450</v>
      </c>
      <c r="B1667" s="4" t="s">
        <v>7340</v>
      </c>
      <c r="C1667" s="5" t="s">
        <v>7341</v>
      </c>
      <c r="D1667" s="5" t="s">
        <v>7342</v>
      </c>
      <c r="E1667" s="12"/>
      <c r="F1667" s="13">
        <f>"1443464147"</f>
      </c>
      <c r="G1667" s="13">
        <f>"9781443464147"</f>
      </c>
      <c r="H1667" s="11">
        <v>0</v>
      </c>
      <c r="I1667" s="14">
        <v>3.47</v>
      </c>
      <c r="J1667" s="7" t="s">
        <v>7343</v>
      </c>
      <c r="K1667" s="5" t="s">
        <v>96</v>
      </c>
      <c r="L1667" s="11">
        <v>304</v>
      </c>
      <c r="M1667" s="11">
        <v>2021</v>
      </c>
      <c r="N1667" s="11">
        <v>2021</v>
      </c>
      <c r="O1667" s="15"/>
      <c r="P1667" s="8">
        <v>44279</v>
      </c>
      <c r="Q1667" s="8"/>
      <c r="R1667" s="8"/>
      <c r="S1667" s="8"/>
      <c r="T1667" s="8"/>
      <c r="U1667" s="8"/>
      <c r="V1667" s="8"/>
      <c r="W1667" s="8"/>
      <c r="X1667" s="8"/>
      <c r="Y1667" s="8"/>
      <c r="Z1667" s="8"/>
      <c r="AA1667" s="8"/>
      <c r="AB1667" s="8"/>
      <c r="AC1667" s="8"/>
      <c r="AD1667" s="8"/>
      <c r="AE1667" s="8"/>
      <c r="AF1667" s="8"/>
      <c r="AG1667" s="8"/>
      <c r="AH1667" s="8"/>
      <c r="AI1667" s="8"/>
      <c r="AJ1667" s="8"/>
      <c r="AK1667" s="8"/>
      <c r="AL1667" s="8"/>
      <c r="AM1667" s="8"/>
      <c r="AN1667" s="8"/>
      <c r="AO1667" s="8"/>
      <c r="AP1667" s="8"/>
      <c r="AQ1667" s="8"/>
      <c r="AR1667" s="8"/>
      <c r="AS1667" s="8"/>
      <c r="AT1667" s="8"/>
      <c r="AU1667" s="8"/>
      <c r="AV1667" s="8"/>
      <c r="AW1667" s="8"/>
      <c r="AX1667" s="4" t="s">
        <v>38</v>
      </c>
      <c r="AY1667" s="5" t="s">
        <v>7344</v>
      </c>
      <c r="AZ1667" s="5" t="s">
        <v>38</v>
      </c>
      <c r="BA1667" s="12"/>
      <c r="BB1667" s="12"/>
      <c r="BC1667" s="12"/>
      <c r="BD1667" s="11">
        <v>0</v>
      </c>
      <c r="BE1667" s="11">
        <v>0</v>
      </c>
    </row>
    <row x14ac:dyDescent="0.25" r="1668" customHeight="1" ht="17.25">
      <c r="A1668" s="11">
        <v>28949085</v>
      </c>
      <c r="B1668" s="4" t="s">
        <v>7345</v>
      </c>
      <c r="C1668" s="5" t="s">
        <v>7346</v>
      </c>
      <c r="D1668" s="5" t="s">
        <v>7347</v>
      </c>
      <c r="E1668" s="5" t="s">
        <v>7348</v>
      </c>
      <c r="F1668" s="13">
        <f>"1114785563"</f>
      </c>
      <c r="G1668" s="13">
        <f>"9781114785564"</f>
      </c>
      <c r="H1668" s="11">
        <v>0</v>
      </c>
      <c r="I1668" s="14">
        <v>3.67</v>
      </c>
      <c r="J1668" s="7" t="s">
        <v>7349</v>
      </c>
      <c r="K1668" s="5" t="s">
        <v>72</v>
      </c>
      <c r="L1668" s="11">
        <v>538</v>
      </c>
      <c r="M1668" s="11">
        <v>1964</v>
      </c>
      <c r="N1668" s="16"/>
      <c r="O1668" s="15"/>
      <c r="P1668" s="9">
        <v>44510</v>
      </c>
      <c r="Q1668" s="9"/>
      <c r="R1668" s="9"/>
      <c r="S1668" s="9"/>
      <c r="T1668" s="9"/>
      <c r="U1668" s="9"/>
      <c r="V1668" s="9"/>
      <c r="W1668" s="9"/>
      <c r="X1668" s="9"/>
      <c r="Y1668" s="9"/>
      <c r="Z1668" s="9"/>
      <c r="AA1668" s="9"/>
      <c r="AB1668" s="9"/>
      <c r="AC1668" s="9"/>
      <c r="AD1668" s="9"/>
      <c r="AE1668" s="9"/>
      <c r="AF1668" s="9"/>
      <c r="AG1668" s="9"/>
      <c r="AH1668" s="9"/>
      <c r="AI1668" s="9"/>
      <c r="AJ1668" s="9"/>
      <c r="AK1668" s="9"/>
      <c r="AL1668" s="9"/>
      <c r="AM1668" s="9"/>
      <c r="AN1668" s="9"/>
      <c r="AO1668" s="9"/>
      <c r="AP1668" s="9"/>
      <c r="AQ1668" s="9"/>
      <c r="AR1668" s="9"/>
      <c r="AS1668" s="9"/>
      <c r="AT1668" s="9"/>
      <c r="AU1668" s="9"/>
      <c r="AV1668" s="9"/>
      <c r="AW1668" s="9"/>
      <c r="AX1668" s="4" t="s">
        <v>38</v>
      </c>
      <c r="AY1668" s="5" t="s">
        <v>7350</v>
      </c>
      <c r="AZ1668" s="5" t="s">
        <v>38</v>
      </c>
      <c r="BA1668" s="12"/>
      <c r="BB1668" s="12"/>
      <c r="BC1668" s="12"/>
      <c r="BD1668" s="11">
        <v>0</v>
      </c>
      <c r="BE1668" s="11">
        <v>0</v>
      </c>
    </row>
    <row x14ac:dyDescent="0.25" r="1669" customHeight="1" ht="17.25">
      <c r="A1669" s="11">
        <v>51378950</v>
      </c>
      <c r="B1669" s="4" t="s">
        <v>7351</v>
      </c>
      <c r="C1669" s="5" t="s">
        <v>7352</v>
      </c>
      <c r="D1669" s="5" t="s">
        <v>7353</v>
      </c>
      <c r="E1669" s="5" t="s">
        <v>7354</v>
      </c>
      <c r="F1669" s="13">
        <f>"1529400791"</f>
      </c>
      <c r="G1669" s="13">
        <f>"9781529400793"</f>
      </c>
      <c r="H1669" s="11">
        <v>0</v>
      </c>
      <c r="I1669" s="14">
        <v>3.34</v>
      </c>
      <c r="J1669" s="7" t="s">
        <v>1149</v>
      </c>
      <c r="K1669" s="5" t="s">
        <v>72</v>
      </c>
      <c r="L1669" s="11">
        <v>256</v>
      </c>
      <c r="M1669" s="11">
        <v>2020</v>
      </c>
      <c r="N1669" s="11">
        <v>2018</v>
      </c>
      <c r="O1669" s="15"/>
      <c r="P1669" s="8">
        <v>44508</v>
      </c>
      <c r="Q1669" s="8"/>
      <c r="R1669" s="8"/>
      <c r="S1669" s="8"/>
      <c r="T1669" s="8"/>
      <c r="U1669" s="8"/>
      <c r="V1669" s="8"/>
      <c r="W1669" s="8"/>
      <c r="X1669" s="8"/>
      <c r="Y1669" s="8"/>
      <c r="Z1669" s="8"/>
      <c r="AA1669" s="8"/>
      <c r="AB1669" s="8"/>
      <c r="AC1669" s="8"/>
      <c r="AD1669" s="8"/>
      <c r="AE1669" s="8"/>
      <c r="AF1669" s="8"/>
      <c r="AG1669" s="8"/>
      <c r="AH1669" s="8"/>
      <c r="AI1669" s="8"/>
      <c r="AJ1669" s="8"/>
      <c r="AK1669" s="8"/>
      <c r="AL1669" s="8"/>
      <c r="AM1669" s="8"/>
      <c r="AN1669" s="8"/>
      <c r="AO1669" s="8"/>
      <c r="AP1669" s="8"/>
      <c r="AQ1669" s="8"/>
      <c r="AR1669" s="8"/>
      <c r="AS1669" s="8"/>
      <c r="AT1669" s="8"/>
      <c r="AU1669" s="8"/>
      <c r="AV1669" s="8"/>
      <c r="AW1669" s="8"/>
      <c r="AX1669" s="4" t="s">
        <v>38</v>
      </c>
      <c r="AY1669" s="5" t="s">
        <v>7355</v>
      </c>
      <c r="AZ1669" s="5" t="s">
        <v>38</v>
      </c>
      <c r="BA1669" s="12"/>
      <c r="BB1669" s="12"/>
      <c r="BC1669" s="12"/>
      <c r="BD1669" s="11">
        <v>0</v>
      </c>
      <c r="BE1669" s="11">
        <v>0</v>
      </c>
    </row>
    <row x14ac:dyDescent="0.25" r="1670" customHeight="1" ht="17.25">
      <c r="A1670" s="11">
        <v>257867</v>
      </c>
      <c r="B1670" s="4" t="s">
        <v>7356</v>
      </c>
      <c r="C1670" s="5" t="s">
        <v>7357</v>
      </c>
      <c r="D1670" s="5" t="s">
        <v>7358</v>
      </c>
      <c r="E1670" s="12"/>
      <c r="F1670" s="13">
        <f>"0195056442"</f>
      </c>
      <c r="G1670" s="13">
        <f>"9780195056440"</f>
      </c>
      <c r="H1670" s="11">
        <v>0</v>
      </c>
      <c r="I1670" s="14">
        <v>3.98</v>
      </c>
      <c r="J1670" s="7" t="s">
        <v>245</v>
      </c>
      <c r="K1670" s="5" t="s">
        <v>60</v>
      </c>
      <c r="L1670" s="11">
        <v>256</v>
      </c>
      <c r="M1670" s="11">
        <v>1989</v>
      </c>
      <c r="N1670" s="11">
        <v>1986</v>
      </c>
      <c r="O1670" s="15"/>
      <c r="P1670" s="9">
        <v>44484</v>
      </c>
      <c r="Q1670" s="9"/>
      <c r="R1670" s="9"/>
      <c r="S1670" s="9"/>
      <c r="T1670" s="9"/>
      <c r="U1670" s="9"/>
      <c r="V1670" s="9"/>
      <c r="W1670" s="9"/>
      <c r="X1670" s="9"/>
      <c r="Y1670" s="9"/>
      <c r="Z1670" s="9"/>
      <c r="AA1670" s="9"/>
      <c r="AB1670" s="9"/>
      <c r="AC1670" s="9"/>
      <c r="AD1670" s="9"/>
      <c r="AE1670" s="9"/>
      <c r="AF1670" s="9"/>
      <c r="AG1670" s="9"/>
      <c r="AH1670" s="9"/>
      <c r="AI1670" s="9"/>
      <c r="AJ1670" s="9"/>
      <c r="AK1670" s="9"/>
      <c r="AL1670" s="9"/>
      <c r="AM1670" s="9"/>
      <c r="AN1670" s="9"/>
      <c r="AO1670" s="9"/>
      <c r="AP1670" s="9"/>
      <c r="AQ1670" s="9"/>
      <c r="AR1670" s="9"/>
      <c r="AS1670" s="9"/>
      <c r="AT1670" s="9"/>
      <c r="AU1670" s="9"/>
      <c r="AV1670" s="9"/>
      <c r="AW1670" s="9"/>
      <c r="AX1670" s="4" t="s">
        <v>38</v>
      </c>
      <c r="AY1670" s="5" t="s">
        <v>7359</v>
      </c>
      <c r="AZ1670" s="5" t="s">
        <v>38</v>
      </c>
      <c r="BA1670" s="12"/>
      <c r="BB1670" s="12"/>
      <c r="BC1670" s="12"/>
      <c r="BD1670" s="11">
        <v>0</v>
      </c>
      <c r="BE1670" s="11">
        <v>0</v>
      </c>
    </row>
    <row x14ac:dyDescent="0.25" r="1671" customHeight="1" ht="17.25">
      <c r="A1671" s="11">
        <v>51003623</v>
      </c>
      <c r="B1671" s="4" t="s">
        <v>7360</v>
      </c>
      <c r="C1671" s="5" t="s">
        <v>1653</v>
      </c>
      <c r="D1671" s="5" t="s">
        <v>1654</v>
      </c>
      <c r="E1671" s="12"/>
      <c r="F1671" s="13">
        <f>"1784743763"</f>
      </c>
      <c r="G1671" s="13">
        <f>"9781784743765"</f>
      </c>
      <c r="H1671" s="11">
        <v>0</v>
      </c>
      <c r="I1671" s="14">
        <v>3.74</v>
      </c>
      <c r="J1671" s="7" t="s">
        <v>6350</v>
      </c>
      <c r="K1671" s="5" t="s">
        <v>72</v>
      </c>
      <c r="L1671" s="11">
        <v>496</v>
      </c>
      <c r="M1671" s="11">
        <v>2021</v>
      </c>
      <c r="N1671" s="11">
        <v>2021</v>
      </c>
      <c r="O1671" s="15"/>
      <c r="P1671" s="9">
        <v>44484</v>
      </c>
      <c r="Q1671" s="9"/>
      <c r="R1671" s="9"/>
      <c r="S1671" s="9"/>
      <c r="T1671" s="9"/>
      <c r="U1671" s="9"/>
      <c r="V1671" s="9"/>
      <c r="W1671" s="9"/>
      <c r="X1671" s="9"/>
      <c r="Y1671" s="9"/>
      <c r="Z1671" s="9"/>
      <c r="AA1671" s="9"/>
      <c r="AB1671" s="9"/>
      <c r="AC1671" s="9"/>
      <c r="AD1671" s="9"/>
      <c r="AE1671" s="9"/>
      <c r="AF1671" s="9"/>
      <c r="AG1671" s="9"/>
      <c r="AH1671" s="9"/>
      <c r="AI1671" s="9"/>
      <c r="AJ1671" s="9"/>
      <c r="AK1671" s="9"/>
      <c r="AL1671" s="9"/>
      <c r="AM1671" s="9"/>
      <c r="AN1671" s="9"/>
      <c r="AO1671" s="9"/>
      <c r="AP1671" s="9"/>
      <c r="AQ1671" s="9"/>
      <c r="AR1671" s="9"/>
      <c r="AS1671" s="9"/>
      <c r="AT1671" s="9"/>
      <c r="AU1671" s="9"/>
      <c r="AV1671" s="9"/>
      <c r="AW1671" s="9"/>
      <c r="AX1671" s="4" t="s">
        <v>38</v>
      </c>
      <c r="AY1671" s="5" t="s">
        <v>7361</v>
      </c>
      <c r="AZ1671" s="5" t="s">
        <v>38</v>
      </c>
      <c r="BA1671" s="12"/>
      <c r="BB1671" s="12"/>
      <c r="BC1671" s="12"/>
      <c r="BD1671" s="11">
        <v>0</v>
      </c>
      <c r="BE1671" s="11">
        <v>0</v>
      </c>
    </row>
    <row x14ac:dyDescent="0.25" r="1672" customHeight="1" ht="17.25">
      <c r="A1672" s="11">
        <v>17262116</v>
      </c>
      <c r="B1672" s="4" t="s">
        <v>7362</v>
      </c>
      <c r="C1672" s="5" t="s">
        <v>7363</v>
      </c>
      <c r="D1672" s="5" t="s">
        <v>7364</v>
      </c>
      <c r="E1672" s="12"/>
      <c r="F1672" s="13">
        <f>"0307952339"</f>
      </c>
      <c r="G1672" s="13">
        <f>"9780307952332"</f>
      </c>
      <c r="H1672" s="11">
        <v>0</v>
      </c>
      <c r="I1672" s="14">
        <v>4.25</v>
      </c>
      <c r="J1672" s="7" t="s">
        <v>7365</v>
      </c>
      <c r="K1672" s="5" t="s">
        <v>72</v>
      </c>
      <c r="L1672" s="11">
        <v>592</v>
      </c>
      <c r="M1672" s="11">
        <v>2013</v>
      </c>
      <c r="N1672" s="11">
        <v>2013</v>
      </c>
      <c r="O1672" s="15"/>
      <c r="P1672" s="9">
        <v>44484</v>
      </c>
      <c r="Q1672" s="9"/>
      <c r="R1672" s="9"/>
      <c r="S1672" s="9"/>
      <c r="T1672" s="9"/>
      <c r="U1672" s="9"/>
      <c r="V1672" s="9"/>
      <c r="W1672" s="9"/>
      <c r="X1672" s="9"/>
      <c r="Y1672" s="9"/>
      <c r="Z1672" s="9"/>
      <c r="AA1672" s="9"/>
      <c r="AB1672" s="9"/>
      <c r="AC1672" s="9"/>
      <c r="AD1672" s="9"/>
      <c r="AE1672" s="9"/>
      <c r="AF1672" s="9"/>
      <c r="AG1672" s="9"/>
      <c r="AH1672" s="9"/>
      <c r="AI1672" s="9"/>
      <c r="AJ1672" s="9"/>
      <c r="AK1672" s="9"/>
      <c r="AL1672" s="9"/>
      <c r="AM1672" s="9"/>
      <c r="AN1672" s="9"/>
      <c r="AO1672" s="9"/>
      <c r="AP1672" s="9"/>
      <c r="AQ1672" s="9"/>
      <c r="AR1672" s="9"/>
      <c r="AS1672" s="9"/>
      <c r="AT1672" s="9"/>
      <c r="AU1672" s="9"/>
      <c r="AV1672" s="9"/>
      <c r="AW1672" s="9"/>
      <c r="AX1672" s="4" t="s">
        <v>38</v>
      </c>
      <c r="AY1672" s="5" t="s">
        <v>7366</v>
      </c>
      <c r="AZ1672" s="5" t="s">
        <v>38</v>
      </c>
      <c r="BA1672" s="12"/>
      <c r="BB1672" s="12"/>
      <c r="BC1672" s="12"/>
      <c r="BD1672" s="11">
        <v>0</v>
      </c>
      <c r="BE1672" s="11">
        <v>0</v>
      </c>
    </row>
    <row x14ac:dyDescent="0.25" r="1673" customHeight="1" ht="17.25">
      <c r="A1673" s="11">
        <v>2120673</v>
      </c>
      <c r="B1673" s="4" t="s">
        <v>7367</v>
      </c>
      <c r="C1673" s="5" t="s">
        <v>7368</v>
      </c>
      <c r="D1673" s="5" t="s">
        <v>7369</v>
      </c>
      <c r="E1673" s="12"/>
      <c r="F1673" s="13">
        <f>"0199290342"</f>
      </c>
      <c r="G1673" s="13">
        <f>"9780199290345"</f>
      </c>
      <c r="H1673" s="11">
        <v>0</v>
      </c>
      <c r="I1673" s="14">
        <v>3.62</v>
      </c>
      <c r="J1673" s="7" t="s">
        <v>5347</v>
      </c>
      <c r="K1673" s="5" t="s">
        <v>72</v>
      </c>
      <c r="L1673" s="11">
        <v>184</v>
      </c>
      <c r="M1673" s="11">
        <v>2006</v>
      </c>
      <c r="N1673" s="11">
        <v>2006</v>
      </c>
      <c r="O1673" s="15"/>
      <c r="P1673" s="9">
        <v>44484</v>
      </c>
      <c r="Q1673" s="9"/>
      <c r="R1673" s="9"/>
      <c r="S1673" s="9"/>
      <c r="T1673" s="9"/>
      <c r="U1673" s="9"/>
      <c r="V1673" s="9"/>
      <c r="W1673" s="9"/>
      <c r="X1673" s="9"/>
      <c r="Y1673" s="9"/>
      <c r="Z1673" s="9"/>
      <c r="AA1673" s="9"/>
      <c r="AB1673" s="9"/>
      <c r="AC1673" s="9"/>
      <c r="AD1673" s="9"/>
      <c r="AE1673" s="9"/>
      <c r="AF1673" s="9"/>
      <c r="AG1673" s="9"/>
      <c r="AH1673" s="9"/>
      <c r="AI1673" s="9"/>
      <c r="AJ1673" s="9"/>
      <c r="AK1673" s="9"/>
      <c r="AL1673" s="9"/>
      <c r="AM1673" s="9"/>
      <c r="AN1673" s="9"/>
      <c r="AO1673" s="9"/>
      <c r="AP1673" s="9"/>
      <c r="AQ1673" s="9"/>
      <c r="AR1673" s="9"/>
      <c r="AS1673" s="9"/>
      <c r="AT1673" s="9"/>
      <c r="AU1673" s="9"/>
      <c r="AV1673" s="9"/>
      <c r="AW1673" s="9"/>
      <c r="AX1673" s="4" t="s">
        <v>38</v>
      </c>
      <c r="AY1673" s="5" t="s">
        <v>7370</v>
      </c>
      <c r="AZ1673" s="5" t="s">
        <v>38</v>
      </c>
      <c r="BA1673" s="12"/>
      <c r="BB1673" s="12"/>
      <c r="BC1673" s="12"/>
      <c r="BD1673" s="11">
        <v>0</v>
      </c>
      <c r="BE1673" s="11">
        <v>0</v>
      </c>
    </row>
    <row x14ac:dyDescent="0.25" r="1674" customHeight="1" ht="17.25">
      <c r="A1674" s="11">
        <v>403110</v>
      </c>
      <c r="B1674" s="4" t="s">
        <v>7371</v>
      </c>
      <c r="C1674" s="5" t="s">
        <v>5331</v>
      </c>
      <c r="D1674" s="5" t="s">
        <v>5332</v>
      </c>
      <c r="E1674" s="12"/>
      <c r="F1674" s="13">
        <f>"0804702667"</f>
      </c>
      <c r="G1674" s="13">
        <f>"9780804702669"</f>
      </c>
      <c r="H1674" s="11">
        <v>0</v>
      </c>
      <c r="I1674" s="14">
        <v>4.27</v>
      </c>
      <c r="J1674" s="7" t="s">
        <v>7372</v>
      </c>
      <c r="K1674" s="5" t="s">
        <v>60</v>
      </c>
      <c r="L1674" s="11">
        <v>128</v>
      </c>
      <c r="M1674" s="11">
        <v>1965</v>
      </c>
      <c r="N1674" s="11">
        <v>1965</v>
      </c>
      <c r="O1674" s="15"/>
      <c r="P1674" s="9">
        <v>44484</v>
      </c>
      <c r="Q1674" s="9"/>
      <c r="R1674" s="9"/>
      <c r="S1674" s="9"/>
      <c r="T1674" s="9"/>
      <c r="U1674" s="9"/>
      <c r="V1674" s="9"/>
      <c r="W1674" s="9"/>
      <c r="X1674" s="9"/>
      <c r="Y1674" s="9"/>
      <c r="Z1674" s="9"/>
      <c r="AA1674" s="9"/>
      <c r="AB1674" s="9"/>
      <c r="AC1674" s="9"/>
      <c r="AD1674" s="9"/>
      <c r="AE1674" s="9"/>
      <c r="AF1674" s="9"/>
      <c r="AG1674" s="9"/>
      <c r="AH1674" s="9"/>
      <c r="AI1674" s="9"/>
      <c r="AJ1674" s="9"/>
      <c r="AK1674" s="9"/>
      <c r="AL1674" s="9"/>
      <c r="AM1674" s="9"/>
      <c r="AN1674" s="9"/>
      <c r="AO1674" s="9"/>
      <c r="AP1674" s="9"/>
      <c r="AQ1674" s="9"/>
      <c r="AR1674" s="9"/>
      <c r="AS1674" s="9"/>
      <c r="AT1674" s="9"/>
      <c r="AU1674" s="9"/>
      <c r="AV1674" s="9"/>
      <c r="AW1674" s="9"/>
      <c r="AX1674" s="4" t="s">
        <v>38</v>
      </c>
      <c r="AY1674" s="5" t="s">
        <v>7373</v>
      </c>
      <c r="AZ1674" s="5" t="s">
        <v>38</v>
      </c>
      <c r="BA1674" s="12"/>
      <c r="BB1674" s="12"/>
      <c r="BC1674" s="12"/>
      <c r="BD1674" s="11">
        <v>0</v>
      </c>
      <c r="BE1674" s="11">
        <v>0</v>
      </c>
    </row>
    <row x14ac:dyDescent="0.25" r="1675" customHeight="1" ht="17.25">
      <c r="A1675" s="11">
        <v>48467</v>
      </c>
      <c r="B1675" s="4" t="s">
        <v>7374</v>
      </c>
      <c r="C1675" s="5" t="s">
        <v>7375</v>
      </c>
      <c r="D1675" s="5" t="s">
        <v>7376</v>
      </c>
      <c r="E1675" s="12"/>
      <c r="F1675" s="13">
        <f>"0374530637"</f>
      </c>
      <c r="G1675" s="13">
        <f>"9780374530631"</f>
      </c>
      <c r="H1675" s="11">
        <v>0</v>
      </c>
      <c r="I1675" s="14">
        <v>3.83</v>
      </c>
      <c r="J1675" s="7" t="s">
        <v>2749</v>
      </c>
      <c r="K1675" s="5" t="s">
        <v>60</v>
      </c>
      <c r="L1675" s="11">
        <v>256</v>
      </c>
      <c r="M1675" s="11">
        <v>2007</v>
      </c>
      <c r="N1675" s="11">
        <v>1952</v>
      </c>
      <c r="O1675" s="15"/>
      <c r="P1675" s="9">
        <v>44484</v>
      </c>
      <c r="Q1675" s="9"/>
      <c r="R1675" s="9"/>
      <c r="S1675" s="9"/>
      <c r="T1675" s="9"/>
      <c r="U1675" s="9"/>
      <c r="V1675" s="9"/>
      <c r="W1675" s="9"/>
      <c r="X1675" s="9"/>
      <c r="Y1675" s="9"/>
      <c r="Z1675" s="9"/>
      <c r="AA1675" s="9"/>
      <c r="AB1675" s="9"/>
      <c r="AC1675" s="9"/>
      <c r="AD1675" s="9"/>
      <c r="AE1675" s="9"/>
      <c r="AF1675" s="9"/>
      <c r="AG1675" s="9"/>
      <c r="AH1675" s="9"/>
      <c r="AI1675" s="9"/>
      <c r="AJ1675" s="9"/>
      <c r="AK1675" s="9"/>
      <c r="AL1675" s="9"/>
      <c r="AM1675" s="9"/>
      <c r="AN1675" s="9"/>
      <c r="AO1675" s="9"/>
      <c r="AP1675" s="9"/>
      <c r="AQ1675" s="9"/>
      <c r="AR1675" s="9"/>
      <c r="AS1675" s="9"/>
      <c r="AT1675" s="9"/>
      <c r="AU1675" s="9"/>
      <c r="AV1675" s="9"/>
      <c r="AW1675" s="9"/>
      <c r="AX1675" s="4" t="s">
        <v>38</v>
      </c>
      <c r="AY1675" s="5" t="s">
        <v>7377</v>
      </c>
      <c r="AZ1675" s="5" t="s">
        <v>38</v>
      </c>
      <c r="BA1675" s="12"/>
      <c r="BB1675" s="12"/>
      <c r="BC1675" s="12"/>
      <c r="BD1675" s="11">
        <v>0</v>
      </c>
      <c r="BE1675" s="11">
        <v>0</v>
      </c>
    </row>
    <row x14ac:dyDescent="0.25" r="1676" customHeight="1" ht="17.25">
      <c r="A1676" s="11">
        <v>29641</v>
      </c>
      <c r="B1676" s="4" t="s">
        <v>7378</v>
      </c>
      <c r="C1676" s="5" t="s">
        <v>7379</v>
      </c>
      <c r="D1676" s="5" t="s">
        <v>7380</v>
      </c>
      <c r="E1676" s="5" t="s">
        <v>7381</v>
      </c>
      <c r="F1676" s="13">
        <f>""</f>
      </c>
      <c r="G1676" s="13">
        <f>""</f>
      </c>
      <c r="H1676" s="11">
        <v>0</v>
      </c>
      <c r="I1676" s="14">
        <v>3.9</v>
      </c>
      <c r="J1676" s="7" t="s">
        <v>2160</v>
      </c>
      <c r="K1676" s="5" t="s">
        <v>60</v>
      </c>
      <c r="L1676" s="11">
        <v>160</v>
      </c>
      <c r="M1676" s="11">
        <v>2004</v>
      </c>
      <c r="N1676" s="11">
        <v>1951</v>
      </c>
      <c r="O1676" s="15"/>
      <c r="P1676" s="9">
        <v>44484</v>
      </c>
      <c r="Q1676" s="9"/>
      <c r="R1676" s="9"/>
      <c r="S1676" s="9"/>
      <c r="T1676" s="9"/>
      <c r="U1676" s="9"/>
      <c r="V1676" s="9"/>
      <c r="W1676" s="9"/>
      <c r="X1676" s="9"/>
      <c r="Y1676" s="9"/>
      <c r="Z1676" s="9"/>
      <c r="AA1676" s="9"/>
      <c r="AB1676" s="9"/>
      <c r="AC1676" s="9"/>
      <c r="AD1676" s="9"/>
      <c r="AE1676" s="9"/>
      <c r="AF1676" s="9"/>
      <c r="AG1676" s="9"/>
      <c r="AH1676" s="9"/>
      <c r="AI1676" s="9"/>
      <c r="AJ1676" s="9"/>
      <c r="AK1676" s="9"/>
      <c r="AL1676" s="9"/>
      <c r="AM1676" s="9"/>
      <c r="AN1676" s="9"/>
      <c r="AO1676" s="9"/>
      <c r="AP1676" s="9"/>
      <c r="AQ1676" s="9"/>
      <c r="AR1676" s="9"/>
      <c r="AS1676" s="9"/>
      <c r="AT1676" s="9"/>
      <c r="AU1676" s="9"/>
      <c r="AV1676" s="9"/>
      <c r="AW1676" s="9"/>
      <c r="AX1676" s="4" t="s">
        <v>38</v>
      </c>
      <c r="AY1676" s="5" t="s">
        <v>7382</v>
      </c>
      <c r="AZ1676" s="5" t="s">
        <v>38</v>
      </c>
      <c r="BA1676" s="12"/>
      <c r="BB1676" s="12"/>
      <c r="BC1676" s="12"/>
      <c r="BD1676" s="11">
        <v>0</v>
      </c>
      <c r="BE1676" s="11">
        <v>0</v>
      </c>
    </row>
    <row x14ac:dyDescent="0.25" r="1677" customHeight="1" ht="17.25">
      <c r="A1677" s="11">
        <v>144937</v>
      </c>
      <c r="B1677" s="4" t="s">
        <v>7383</v>
      </c>
      <c r="C1677" s="5" t="s">
        <v>7384</v>
      </c>
      <c r="D1677" s="5" t="s">
        <v>7385</v>
      </c>
      <c r="E1677" s="5" t="s">
        <v>7386</v>
      </c>
      <c r="F1677" s="13">
        <f>"0195002105"</f>
      </c>
      <c r="G1677" s="13">
        <f>"9780195002102"</f>
      </c>
      <c r="H1677" s="11">
        <v>0</v>
      </c>
      <c r="I1677" s="14">
        <v>4.04</v>
      </c>
      <c r="J1677" s="7" t="s">
        <v>245</v>
      </c>
      <c r="K1677" s="5" t="s">
        <v>60</v>
      </c>
      <c r="L1677" s="11">
        <v>232</v>
      </c>
      <c r="M1677" s="11">
        <v>1958</v>
      </c>
      <c r="N1677" s="11">
        <v>1917</v>
      </c>
      <c r="O1677" s="15"/>
      <c r="P1677" s="9">
        <v>44484</v>
      </c>
      <c r="Q1677" s="9"/>
      <c r="R1677" s="9"/>
      <c r="S1677" s="9"/>
      <c r="T1677" s="9"/>
      <c r="U1677" s="9"/>
      <c r="V1677" s="9"/>
      <c r="W1677" s="9"/>
      <c r="X1677" s="9"/>
      <c r="Y1677" s="9"/>
      <c r="Z1677" s="9"/>
      <c r="AA1677" s="9"/>
      <c r="AB1677" s="9"/>
      <c r="AC1677" s="9"/>
      <c r="AD1677" s="9"/>
      <c r="AE1677" s="9"/>
      <c r="AF1677" s="9"/>
      <c r="AG1677" s="9"/>
      <c r="AH1677" s="9"/>
      <c r="AI1677" s="9"/>
      <c r="AJ1677" s="9"/>
      <c r="AK1677" s="9"/>
      <c r="AL1677" s="9"/>
      <c r="AM1677" s="9"/>
      <c r="AN1677" s="9"/>
      <c r="AO1677" s="9"/>
      <c r="AP1677" s="9"/>
      <c r="AQ1677" s="9"/>
      <c r="AR1677" s="9"/>
      <c r="AS1677" s="9"/>
      <c r="AT1677" s="9"/>
      <c r="AU1677" s="9"/>
      <c r="AV1677" s="9"/>
      <c r="AW1677" s="9"/>
      <c r="AX1677" s="4" t="s">
        <v>38</v>
      </c>
      <c r="AY1677" s="5" t="s">
        <v>7387</v>
      </c>
      <c r="AZ1677" s="5" t="s">
        <v>38</v>
      </c>
      <c r="BA1677" s="12"/>
      <c r="BB1677" s="12"/>
      <c r="BC1677" s="12"/>
      <c r="BD1677" s="11">
        <v>0</v>
      </c>
      <c r="BE1677" s="11">
        <v>0</v>
      </c>
    </row>
    <row x14ac:dyDescent="0.25" r="1678" customHeight="1" ht="17.25">
      <c r="A1678" s="11">
        <v>110455</v>
      </c>
      <c r="B1678" s="4" t="s">
        <v>7388</v>
      </c>
      <c r="C1678" s="5" t="s">
        <v>1025</v>
      </c>
      <c r="D1678" s="5" t="s">
        <v>1026</v>
      </c>
      <c r="E1678" s="5" t="s">
        <v>7389</v>
      </c>
      <c r="F1678" s="13">
        <f>"0803260725"</f>
      </c>
      <c r="G1678" s="13">
        <f>"9780803260726"</f>
      </c>
      <c r="H1678" s="11">
        <v>0</v>
      </c>
      <c r="I1678" s="14">
        <v>3.75</v>
      </c>
      <c r="J1678" s="7" t="s">
        <v>7390</v>
      </c>
      <c r="K1678" s="5" t="s">
        <v>60</v>
      </c>
      <c r="L1678" s="11">
        <v>131</v>
      </c>
      <c r="M1678" s="11">
        <v>1988</v>
      </c>
      <c r="N1678" s="11">
        <v>1937</v>
      </c>
      <c r="O1678" s="15"/>
      <c r="P1678" s="9">
        <v>44484</v>
      </c>
      <c r="Q1678" s="9"/>
      <c r="R1678" s="9"/>
      <c r="S1678" s="9"/>
      <c r="T1678" s="9"/>
      <c r="U1678" s="9"/>
      <c r="V1678" s="9"/>
      <c r="W1678" s="9"/>
      <c r="X1678" s="9"/>
      <c r="Y1678" s="9"/>
      <c r="Z1678" s="9"/>
      <c r="AA1678" s="9"/>
      <c r="AB1678" s="9"/>
      <c r="AC1678" s="9"/>
      <c r="AD1678" s="9"/>
      <c r="AE1678" s="9"/>
      <c r="AF1678" s="9"/>
      <c r="AG1678" s="9"/>
      <c r="AH1678" s="9"/>
      <c r="AI1678" s="9"/>
      <c r="AJ1678" s="9"/>
      <c r="AK1678" s="9"/>
      <c r="AL1678" s="9"/>
      <c r="AM1678" s="9"/>
      <c r="AN1678" s="9"/>
      <c r="AO1678" s="9"/>
      <c r="AP1678" s="9"/>
      <c r="AQ1678" s="9"/>
      <c r="AR1678" s="9"/>
      <c r="AS1678" s="9"/>
      <c r="AT1678" s="9"/>
      <c r="AU1678" s="9"/>
      <c r="AV1678" s="9"/>
      <c r="AW1678" s="9"/>
      <c r="AX1678" s="4" t="s">
        <v>38</v>
      </c>
      <c r="AY1678" s="5" t="s">
        <v>7391</v>
      </c>
      <c r="AZ1678" s="5" t="s">
        <v>38</v>
      </c>
      <c r="BA1678" s="12"/>
      <c r="BB1678" s="12"/>
      <c r="BC1678" s="12"/>
      <c r="BD1678" s="11">
        <v>0</v>
      </c>
      <c r="BE1678" s="11">
        <v>0</v>
      </c>
    </row>
    <row x14ac:dyDescent="0.25" r="1679" customHeight="1" ht="17.25">
      <c r="A1679" s="11">
        <v>19919931</v>
      </c>
      <c r="B1679" s="4" t="s">
        <v>7392</v>
      </c>
      <c r="C1679" s="5" t="s">
        <v>7393</v>
      </c>
      <c r="D1679" s="5" t="s">
        <v>7394</v>
      </c>
      <c r="E1679" s="5" t="s">
        <v>7395</v>
      </c>
      <c r="F1679" s="13">
        <f>""</f>
      </c>
      <c r="G1679" s="13">
        <f>""</f>
      </c>
      <c r="H1679" s="11">
        <v>0</v>
      </c>
      <c r="I1679" s="14">
        <v>3.9</v>
      </c>
      <c r="J1679" s="7" t="s">
        <v>6835</v>
      </c>
      <c r="K1679" s="5" t="s">
        <v>90</v>
      </c>
      <c r="L1679" s="11">
        <v>188</v>
      </c>
      <c r="M1679" s="11">
        <v>2011</v>
      </c>
      <c r="N1679" s="11">
        <v>1998</v>
      </c>
      <c r="O1679" s="15"/>
      <c r="P1679" s="9">
        <v>44480</v>
      </c>
      <c r="Q1679" s="9"/>
      <c r="R1679" s="9"/>
      <c r="S1679" s="9"/>
      <c r="T1679" s="9"/>
      <c r="U1679" s="9"/>
      <c r="V1679" s="9"/>
      <c r="W1679" s="9"/>
      <c r="X1679" s="9"/>
      <c r="Y1679" s="9"/>
      <c r="Z1679" s="9"/>
      <c r="AA1679" s="9"/>
      <c r="AB1679" s="9"/>
      <c r="AC1679" s="9"/>
      <c r="AD1679" s="9"/>
      <c r="AE1679" s="9"/>
      <c r="AF1679" s="9"/>
      <c r="AG1679" s="9"/>
      <c r="AH1679" s="9"/>
      <c r="AI1679" s="9"/>
      <c r="AJ1679" s="9"/>
      <c r="AK1679" s="9"/>
      <c r="AL1679" s="9"/>
      <c r="AM1679" s="9"/>
      <c r="AN1679" s="9"/>
      <c r="AO1679" s="9"/>
      <c r="AP1679" s="9"/>
      <c r="AQ1679" s="9"/>
      <c r="AR1679" s="9"/>
      <c r="AS1679" s="9"/>
      <c r="AT1679" s="9"/>
      <c r="AU1679" s="9"/>
      <c r="AV1679" s="9"/>
      <c r="AW1679" s="9"/>
      <c r="AX1679" s="4" t="s">
        <v>38</v>
      </c>
      <c r="AY1679" s="5" t="s">
        <v>7396</v>
      </c>
      <c r="AZ1679" s="5" t="s">
        <v>38</v>
      </c>
      <c r="BA1679" s="12"/>
      <c r="BB1679" s="12"/>
      <c r="BC1679" s="12"/>
      <c r="BD1679" s="11">
        <v>0</v>
      </c>
      <c r="BE1679" s="11">
        <v>0</v>
      </c>
    </row>
    <row x14ac:dyDescent="0.25" r="1680" customHeight="1" ht="17.25">
      <c r="A1680" s="11">
        <v>53639</v>
      </c>
      <c r="B1680" s="4" t="s">
        <v>7397</v>
      </c>
      <c r="C1680" s="5" t="s">
        <v>2547</v>
      </c>
      <c r="D1680" s="5" t="s">
        <v>2548</v>
      </c>
      <c r="E1680" s="12"/>
      <c r="F1680" s="13">
        <f>"0571203132"</f>
      </c>
      <c r="G1680" s="13">
        <f>"9780571203130"</f>
      </c>
      <c r="H1680" s="11">
        <v>0</v>
      </c>
      <c r="I1680" s="14">
        <v>4.05</v>
      </c>
      <c r="J1680" s="7" t="s">
        <v>7398</v>
      </c>
      <c r="K1680" s="5" t="s">
        <v>60</v>
      </c>
      <c r="L1680" s="11">
        <v>335</v>
      </c>
      <c r="M1680" s="11">
        <v>2001</v>
      </c>
      <c r="N1680" s="11">
        <v>1946</v>
      </c>
      <c r="O1680" s="15"/>
      <c r="P1680" s="9">
        <v>44480</v>
      </c>
      <c r="Q1680" s="9"/>
      <c r="R1680" s="9"/>
      <c r="S1680" s="9"/>
      <c r="T1680" s="9"/>
      <c r="U1680" s="9"/>
      <c r="V1680" s="9"/>
      <c r="W1680" s="9"/>
      <c r="X1680" s="9"/>
      <c r="Y1680" s="9"/>
      <c r="Z1680" s="9"/>
      <c r="AA1680" s="9"/>
      <c r="AB1680" s="9"/>
      <c r="AC1680" s="9"/>
      <c r="AD1680" s="9"/>
      <c r="AE1680" s="9"/>
      <c r="AF1680" s="9"/>
      <c r="AG1680" s="9"/>
      <c r="AH1680" s="9"/>
      <c r="AI1680" s="9"/>
      <c r="AJ1680" s="9"/>
      <c r="AK1680" s="9"/>
      <c r="AL1680" s="9"/>
      <c r="AM1680" s="9"/>
      <c r="AN1680" s="9"/>
      <c r="AO1680" s="9"/>
      <c r="AP1680" s="9"/>
      <c r="AQ1680" s="9"/>
      <c r="AR1680" s="9"/>
      <c r="AS1680" s="9"/>
      <c r="AT1680" s="9"/>
      <c r="AU1680" s="9"/>
      <c r="AV1680" s="9"/>
      <c r="AW1680" s="9"/>
      <c r="AX1680" s="4" t="s">
        <v>38</v>
      </c>
      <c r="AY1680" s="5" t="s">
        <v>7399</v>
      </c>
      <c r="AZ1680" s="5" t="s">
        <v>38</v>
      </c>
      <c r="BA1680" s="12"/>
      <c r="BB1680" s="12"/>
      <c r="BC1680" s="12"/>
      <c r="BD1680" s="11">
        <v>0</v>
      </c>
      <c r="BE1680" s="11">
        <v>0</v>
      </c>
    </row>
    <row x14ac:dyDescent="0.25" r="1681" customHeight="1" ht="17.25">
      <c r="A1681" s="11">
        <v>49176</v>
      </c>
      <c r="B1681" s="4" t="s">
        <v>7400</v>
      </c>
      <c r="C1681" s="5" t="s">
        <v>7401</v>
      </c>
      <c r="D1681" s="5" t="s">
        <v>7402</v>
      </c>
      <c r="E1681" s="12"/>
      <c r="F1681" s="13">
        <f>"0345032799"</f>
      </c>
      <c r="G1681" s="13">
        <f>"9780345032799"</f>
      </c>
      <c r="H1681" s="11">
        <v>0</v>
      </c>
      <c r="I1681" s="14">
        <v>3.75</v>
      </c>
      <c r="J1681" s="7" t="s">
        <v>182</v>
      </c>
      <c r="K1681" s="5" t="s">
        <v>346</v>
      </c>
      <c r="L1681" s="11">
        <v>192</v>
      </c>
      <c r="M1681" s="11">
        <v>1964</v>
      </c>
      <c r="N1681" s="11">
        <v>1964</v>
      </c>
      <c r="O1681" s="15"/>
      <c r="P1681" s="9">
        <v>44479</v>
      </c>
      <c r="Q1681" s="9"/>
      <c r="R1681" s="9"/>
      <c r="S1681" s="9"/>
      <c r="T1681" s="9"/>
      <c r="U1681" s="9"/>
      <c r="V1681" s="9"/>
      <c r="W1681" s="9"/>
      <c r="X1681" s="9"/>
      <c r="Y1681" s="9"/>
      <c r="Z1681" s="9"/>
      <c r="AA1681" s="9"/>
      <c r="AB1681" s="9"/>
      <c r="AC1681" s="9"/>
      <c r="AD1681" s="9"/>
      <c r="AE1681" s="9"/>
      <c r="AF1681" s="9"/>
      <c r="AG1681" s="9"/>
      <c r="AH1681" s="9"/>
      <c r="AI1681" s="9"/>
      <c r="AJ1681" s="9"/>
      <c r="AK1681" s="9"/>
      <c r="AL1681" s="9"/>
      <c r="AM1681" s="9"/>
      <c r="AN1681" s="9"/>
      <c r="AO1681" s="9"/>
      <c r="AP1681" s="9"/>
      <c r="AQ1681" s="9"/>
      <c r="AR1681" s="9"/>
      <c r="AS1681" s="9"/>
      <c r="AT1681" s="9"/>
      <c r="AU1681" s="9"/>
      <c r="AV1681" s="9"/>
      <c r="AW1681" s="9"/>
      <c r="AX1681" s="4" t="s">
        <v>38</v>
      </c>
      <c r="AY1681" s="5" t="s">
        <v>7403</v>
      </c>
      <c r="AZ1681" s="5" t="s">
        <v>38</v>
      </c>
      <c r="BA1681" s="12"/>
      <c r="BB1681" s="12"/>
      <c r="BC1681" s="12"/>
      <c r="BD1681" s="11">
        <v>0</v>
      </c>
      <c r="BE1681" s="11">
        <v>0</v>
      </c>
    </row>
    <row x14ac:dyDescent="0.25" r="1682" customHeight="1" ht="17.25">
      <c r="A1682" s="11">
        <v>332792</v>
      </c>
      <c r="B1682" s="4" t="s">
        <v>7404</v>
      </c>
      <c r="C1682" s="5" t="s">
        <v>7405</v>
      </c>
      <c r="D1682" s="5" t="s">
        <v>7406</v>
      </c>
      <c r="E1682" s="12"/>
      <c r="F1682" s="13">
        <f>"0471293091"</f>
      </c>
      <c r="G1682" s="13">
        <f>"9780471293095"</f>
      </c>
      <c r="H1682" s="11">
        <v>0</v>
      </c>
      <c r="I1682" s="14">
        <v>4.17</v>
      </c>
      <c r="J1682" s="7" t="s">
        <v>2644</v>
      </c>
      <c r="K1682" s="5" t="s">
        <v>72</v>
      </c>
      <c r="L1682" s="11">
        <v>274</v>
      </c>
      <c r="M1682" s="11">
        <v>1998</v>
      </c>
      <c r="N1682" s="11">
        <v>1961</v>
      </c>
      <c r="O1682" s="15"/>
      <c r="P1682" s="9">
        <v>44479</v>
      </c>
      <c r="Q1682" s="9"/>
      <c r="R1682" s="9"/>
      <c r="S1682" s="9"/>
      <c r="T1682" s="9"/>
      <c r="U1682" s="9"/>
      <c r="V1682" s="9"/>
      <c r="W1682" s="9"/>
      <c r="X1682" s="9"/>
      <c r="Y1682" s="9"/>
      <c r="Z1682" s="9"/>
      <c r="AA1682" s="9"/>
      <c r="AB1682" s="9"/>
      <c r="AC1682" s="9"/>
      <c r="AD1682" s="9"/>
      <c r="AE1682" s="9"/>
      <c r="AF1682" s="9"/>
      <c r="AG1682" s="9"/>
      <c r="AH1682" s="9"/>
      <c r="AI1682" s="9"/>
      <c r="AJ1682" s="9"/>
      <c r="AK1682" s="9"/>
      <c r="AL1682" s="9"/>
      <c r="AM1682" s="9"/>
      <c r="AN1682" s="9"/>
      <c r="AO1682" s="9"/>
      <c r="AP1682" s="9"/>
      <c r="AQ1682" s="9"/>
      <c r="AR1682" s="9"/>
      <c r="AS1682" s="9"/>
      <c r="AT1682" s="9"/>
      <c r="AU1682" s="9"/>
      <c r="AV1682" s="9"/>
      <c r="AW1682" s="9"/>
      <c r="AX1682" s="4" t="s">
        <v>38</v>
      </c>
      <c r="AY1682" s="5" t="s">
        <v>7407</v>
      </c>
      <c r="AZ1682" s="5" t="s">
        <v>38</v>
      </c>
      <c r="BA1682" s="12"/>
      <c r="BB1682" s="12"/>
      <c r="BC1682" s="12"/>
      <c r="BD1682" s="11">
        <v>0</v>
      </c>
      <c r="BE1682" s="11">
        <v>0</v>
      </c>
    </row>
    <row x14ac:dyDescent="0.25" r="1683" customHeight="1" ht="17.25">
      <c r="A1683" s="11">
        <v>12073</v>
      </c>
      <c r="B1683" s="4" t="s">
        <v>7408</v>
      </c>
      <c r="C1683" s="5" t="s">
        <v>7409</v>
      </c>
      <c r="D1683" s="5" t="s">
        <v>7410</v>
      </c>
      <c r="E1683" s="5" t="s">
        <v>7411</v>
      </c>
      <c r="F1683" s="13">
        <f>"0631231277"</f>
      </c>
      <c r="G1683" s="13">
        <f>"9780631231271"</f>
      </c>
      <c r="H1683" s="11">
        <v>0</v>
      </c>
      <c r="I1683" s="14">
        <v>4.25</v>
      </c>
      <c r="J1683" s="7" t="s">
        <v>7412</v>
      </c>
      <c r="K1683" s="5" t="s">
        <v>72</v>
      </c>
      <c r="L1683" s="11">
        <v>246</v>
      </c>
      <c r="M1683" s="11">
        <v>2001</v>
      </c>
      <c r="N1683" s="11">
        <v>1953</v>
      </c>
      <c r="O1683" s="15"/>
      <c r="P1683" s="8">
        <v>44473</v>
      </c>
      <c r="Q1683" s="8"/>
      <c r="R1683" s="8"/>
      <c r="S1683" s="8"/>
      <c r="T1683" s="8"/>
      <c r="U1683" s="8"/>
      <c r="V1683" s="8"/>
      <c r="W1683" s="8"/>
      <c r="X1683" s="8"/>
      <c r="Y1683" s="8"/>
      <c r="Z1683" s="8"/>
      <c r="AA1683" s="8"/>
      <c r="AB1683" s="8"/>
      <c r="AC1683" s="8"/>
      <c r="AD1683" s="8"/>
      <c r="AE1683" s="8"/>
      <c r="AF1683" s="8"/>
      <c r="AG1683" s="8"/>
      <c r="AH1683" s="8"/>
      <c r="AI1683" s="8"/>
      <c r="AJ1683" s="8"/>
      <c r="AK1683" s="8"/>
      <c r="AL1683" s="8"/>
      <c r="AM1683" s="8"/>
      <c r="AN1683" s="8"/>
      <c r="AO1683" s="8"/>
      <c r="AP1683" s="8"/>
      <c r="AQ1683" s="8"/>
      <c r="AR1683" s="8"/>
      <c r="AS1683" s="8"/>
      <c r="AT1683" s="8"/>
      <c r="AU1683" s="8"/>
      <c r="AV1683" s="8"/>
      <c r="AW1683" s="8"/>
      <c r="AX1683" s="4" t="s">
        <v>38</v>
      </c>
      <c r="AY1683" s="5" t="s">
        <v>7413</v>
      </c>
      <c r="AZ1683" s="5" t="s">
        <v>38</v>
      </c>
      <c r="BA1683" s="12"/>
      <c r="BB1683" s="12"/>
      <c r="BC1683" s="12"/>
      <c r="BD1683" s="11">
        <v>0</v>
      </c>
      <c r="BE1683" s="11">
        <v>0</v>
      </c>
    </row>
    <row x14ac:dyDescent="0.25" r="1684" customHeight="1" ht="17.25">
      <c r="A1684" s="11">
        <v>230817</v>
      </c>
      <c r="B1684" s="4" t="s">
        <v>7414</v>
      </c>
      <c r="C1684" s="5" t="s">
        <v>2665</v>
      </c>
      <c r="D1684" s="5" t="s">
        <v>2666</v>
      </c>
      <c r="E1684" s="12"/>
      <c r="F1684" s="13">
        <f>"1903933617"</f>
      </c>
      <c r="G1684" s="13">
        <f>"9781903933619"</f>
      </c>
      <c r="H1684" s="11">
        <v>0</v>
      </c>
      <c r="I1684" s="14">
        <v>3.52</v>
      </c>
      <c r="J1684" s="7" t="s">
        <v>7415</v>
      </c>
      <c r="K1684" s="5" t="s">
        <v>72</v>
      </c>
      <c r="L1684" s="11">
        <v>138</v>
      </c>
      <c r="M1684" s="11">
        <v>2004</v>
      </c>
      <c r="N1684" s="11">
        <v>1831</v>
      </c>
      <c r="O1684" s="15"/>
      <c r="P1684" s="8">
        <v>44468</v>
      </c>
      <c r="Q1684" s="8"/>
      <c r="R1684" s="8"/>
      <c r="S1684" s="8"/>
      <c r="T1684" s="8"/>
      <c r="U1684" s="8"/>
      <c r="V1684" s="8"/>
      <c r="W1684" s="8"/>
      <c r="X1684" s="8"/>
      <c r="Y1684" s="8"/>
      <c r="Z1684" s="8"/>
      <c r="AA1684" s="8"/>
      <c r="AB1684" s="8"/>
      <c r="AC1684" s="8"/>
      <c r="AD1684" s="8"/>
      <c r="AE1684" s="8"/>
      <c r="AF1684" s="8"/>
      <c r="AG1684" s="8"/>
      <c r="AH1684" s="8"/>
      <c r="AI1684" s="8"/>
      <c r="AJ1684" s="8"/>
      <c r="AK1684" s="8"/>
      <c r="AL1684" s="8"/>
      <c r="AM1684" s="8"/>
      <c r="AN1684" s="8"/>
      <c r="AO1684" s="8"/>
      <c r="AP1684" s="8"/>
      <c r="AQ1684" s="8"/>
      <c r="AR1684" s="8"/>
      <c r="AS1684" s="8"/>
      <c r="AT1684" s="8"/>
      <c r="AU1684" s="8"/>
      <c r="AV1684" s="8"/>
      <c r="AW1684" s="8"/>
      <c r="AX1684" s="4" t="s">
        <v>38</v>
      </c>
      <c r="AY1684" s="5" t="s">
        <v>7416</v>
      </c>
      <c r="AZ1684" s="5" t="s">
        <v>38</v>
      </c>
      <c r="BA1684" s="12"/>
      <c r="BB1684" s="12"/>
      <c r="BC1684" s="12"/>
      <c r="BD1684" s="11">
        <v>0</v>
      </c>
      <c r="BE1684" s="11">
        <v>0</v>
      </c>
    </row>
    <row x14ac:dyDescent="0.25" r="1685" customHeight="1" ht="17.25">
      <c r="A1685" s="11">
        <v>44039</v>
      </c>
      <c r="B1685" s="4" t="s">
        <v>7417</v>
      </c>
      <c r="C1685" s="5" t="s">
        <v>7418</v>
      </c>
      <c r="D1685" s="5" t="s">
        <v>7419</v>
      </c>
      <c r="E1685" s="5" t="s">
        <v>7420</v>
      </c>
      <c r="F1685" s="13">
        <f>"081121592X"</f>
      </c>
      <c r="G1685" s="13">
        <f>"9780811215923"</f>
      </c>
      <c r="H1685" s="11">
        <v>0</v>
      </c>
      <c r="I1685" s="14">
        <v>3.81</v>
      </c>
      <c r="J1685" s="7" t="s">
        <v>126</v>
      </c>
      <c r="K1685" s="5" t="s">
        <v>60</v>
      </c>
      <c r="L1685" s="11">
        <v>135</v>
      </c>
      <c r="M1685" s="11">
        <v>2005</v>
      </c>
      <c r="N1685" s="11">
        <v>2000</v>
      </c>
      <c r="O1685" s="15"/>
      <c r="P1685" s="8">
        <v>44460</v>
      </c>
      <c r="Q1685" s="8"/>
      <c r="R1685" s="8"/>
      <c r="S1685" s="8"/>
      <c r="T1685" s="8"/>
      <c r="U1685" s="8"/>
      <c r="V1685" s="8"/>
      <c r="W1685" s="8"/>
      <c r="X1685" s="8"/>
      <c r="Y1685" s="8"/>
      <c r="Z1685" s="8"/>
      <c r="AA1685" s="8"/>
      <c r="AB1685" s="8"/>
      <c r="AC1685" s="8"/>
      <c r="AD1685" s="8"/>
      <c r="AE1685" s="8"/>
      <c r="AF1685" s="8"/>
      <c r="AG1685" s="8"/>
      <c r="AH1685" s="8"/>
      <c r="AI1685" s="8"/>
      <c r="AJ1685" s="8"/>
      <c r="AK1685" s="8"/>
      <c r="AL1685" s="8"/>
      <c r="AM1685" s="8"/>
      <c r="AN1685" s="8"/>
      <c r="AO1685" s="8"/>
      <c r="AP1685" s="8"/>
      <c r="AQ1685" s="8"/>
      <c r="AR1685" s="8"/>
      <c r="AS1685" s="8"/>
      <c r="AT1685" s="8"/>
      <c r="AU1685" s="8"/>
      <c r="AV1685" s="8"/>
      <c r="AW1685" s="8"/>
      <c r="AX1685" s="4" t="s">
        <v>38</v>
      </c>
      <c r="AY1685" s="5" t="s">
        <v>7421</v>
      </c>
      <c r="AZ1685" s="5" t="s">
        <v>38</v>
      </c>
      <c r="BA1685" s="12"/>
      <c r="BB1685" s="12"/>
      <c r="BC1685" s="12"/>
      <c r="BD1685" s="11">
        <v>0</v>
      </c>
      <c r="BE1685" s="11">
        <v>0</v>
      </c>
    </row>
    <row x14ac:dyDescent="0.25" r="1686" customHeight="1" ht="17.25">
      <c r="A1686" s="11">
        <v>315736</v>
      </c>
      <c r="B1686" s="4" t="s">
        <v>7422</v>
      </c>
      <c r="C1686" s="5" t="s">
        <v>7423</v>
      </c>
      <c r="D1686" s="5" t="s">
        <v>7424</v>
      </c>
      <c r="E1686" s="5" t="s">
        <v>7425</v>
      </c>
      <c r="F1686" s="13">
        <f>"0803269072"</f>
      </c>
      <c r="G1686" s="13">
        <f>"9780803269071"</f>
      </c>
      <c r="H1686" s="11">
        <v>0</v>
      </c>
      <c r="I1686" s="14">
        <v>3.82</v>
      </c>
      <c r="J1686" s="7" t="s">
        <v>4895</v>
      </c>
      <c r="K1686" s="5" t="s">
        <v>60</v>
      </c>
      <c r="L1686" s="11">
        <v>154</v>
      </c>
      <c r="M1686" s="11">
        <v>2002</v>
      </c>
      <c r="N1686" s="11">
        <v>1935</v>
      </c>
      <c r="O1686" s="15"/>
      <c r="P1686" s="8">
        <v>44460</v>
      </c>
      <c r="Q1686" s="8"/>
      <c r="R1686" s="8"/>
      <c r="S1686" s="8"/>
      <c r="T1686" s="8"/>
      <c r="U1686" s="8"/>
      <c r="V1686" s="8"/>
      <c r="W1686" s="8"/>
      <c r="X1686" s="8"/>
      <c r="Y1686" s="8"/>
      <c r="Z1686" s="8"/>
      <c r="AA1686" s="8"/>
      <c r="AB1686" s="8"/>
      <c r="AC1686" s="8"/>
      <c r="AD1686" s="8"/>
      <c r="AE1686" s="8"/>
      <c r="AF1686" s="8"/>
      <c r="AG1686" s="8"/>
      <c r="AH1686" s="8"/>
      <c r="AI1686" s="8"/>
      <c r="AJ1686" s="8"/>
      <c r="AK1686" s="8"/>
      <c r="AL1686" s="8"/>
      <c r="AM1686" s="8"/>
      <c r="AN1686" s="8"/>
      <c r="AO1686" s="8"/>
      <c r="AP1686" s="8"/>
      <c r="AQ1686" s="8"/>
      <c r="AR1686" s="8"/>
      <c r="AS1686" s="8"/>
      <c r="AT1686" s="8"/>
      <c r="AU1686" s="8"/>
      <c r="AV1686" s="8"/>
      <c r="AW1686" s="8"/>
      <c r="AX1686" s="4" t="s">
        <v>38</v>
      </c>
      <c r="AY1686" s="5" t="s">
        <v>7426</v>
      </c>
      <c r="AZ1686" s="5" t="s">
        <v>38</v>
      </c>
      <c r="BA1686" s="12"/>
      <c r="BB1686" s="12"/>
      <c r="BC1686" s="12"/>
      <c r="BD1686" s="11">
        <v>0</v>
      </c>
      <c r="BE1686" s="11">
        <v>0</v>
      </c>
    </row>
    <row x14ac:dyDescent="0.25" r="1687" customHeight="1" ht="17.25">
      <c r="A1687" s="11">
        <v>11076138</v>
      </c>
      <c r="B1687" s="4" t="s">
        <v>7427</v>
      </c>
      <c r="C1687" s="5" t="s">
        <v>7428</v>
      </c>
      <c r="D1687" s="5" t="s">
        <v>7429</v>
      </c>
      <c r="E1687" s="12"/>
      <c r="F1687" s="13">
        <f>"024114311X"</f>
      </c>
      <c r="G1687" s="13">
        <f>"9780241143117"</f>
      </c>
      <c r="H1687" s="11">
        <v>0</v>
      </c>
      <c r="I1687" s="14">
        <v>3.65</v>
      </c>
      <c r="J1687" s="7" t="s">
        <v>177</v>
      </c>
      <c r="K1687" s="5" t="s">
        <v>60</v>
      </c>
      <c r="L1687" s="11">
        <v>383</v>
      </c>
      <c r="M1687" s="11">
        <v>2011</v>
      </c>
      <c r="N1687" s="11">
        <v>2011</v>
      </c>
      <c r="O1687" s="15"/>
      <c r="P1687" s="8">
        <v>44459</v>
      </c>
      <c r="Q1687" s="8"/>
      <c r="R1687" s="8"/>
      <c r="S1687" s="8"/>
      <c r="T1687" s="8"/>
      <c r="U1687" s="8"/>
      <c r="V1687" s="8"/>
      <c r="W1687" s="8"/>
      <c r="X1687" s="8"/>
      <c r="Y1687" s="8"/>
      <c r="Z1687" s="8"/>
      <c r="AA1687" s="8"/>
      <c r="AB1687" s="8"/>
      <c r="AC1687" s="8"/>
      <c r="AD1687" s="8"/>
      <c r="AE1687" s="8"/>
      <c r="AF1687" s="8"/>
      <c r="AG1687" s="8"/>
      <c r="AH1687" s="8"/>
      <c r="AI1687" s="8"/>
      <c r="AJ1687" s="8"/>
      <c r="AK1687" s="8"/>
      <c r="AL1687" s="8"/>
      <c r="AM1687" s="8"/>
      <c r="AN1687" s="8"/>
      <c r="AO1687" s="8"/>
      <c r="AP1687" s="8"/>
      <c r="AQ1687" s="8"/>
      <c r="AR1687" s="8"/>
      <c r="AS1687" s="8"/>
      <c r="AT1687" s="8"/>
      <c r="AU1687" s="8"/>
      <c r="AV1687" s="8"/>
      <c r="AW1687" s="8"/>
      <c r="AX1687" s="4" t="s">
        <v>38</v>
      </c>
      <c r="AY1687" s="5" t="s">
        <v>7430</v>
      </c>
      <c r="AZ1687" s="5" t="s">
        <v>38</v>
      </c>
      <c r="BA1687" s="12"/>
      <c r="BB1687" s="12"/>
      <c r="BC1687" s="12"/>
      <c r="BD1687" s="11">
        <v>0</v>
      </c>
      <c r="BE1687" s="11">
        <v>0</v>
      </c>
    </row>
    <row x14ac:dyDescent="0.25" r="1688" customHeight="1" ht="17.25">
      <c r="A1688" s="11">
        <v>310722</v>
      </c>
      <c r="B1688" s="4" t="s">
        <v>7431</v>
      </c>
      <c r="C1688" s="5" t="s">
        <v>7432</v>
      </c>
      <c r="D1688" s="5" t="s">
        <v>7433</v>
      </c>
      <c r="E1688" s="5" t="s">
        <v>7434</v>
      </c>
      <c r="F1688" s="13">
        <f>"1590171969"</f>
      </c>
      <c r="G1688" s="13">
        <f>"9781590171967"</f>
      </c>
      <c r="H1688" s="11">
        <v>0</v>
      </c>
      <c r="I1688" s="14">
        <v>3.82</v>
      </c>
      <c r="J1688" s="7" t="s">
        <v>7435</v>
      </c>
      <c r="K1688" s="5" t="s">
        <v>60</v>
      </c>
      <c r="L1688" s="11">
        <v>299</v>
      </c>
      <c r="M1688" s="11">
        <v>2007</v>
      </c>
      <c r="N1688" s="11">
        <v>2000</v>
      </c>
      <c r="O1688" s="15"/>
      <c r="P1688" s="8">
        <v>44459</v>
      </c>
      <c r="Q1688" s="8"/>
      <c r="R1688" s="8"/>
      <c r="S1688" s="8"/>
      <c r="T1688" s="8"/>
      <c r="U1688" s="8"/>
      <c r="V1688" s="8"/>
      <c r="W1688" s="8"/>
      <c r="X1688" s="8"/>
      <c r="Y1688" s="8"/>
      <c r="Z1688" s="8"/>
      <c r="AA1688" s="8"/>
      <c r="AB1688" s="8"/>
      <c r="AC1688" s="8"/>
      <c r="AD1688" s="8"/>
      <c r="AE1688" s="8"/>
      <c r="AF1688" s="8"/>
      <c r="AG1688" s="8"/>
      <c r="AH1688" s="8"/>
      <c r="AI1688" s="8"/>
      <c r="AJ1688" s="8"/>
      <c r="AK1688" s="8"/>
      <c r="AL1688" s="8"/>
      <c r="AM1688" s="8"/>
      <c r="AN1688" s="8"/>
      <c r="AO1688" s="8"/>
      <c r="AP1688" s="8"/>
      <c r="AQ1688" s="8"/>
      <c r="AR1688" s="8"/>
      <c r="AS1688" s="8"/>
      <c r="AT1688" s="8"/>
      <c r="AU1688" s="8"/>
      <c r="AV1688" s="8"/>
      <c r="AW1688" s="8"/>
      <c r="AX1688" s="4" t="s">
        <v>38</v>
      </c>
      <c r="AY1688" s="5" t="s">
        <v>7436</v>
      </c>
      <c r="AZ1688" s="5" t="s">
        <v>38</v>
      </c>
      <c r="BA1688" s="12"/>
      <c r="BB1688" s="12"/>
      <c r="BC1688" s="12"/>
      <c r="BD1688" s="11">
        <v>0</v>
      </c>
      <c r="BE1688" s="11">
        <v>0</v>
      </c>
    </row>
    <row x14ac:dyDescent="0.25" r="1689" customHeight="1" ht="17.25">
      <c r="A1689" s="11">
        <v>25191</v>
      </c>
      <c r="B1689" s="4" t="s">
        <v>7437</v>
      </c>
      <c r="C1689" s="5" t="s">
        <v>7438</v>
      </c>
      <c r="D1689" s="5" t="s">
        <v>7439</v>
      </c>
      <c r="E1689" s="5" t="s">
        <v>7440</v>
      </c>
      <c r="F1689" s="13">
        <f>"0802150616"</f>
      </c>
      <c r="G1689" s="13">
        <f>"9780802150615"</f>
      </c>
      <c r="H1689" s="11">
        <v>0</v>
      </c>
      <c r="I1689" s="14">
        <v>3.9</v>
      </c>
      <c r="J1689" s="7" t="s">
        <v>66</v>
      </c>
      <c r="K1689" s="5" t="s">
        <v>60</v>
      </c>
      <c r="L1689" s="11">
        <v>165</v>
      </c>
      <c r="M1689" s="11">
        <v>1994</v>
      </c>
      <c r="N1689" s="11">
        <v>1964</v>
      </c>
      <c r="O1689" s="15"/>
      <c r="P1689" s="8">
        <v>44459</v>
      </c>
      <c r="Q1689" s="8"/>
      <c r="R1689" s="8"/>
      <c r="S1689" s="8"/>
      <c r="T1689" s="8"/>
      <c r="U1689" s="8"/>
      <c r="V1689" s="8"/>
      <c r="W1689" s="8"/>
      <c r="X1689" s="8"/>
      <c r="Y1689" s="8"/>
      <c r="Z1689" s="8"/>
      <c r="AA1689" s="8"/>
      <c r="AB1689" s="8"/>
      <c r="AC1689" s="8"/>
      <c r="AD1689" s="8"/>
      <c r="AE1689" s="8"/>
      <c r="AF1689" s="8"/>
      <c r="AG1689" s="8"/>
      <c r="AH1689" s="8"/>
      <c r="AI1689" s="8"/>
      <c r="AJ1689" s="8"/>
      <c r="AK1689" s="8"/>
      <c r="AL1689" s="8"/>
      <c r="AM1689" s="8"/>
      <c r="AN1689" s="8"/>
      <c r="AO1689" s="8"/>
      <c r="AP1689" s="8"/>
      <c r="AQ1689" s="8"/>
      <c r="AR1689" s="8"/>
      <c r="AS1689" s="8"/>
      <c r="AT1689" s="8"/>
      <c r="AU1689" s="8"/>
      <c r="AV1689" s="8"/>
      <c r="AW1689" s="8"/>
      <c r="AX1689" s="4" t="s">
        <v>38</v>
      </c>
      <c r="AY1689" s="5" t="s">
        <v>7441</v>
      </c>
      <c r="AZ1689" s="5" t="s">
        <v>38</v>
      </c>
      <c r="BA1689" s="12"/>
      <c r="BB1689" s="12"/>
      <c r="BC1689" s="12"/>
      <c r="BD1689" s="11">
        <v>0</v>
      </c>
      <c r="BE1689" s="11">
        <v>0</v>
      </c>
    </row>
    <row x14ac:dyDescent="0.25" r="1690" customHeight="1" ht="17.25">
      <c r="A1690" s="11">
        <v>318335</v>
      </c>
      <c r="B1690" s="4" t="s">
        <v>7442</v>
      </c>
      <c r="C1690" s="5" t="s">
        <v>7443</v>
      </c>
      <c r="D1690" s="5" t="s">
        <v>7444</v>
      </c>
      <c r="E1690" s="5" t="s">
        <v>7445</v>
      </c>
      <c r="F1690" s="13">
        <f>"1400078636"</f>
      </c>
      <c r="G1690" s="13">
        <f>"9781400078639"</f>
      </c>
      <c r="H1690" s="11">
        <v>0</v>
      </c>
      <c r="I1690" s="14">
        <v>4.07</v>
      </c>
      <c r="J1690" s="7" t="s">
        <v>284</v>
      </c>
      <c r="K1690" s="5" t="s">
        <v>60</v>
      </c>
      <c r="L1690" s="11">
        <v>262</v>
      </c>
      <c r="M1690" s="11">
        <v>2004</v>
      </c>
      <c r="N1690" s="11">
        <v>1975</v>
      </c>
      <c r="O1690" s="15"/>
      <c r="P1690" s="8">
        <v>44459</v>
      </c>
      <c r="Q1690" s="8"/>
      <c r="R1690" s="8"/>
      <c r="S1690" s="8"/>
      <c r="T1690" s="8"/>
      <c r="U1690" s="8"/>
      <c r="V1690" s="8"/>
      <c r="W1690" s="8"/>
      <c r="X1690" s="8"/>
      <c r="Y1690" s="8"/>
      <c r="Z1690" s="8"/>
      <c r="AA1690" s="8"/>
      <c r="AB1690" s="8"/>
      <c r="AC1690" s="8"/>
      <c r="AD1690" s="8"/>
      <c r="AE1690" s="8"/>
      <c r="AF1690" s="8"/>
      <c r="AG1690" s="8"/>
      <c r="AH1690" s="8"/>
      <c r="AI1690" s="8"/>
      <c r="AJ1690" s="8"/>
      <c r="AK1690" s="8"/>
      <c r="AL1690" s="8"/>
      <c r="AM1690" s="8"/>
      <c r="AN1690" s="8"/>
      <c r="AO1690" s="8"/>
      <c r="AP1690" s="8"/>
      <c r="AQ1690" s="8"/>
      <c r="AR1690" s="8"/>
      <c r="AS1690" s="8"/>
      <c r="AT1690" s="8"/>
      <c r="AU1690" s="8"/>
      <c r="AV1690" s="8"/>
      <c r="AW1690" s="8"/>
      <c r="AX1690" s="4" t="s">
        <v>38</v>
      </c>
      <c r="AY1690" s="5" t="s">
        <v>7446</v>
      </c>
      <c r="AZ1690" s="5" t="s">
        <v>38</v>
      </c>
      <c r="BA1690" s="12"/>
      <c r="BB1690" s="12"/>
      <c r="BC1690" s="12"/>
      <c r="BD1690" s="11">
        <v>0</v>
      </c>
      <c r="BE1690" s="11">
        <v>0</v>
      </c>
    </row>
    <row x14ac:dyDescent="0.25" r="1691" customHeight="1" ht="17.25">
      <c r="A1691" s="11">
        <v>77287</v>
      </c>
      <c r="B1691" s="4" t="s">
        <v>7447</v>
      </c>
      <c r="C1691" s="5" t="s">
        <v>7448</v>
      </c>
      <c r="D1691" s="5" t="s">
        <v>7449</v>
      </c>
      <c r="E1691" s="5" t="s">
        <v>7450</v>
      </c>
      <c r="F1691" s="13">
        <f>"0679767924"</f>
      </c>
      <c r="G1691" s="13">
        <f>"9780679767923"</f>
      </c>
      <c r="H1691" s="11">
        <v>0</v>
      </c>
      <c r="I1691" s="14">
        <v>4.14</v>
      </c>
      <c r="J1691" s="7" t="s">
        <v>114</v>
      </c>
      <c r="K1691" s="5" t="s">
        <v>60</v>
      </c>
      <c r="L1691" s="11">
        <v>482</v>
      </c>
      <c r="M1691" s="11">
        <v>1997</v>
      </c>
      <c r="N1691" s="11">
        <v>1934</v>
      </c>
      <c r="O1691" s="15"/>
      <c r="P1691" s="8">
        <v>44459</v>
      </c>
      <c r="Q1691" s="8"/>
      <c r="R1691" s="8"/>
      <c r="S1691" s="8"/>
      <c r="T1691" s="8"/>
      <c r="U1691" s="8"/>
      <c r="V1691" s="8"/>
      <c r="W1691" s="8"/>
      <c r="X1691" s="8"/>
      <c r="Y1691" s="8"/>
      <c r="Z1691" s="8"/>
      <c r="AA1691" s="8"/>
      <c r="AB1691" s="8"/>
      <c r="AC1691" s="8"/>
      <c r="AD1691" s="8"/>
      <c r="AE1691" s="8"/>
      <c r="AF1691" s="8"/>
      <c r="AG1691" s="8"/>
      <c r="AH1691" s="8"/>
      <c r="AI1691" s="8"/>
      <c r="AJ1691" s="8"/>
      <c r="AK1691" s="8"/>
      <c r="AL1691" s="8"/>
      <c r="AM1691" s="8"/>
      <c r="AN1691" s="8"/>
      <c r="AO1691" s="8"/>
      <c r="AP1691" s="8"/>
      <c r="AQ1691" s="8"/>
      <c r="AR1691" s="8"/>
      <c r="AS1691" s="8"/>
      <c r="AT1691" s="8"/>
      <c r="AU1691" s="8"/>
      <c r="AV1691" s="8"/>
      <c r="AW1691" s="8"/>
      <c r="AX1691" s="4" t="s">
        <v>38</v>
      </c>
      <c r="AY1691" s="5" t="s">
        <v>7451</v>
      </c>
      <c r="AZ1691" s="5" t="s">
        <v>38</v>
      </c>
      <c r="BA1691" s="12"/>
      <c r="BB1691" s="12"/>
      <c r="BC1691" s="12"/>
      <c r="BD1691" s="11">
        <v>0</v>
      </c>
      <c r="BE1691" s="11">
        <v>0</v>
      </c>
    </row>
    <row x14ac:dyDescent="0.25" r="1692" customHeight="1" ht="17.25">
      <c r="A1692" s="11">
        <v>17125</v>
      </c>
      <c r="B1692" s="4" t="s">
        <v>7452</v>
      </c>
      <c r="C1692" s="5" t="s">
        <v>7453</v>
      </c>
      <c r="D1692" s="5" t="s">
        <v>7454</v>
      </c>
      <c r="E1692" s="5" t="s">
        <v>7455</v>
      </c>
      <c r="F1692" s="13">
        <f>""</f>
      </c>
      <c r="G1692" s="13">
        <f>""</f>
      </c>
      <c r="H1692" s="11">
        <v>0</v>
      </c>
      <c r="I1692" s="14">
        <v>3.98</v>
      </c>
      <c r="J1692" s="7" t="s">
        <v>120</v>
      </c>
      <c r="K1692" s="5" t="s">
        <v>60</v>
      </c>
      <c r="L1692" s="11">
        <v>182</v>
      </c>
      <c r="M1692" s="11">
        <v>2005</v>
      </c>
      <c r="N1692" s="11">
        <v>1962</v>
      </c>
      <c r="O1692" s="15"/>
      <c r="P1692" s="8">
        <v>44459</v>
      </c>
      <c r="Q1692" s="8"/>
      <c r="R1692" s="8"/>
      <c r="S1692" s="8"/>
      <c r="T1692" s="8"/>
      <c r="U1692" s="8"/>
      <c r="V1692" s="8"/>
      <c r="W1692" s="8"/>
      <c r="X1692" s="8"/>
      <c r="Y1692" s="8"/>
      <c r="Z1692" s="8"/>
      <c r="AA1692" s="8"/>
      <c r="AB1692" s="8"/>
      <c r="AC1692" s="8"/>
      <c r="AD1692" s="8"/>
      <c r="AE1692" s="8"/>
      <c r="AF1692" s="8"/>
      <c r="AG1692" s="8"/>
      <c r="AH1692" s="8"/>
      <c r="AI1692" s="8"/>
      <c r="AJ1692" s="8"/>
      <c r="AK1692" s="8"/>
      <c r="AL1692" s="8"/>
      <c r="AM1692" s="8"/>
      <c r="AN1692" s="8"/>
      <c r="AO1692" s="8"/>
      <c r="AP1692" s="8"/>
      <c r="AQ1692" s="8"/>
      <c r="AR1692" s="8"/>
      <c r="AS1692" s="8"/>
      <c r="AT1692" s="8"/>
      <c r="AU1692" s="8"/>
      <c r="AV1692" s="8"/>
      <c r="AW1692" s="8"/>
      <c r="AX1692" s="4" t="s">
        <v>38</v>
      </c>
      <c r="AY1692" s="5" t="s">
        <v>7456</v>
      </c>
      <c r="AZ1692" s="5" t="s">
        <v>38</v>
      </c>
      <c r="BA1692" s="12"/>
      <c r="BB1692" s="12"/>
      <c r="BC1692" s="12"/>
      <c r="BD1692" s="11">
        <v>0</v>
      </c>
      <c r="BE1692" s="11">
        <v>0</v>
      </c>
    </row>
    <row x14ac:dyDescent="0.25" r="1693" customHeight="1" ht="17.25">
      <c r="A1693" s="11">
        <v>8047215</v>
      </c>
      <c r="B1693" s="4" t="s">
        <v>7457</v>
      </c>
      <c r="C1693" s="5" t="s">
        <v>7458</v>
      </c>
      <c r="D1693" s="5" t="s">
        <v>7459</v>
      </c>
      <c r="E1693" s="12"/>
      <c r="F1693" s="13">
        <f>"0199532915"</f>
      </c>
      <c r="G1693" s="13">
        <f>"9780199532919"</f>
      </c>
      <c r="H1693" s="11">
        <v>0</v>
      </c>
      <c r="I1693" s="14">
        <v>4.06</v>
      </c>
      <c r="J1693" s="7" t="s">
        <v>245</v>
      </c>
      <c r="K1693" s="5" t="s">
        <v>60</v>
      </c>
      <c r="L1693" s="11">
        <v>500</v>
      </c>
      <c r="M1693" s="11">
        <v>2010</v>
      </c>
      <c r="N1693" s="11">
        <v>2010</v>
      </c>
      <c r="O1693" s="15"/>
      <c r="P1693" s="8">
        <v>44455</v>
      </c>
      <c r="Q1693" s="8"/>
      <c r="R1693" s="8"/>
      <c r="S1693" s="8"/>
      <c r="T1693" s="8"/>
      <c r="U1693" s="8"/>
      <c r="V1693" s="8"/>
      <c r="W1693" s="8"/>
      <c r="X1693" s="8"/>
      <c r="Y1693" s="8"/>
      <c r="Z1693" s="8"/>
      <c r="AA1693" s="8"/>
      <c r="AB1693" s="8"/>
      <c r="AC1693" s="8"/>
      <c r="AD1693" s="8"/>
      <c r="AE1693" s="8"/>
      <c r="AF1693" s="8"/>
      <c r="AG1693" s="8"/>
      <c r="AH1693" s="8"/>
      <c r="AI1693" s="8"/>
      <c r="AJ1693" s="8"/>
      <c r="AK1693" s="8"/>
      <c r="AL1693" s="8"/>
      <c r="AM1693" s="8"/>
      <c r="AN1693" s="8"/>
      <c r="AO1693" s="8"/>
      <c r="AP1693" s="8"/>
      <c r="AQ1693" s="8"/>
      <c r="AR1693" s="8"/>
      <c r="AS1693" s="8"/>
      <c r="AT1693" s="8"/>
      <c r="AU1693" s="8"/>
      <c r="AV1693" s="8"/>
      <c r="AW1693" s="8"/>
      <c r="AX1693" s="4" t="s">
        <v>38</v>
      </c>
      <c r="AY1693" s="5" t="s">
        <v>7460</v>
      </c>
      <c r="AZ1693" s="5" t="s">
        <v>38</v>
      </c>
      <c r="BA1693" s="12"/>
      <c r="BB1693" s="12"/>
      <c r="BC1693" s="12"/>
      <c r="BD1693" s="11">
        <v>0</v>
      </c>
      <c r="BE1693" s="11">
        <v>0</v>
      </c>
    </row>
    <row x14ac:dyDescent="0.25" r="1694" customHeight="1" ht="17.25">
      <c r="A1694" s="11">
        <v>108387</v>
      </c>
      <c r="B1694" s="4" t="s">
        <v>7461</v>
      </c>
      <c r="C1694" s="5" t="s">
        <v>7462</v>
      </c>
      <c r="D1694" s="5" t="s">
        <v>7463</v>
      </c>
      <c r="E1694" s="12"/>
      <c r="F1694" s="13">
        <f>"002907052X"</f>
      </c>
      <c r="G1694" s="13">
        <f>"9780029070529"</f>
      </c>
      <c r="H1694" s="11">
        <v>0</v>
      </c>
      <c r="I1694" s="14">
        <v>4.12</v>
      </c>
      <c r="J1694" s="7" t="s">
        <v>311</v>
      </c>
      <c r="K1694" s="5" t="s">
        <v>60</v>
      </c>
      <c r="L1694" s="11">
        <v>386</v>
      </c>
      <c r="M1694" s="11">
        <v>1994</v>
      </c>
      <c r="N1694" s="11">
        <v>1967</v>
      </c>
      <c r="O1694" s="15"/>
      <c r="P1694" s="8">
        <v>44455</v>
      </c>
      <c r="Q1694" s="8"/>
      <c r="R1694" s="8"/>
      <c r="S1694" s="8"/>
      <c r="T1694" s="8"/>
      <c r="U1694" s="8"/>
      <c r="V1694" s="8"/>
      <c r="W1694" s="8"/>
      <c r="X1694" s="8"/>
      <c r="Y1694" s="8"/>
      <c r="Z1694" s="8"/>
      <c r="AA1694" s="8"/>
      <c r="AB1694" s="8"/>
      <c r="AC1694" s="8"/>
      <c r="AD1694" s="8"/>
      <c r="AE1694" s="8"/>
      <c r="AF1694" s="8"/>
      <c r="AG1694" s="8"/>
      <c r="AH1694" s="8"/>
      <c r="AI1694" s="8"/>
      <c r="AJ1694" s="8"/>
      <c r="AK1694" s="8"/>
      <c r="AL1694" s="8"/>
      <c r="AM1694" s="8"/>
      <c r="AN1694" s="8"/>
      <c r="AO1694" s="8"/>
      <c r="AP1694" s="8"/>
      <c r="AQ1694" s="8"/>
      <c r="AR1694" s="8"/>
      <c r="AS1694" s="8"/>
      <c r="AT1694" s="8"/>
      <c r="AU1694" s="8"/>
      <c r="AV1694" s="8"/>
      <c r="AW1694" s="8"/>
      <c r="AX1694" s="4" t="s">
        <v>38</v>
      </c>
      <c r="AY1694" s="5" t="s">
        <v>7464</v>
      </c>
      <c r="AZ1694" s="5" t="s">
        <v>38</v>
      </c>
      <c r="BA1694" s="12"/>
      <c r="BB1694" s="12"/>
      <c r="BC1694" s="12"/>
      <c r="BD1694" s="11">
        <v>0</v>
      </c>
      <c r="BE1694" s="11">
        <v>0</v>
      </c>
    </row>
    <row x14ac:dyDescent="0.25" r="1695" customHeight="1" ht="17.25">
      <c r="A1695" s="11">
        <v>654425</v>
      </c>
      <c r="B1695" s="4" t="s">
        <v>7465</v>
      </c>
      <c r="C1695" s="5" t="s">
        <v>7466</v>
      </c>
      <c r="D1695" s="5" t="s">
        <v>7467</v>
      </c>
      <c r="E1695" s="12"/>
      <c r="F1695" s="13">
        <f>"0393312658"</f>
      </c>
      <c r="G1695" s="13">
        <f>"9780393312652"</f>
      </c>
      <c r="H1695" s="11">
        <v>0</v>
      </c>
      <c r="I1695" s="14">
        <v>4.16</v>
      </c>
      <c r="J1695" s="7" t="s">
        <v>2281</v>
      </c>
      <c r="K1695" s="5" t="s">
        <v>60</v>
      </c>
      <c r="L1695" s="11">
        <v>416</v>
      </c>
      <c r="M1695" s="11">
        <v>1995</v>
      </c>
      <c r="N1695" s="11">
        <v>1993</v>
      </c>
      <c r="O1695" s="15"/>
      <c r="P1695" s="8">
        <v>44455</v>
      </c>
      <c r="Q1695" s="8"/>
      <c r="R1695" s="8"/>
      <c r="S1695" s="8"/>
      <c r="T1695" s="8"/>
      <c r="U1695" s="8"/>
      <c r="V1695" s="8"/>
      <c r="W1695" s="8"/>
      <c r="X1695" s="8"/>
      <c r="Y1695" s="8"/>
      <c r="Z1695" s="8"/>
      <c r="AA1695" s="8"/>
      <c r="AB1695" s="8"/>
      <c r="AC1695" s="8"/>
      <c r="AD1695" s="8"/>
      <c r="AE1695" s="8"/>
      <c r="AF1695" s="8"/>
      <c r="AG1695" s="8"/>
      <c r="AH1695" s="8"/>
      <c r="AI1695" s="8"/>
      <c r="AJ1695" s="8"/>
      <c r="AK1695" s="8"/>
      <c r="AL1695" s="8"/>
      <c r="AM1695" s="8"/>
      <c r="AN1695" s="8"/>
      <c r="AO1695" s="8"/>
      <c r="AP1695" s="8"/>
      <c r="AQ1695" s="8"/>
      <c r="AR1695" s="8"/>
      <c r="AS1695" s="8"/>
      <c r="AT1695" s="8"/>
      <c r="AU1695" s="8"/>
      <c r="AV1695" s="8"/>
      <c r="AW1695" s="8"/>
      <c r="AX1695" s="4" t="s">
        <v>38</v>
      </c>
      <c r="AY1695" s="5" t="s">
        <v>7468</v>
      </c>
      <c r="AZ1695" s="5" t="s">
        <v>38</v>
      </c>
      <c r="BA1695" s="12"/>
      <c r="BB1695" s="12"/>
      <c r="BC1695" s="12"/>
      <c r="BD1695" s="11">
        <v>0</v>
      </c>
      <c r="BE1695" s="11">
        <v>0</v>
      </c>
    </row>
    <row x14ac:dyDescent="0.25" r="1696" customHeight="1" ht="17.25">
      <c r="A1696" s="11">
        <v>216485</v>
      </c>
      <c r="B1696" s="4" t="s">
        <v>7469</v>
      </c>
      <c r="C1696" s="5" t="s">
        <v>7470</v>
      </c>
      <c r="D1696" s="5" t="s">
        <v>7471</v>
      </c>
      <c r="E1696" s="12"/>
      <c r="F1696" s="13">
        <f>"0062701908"</f>
      </c>
      <c r="G1696" s="13">
        <f>"9780062701909"</f>
      </c>
      <c r="H1696" s="11">
        <v>0</v>
      </c>
      <c r="I1696" s="14">
        <v>3.97</v>
      </c>
      <c r="J1696" s="7" t="s">
        <v>5254</v>
      </c>
      <c r="K1696" s="5" t="s">
        <v>72</v>
      </c>
      <c r="L1696" s="11">
        <v>192</v>
      </c>
      <c r="M1696" s="11">
        <v>1997</v>
      </c>
      <c r="N1696" s="11">
        <v>1997</v>
      </c>
      <c r="O1696" s="15"/>
      <c r="P1696" s="8">
        <v>44455</v>
      </c>
      <c r="Q1696" s="8"/>
      <c r="R1696" s="8"/>
      <c r="S1696" s="8"/>
      <c r="T1696" s="8"/>
      <c r="U1696" s="8"/>
      <c r="V1696" s="8"/>
      <c r="W1696" s="8"/>
      <c r="X1696" s="8"/>
      <c r="Y1696" s="8"/>
      <c r="Z1696" s="8"/>
      <c r="AA1696" s="8"/>
      <c r="AB1696" s="8"/>
      <c r="AC1696" s="8"/>
      <c r="AD1696" s="8"/>
      <c r="AE1696" s="8"/>
      <c r="AF1696" s="8"/>
      <c r="AG1696" s="8"/>
      <c r="AH1696" s="8"/>
      <c r="AI1696" s="8"/>
      <c r="AJ1696" s="8"/>
      <c r="AK1696" s="8"/>
      <c r="AL1696" s="8"/>
      <c r="AM1696" s="8"/>
      <c r="AN1696" s="8"/>
      <c r="AO1696" s="8"/>
      <c r="AP1696" s="8"/>
      <c r="AQ1696" s="8"/>
      <c r="AR1696" s="8"/>
      <c r="AS1696" s="8"/>
      <c r="AT1696" s="8"/>
      <c r="AU1696" s="8"/>
      <c r="AV1696" s="8"/>
      <c r="AW1696" s="8"/>
      <c r="AX1696" s="4" t="s">
        <v>38</v>
      </c>
      <c r="AY1696" s="5" t="s">
        <v>7472</v>
      </c>
      <c r="AZ1696" s="5" t="s">
        <v>38</v>
      </c>
      <c r="BA1696" s="12"/>
      <c r="BB1696" s="12"/>
      <c r="BC1696" s="12"/>
      <c r="BD1696" s="11">
        <v>0</v>
      </c>
      <c r="BE1696" s="11">
        <v>0</v>
      </c>
    </row>
    <row x14ac:dyDescent="0.25" r="1697" customHeight="1" ht="17.25">
      <c r="A1697" s="11">
        <v>1371808</v>
      </c>
      <c r="B1697" s="4" t="s">
        <v>7473</v>
      </c>
      <c r="C1697" s="5" t="s">
        <v>7474</v>
      </c>
      <c r="D1697" s="5" t="s">
        <v>7475</v>
      </c>
      <c r="E1697" s="5" t="s">
        <v>7476</v>
      </c>
      <c r="F1697" s="13">
        <f>"0814623832"</f>
      </c>
      <c r="G1697" s="13">
        <f>"9780814623831"</f>
      </c>
      <c r="H1697" s="11">
        <v>0</v>
      </c>
      <c r="I1697" s="14">
        <v>3.5</v>
      </c>
      <c r="J1697" s="7" t="s">
        <v>7477</v>
      </c>
      <c r="K1697" s="5" t="s">
        <v>72</v>
      </c>
      <c r="L1697" s="16"/>
      <c r="M1697" s="11">
        <v>2000</v>
      </c>
      <c r="N1697" s="11">
        <v>2000</v>
      </c>
      <c r="O1697" s="15"/>
      <c r="P1697" s="8">
        <v>44455</v>
      </c>
      <c r="Q1697" s="8"/>
      <c r="R1697" s="8"/>
      <c r="S1697" s="8"/>
      <c r="T1697" s="8"/>
      <c r="U1697" s="8"/>
      <c r="V1697" s="8"/>
      <c r="W1697" s="8"/>
      <c r="X1697" s="8"/>
      <c r="Y1697" s="8"/>
      <c r="Z1697" s="8"/>
      <c r="AA1697" s="8"/>
      <c r="AB1697" s="8"/>
      <c r="AC1697" s="8"/>
      <c r="AD1697" s="8"/>
      <c r="AE1697" s="8"/>
      <c r="AF1697" s="8"/>
      <c r="AG1697" s="8"/>
      <c r="AH1697" s="8"/>
      <c r="AI1697" s="8"/>
      <c r="AJ1697" s="8"/>
      <c r="AK1697" s="8"/>
      <c r="AL1697" s="8"/>
      <c r="AM1697" s="8"/>
      <c r="AN1697" s="8"/>
      <c r="AO1697" s="8"/>
      <c r="AP1697" s="8"/>
      <c r="AQ1697" s="8"/>
      <c r="AR1697" s="8"/>
      <c r="AS1697" s="8"/>
      <c r="AT1697" s="8"/>
      <c r="AU1697" s="8"/>
      <c r="AV1697" s="8"/>
      <c r="AW1697" s="8"/>
      <c r="AX1697" s="4" t="s">
        <v>38</v>
      </c>
      <c r="AY1697" s="5" t="s">
        <v>7478</v>
      </c>
      <c r="AZ1697" s="5" t="s">
        <v>38</v>
      </c>
      <c r="BA1697" s="12"/>
      <c r="BB1697" s="12"/>
      <c r="BC1697" s="12"/>
      <c r="BD1697" s="11">
        <v>0</v>
      </c>
      <c r="BE1697" s="11">
        <v>0</v>
      </c>
    </row>
    <row x14ac:dyDescent="0.25" r="1698" customHeight="1" ht="17.25">
      <c r="A1698" s="11">
        <v>244823</v>
      </c>
      <c r="B1698" s="4" t="s">
        <v>7479</v>
      </c>
      <c r="C1698" s="5" t="s">
        <v>7474</v>
      </c>
      <c r="D1698" s="5" t="s">
        <v>7475</v>
      </c>
      <c r="E1698" s="12"/>
      <c r="F1698" s="13">
        <f>"0895555301"</f>
      </c>
      <c r="G1698" s="13">
        <f>"9780895555304"</f>
      </c>
      <c r="H1698" s="11">
        <v>0</v>
      </c>
      <c r="I1698" s="14">
        <v>4.17</v>
      </c>
      <c r="J1698" s="7" t="s">
        <v>7480</v>
      </c>
      <c r="K1698" s="5" t="s">
        <v>60</v>
      </c>
      <c r="L1698" s="11">
        <v>464</v>
      </c>
      <c r="M1698" s="11">
        <v>1995</v>
      </c>
      <c r="N1698" s="11">
        <v>1750</v>
      </c>
      <c r="O1698" s="15"/>
      <c r="P1698" s="8">
        <v>44455</v>
      </c>
      <c r="Q1698" s="8"/>
      <c r="R1698" s="8"/>
      <c r="S1698" s="8"/>
      <c r="T1698" s="8"/>
      <c r="U1698" s="8"/>
      <c r="V1698" s="8"/>
      <c r="W1698" s="8"/>
      <c r="X1698" s="8"/>
      <c r="Y1698" s="8"/>
      <c r="Z1698" s="8"/>
      <c r="AA1698" s="8"/>
      <c r="AB1698" s="8"/>
      <c r="AC1698" s="8"/>
      <c r="AD1698" s="8"/>
      <c r="AE1698" s="8"/>
      <c r="AF1698" s="8"/>
      <c r="AG1698" s="8"/>
      <c r="AH1698" s="8"/>
      <c r="AI1698" s="8"/>
      <c r="AJ1698" s="8"/>
      <c r="AK1698" s="8"/>
      <c r="AL1698" s="8"/>
      <c r="AM1698" s="8"/>
      <c r="AN1698" s="8"/>
      <c r="AO1698" s="8"/>
      <c r="AP1698" s="8"/>
      <c r="AQ1698" s="8"/>
      <c r="AR1698" s="8"/>
      <c r="AS1698" s="8"/>
      <c r="AT1698" s="8"/>
      <c r="AU1698" s="8"/>
      <c r="AV1698" s="8"/>
      <c r="AW1698" s="8"/>
      <c r="AX1698" s="4" t="s">
        <v>38</v>
      </c>
      <c r="AY1698" s="5" t="s">
        <v>7481</v>
      </c>
      <c r="AZ1698" s="5" t="s">
        <v>38</v>
      </c>
      <c r="BA1698" s="12"/>
      <c r="BB1698" s="12"/>
      <c r="BC1698" s="12"/>
      <c r="BD1698" s="11">
        <v>0</v>
      </c>
      <c r="BE1698" s="11">
        <v>0</v>
      </c>
    </row>
    <row x14ac:dyDescent="0.25" r="1699" customHeight="1" ht="17.25">
      <c r="A1699" s="11">
        <v>12532</v>
      </c>
      <c r="B1699" s="4" t="s">
        <v>7482</v>
      </c>
      <c r="C1699" s="5" t="s">
        <v>7483</v>
      </c>
      <c r="D1699" s="5" t="s">
        <v>7484</v>
      </c>
      <c r="E1699" s="12"/>
      <c r="F1699" s="13">
        <f>"0375703470"</f>
      </c>
      <c r="G1699" s="13">
        <f>"9780375703478"</f>
      </c>
      <c r="H1699" s="11">
        <v>0</v>
      </c>
      <c r="I1699" s="14">
        <v>4.14</v>
      </c>
      <c r="J1699" s="7" t="s">
        <v>114</v>
      </c>
      <c r="K1699" s="5" t="s">
        <v>60</v>
      </c>
      <c r="L1699" s="11">
        <v>205</v>
      </c>
      <c r="M1699" s="11">
        <v>2000</v>
      </c>
      <c r="N1699" s="11">
        <v>1999</v>
      </c>
      <c r="O1699" s="15"/>
      <c r="P1699" s="8">
        <v>44447</v>
      </c>
      <c r="Q1699" s="8"/>
      <c r="R1699" s="8"/>
      <c r="S1699" s="8"/>
      <c r="T1699" s="8"/>
      <c r="U1699" s="8"/>
      <c r="V1699" s="8"/>
      <c r="W1699" s="8"/>
      <c r="X1699" s="8"/>
      <c r="Y1699" s="8"/>
      <c r="Z1699" s="8"/>
      <c r="AA1699" s="8"/>
      <c r="AB1699" s="8"/>
      <c r="AC1699" s="8"/>
      <c r="AD1699" s="8"/>
      <c r="AE1699" s="8"/>
      <c r="AF1699" s="8"/>
      <c r="AG1699" s="8"/>
      <c r="AH1699" s="8"/>
      <c r="AI1699" s="8"/>
      <c r="AJ1699" s="8"/>
      <c r="AK1699" s="8"/>
      <c r="AL1699" s="8"/>
      <c r="AM1699" s="8"/>
      <c r="AN1699" s="8"/>
      <c r="AO1699" s="8"/>
      <c r="AP1699" s="8"/>
      <c r="AQ1699" s="8"/>
      <c r="AR1699" s="8"/>
      <c r="AS1699" s="8"/>
      <c r="AT1699" s="8"/>
      <c r="AU1699" s="8"/>
      <c r="AV1699" s="8"/>
      <c r="AW1699" s="8"/>
      <c r="AX1699" s="4" t="s">
        <v>38</v>
      </c>
      <c r="AY1699" s="5" t="s">
        <v>7485</v>
      </c>
      <c r="AZ1699" s="5" t="s">
        <v>38</v>
      </c>
      <c r="BA1699" s="12"/>
      <c r="BB1699" s="12"/>
      <c r="BC1699" s="12"/>
      <c r="BD1699" s="11">
        <v>0</v>
      </c>
      <c r="BE1699" s="11">
        <v>0</v>
      </c>
    </row>
    <row x14ac:dyDescent="0.25" r="1700" customHeight="1" ht="17.25">
      <c r="A1700" s="11">
        <v>74762</v>
      </c>
      <c r="B1700" s="4" t="s">
        <v>7486</v>
      </c>
      <c r="C1700" s="5" t="s">
        <v>7487</v>
      </c>
      <c r="D1700" s="5" t="s">
        <v>7488</v>
      </c>
      <c r="E1700" s="12"/>
      <c r="F1700" s="13">
        <f>"0198609493"</f>
      </c>
      <c r="G1700" s="13">
        <f>"9780198609490"</f>
      </c>
      <c r="H1700" s="11">
        <v>0</v>
      </c>
      <c r="I1700" s="14">
        <v>3.82</v>
      </c>
      <c r="J1700" s="7" t="s">
        <v>245</v>
      </c>
      <c r="K1700" s="5" t="s">
        <v>60</v>
      </c>
      <c r="L1700" s="11">
        <v>606</v>
      </c>
      <c r="M1700" s="11">
        <v>2004</v>
      </c>
      <c r="N1700" s="11">
        <v>1978</v>
      </c>
      <c r="O1700" s="15"/>
      <c r="P1700" s="8">
        <v>44444</v>
      </c>
      <c r="Q1700" s="8"/>
      <c r="R1700" s="8"/>
      <c r="S1700" s="8"/>
      <c r="T1700" s="8"/>
      <c r="U1700" s="8"/>
      <c r="V1700" s="8"/>
      <c r="W1700" s="8"/>
      <c r="X1700" s="8"/>
      <c r="Y1700" s="8"/>
      <c r="Z1700" s="8"/>
      <c r="AA1700" s="8"/>
      <c r="AB1700" s="8"/>
      <c r="AC1700" s="8"/>
      <c r="AD1700" s="8"/>
      <c r="AE1700" s="8"/>
      <c r="AF1700" s="8"/>
      <c r="AG1700" s="8"/>
      <c r="AH1700" s="8"/>
      <c r="AI1700" s="8"/>
      <c r="AJ1700" s="8"/>
      <c r="AK1700" s="8"/>
      <c r="AL1700" s="8"/>
      <c r="AM1700" s="8"/>
      <c r="AN1700" s="8"/>
      <c r="AO1700" s="8"/>
      <c r="AP1700" s="8"/>
      <c r="AQ1700" s="8"/>
      <c r="AR1700" s="8"/>
      <c r="AS1700" s="8"/>
      <c r="AT1700" s="8"/>
      <c r="AU1700" s="8"/>
      <c r="AV1700" s="8"/>
      <c r="AW1700" s="8"/>
      <c r="AX1700" s="4" t="s">
        <v>38</v>
      </c>
      <c r="AY1700" s="5" t="s">
        <v>7489</v>
      </c>
      <c r="AZ1700" s="5" t="s">
        <v>38</v>
      </c>
      <c r="BA1700" s="12"/>
      <c r="BB1700" s="12"/>
      <c r="BC1700" s="12"/>
      <c r="BD1700" s="11">
        <v>0</v>
      </c>
      <c r="BE1700" s="11">
        <v>0</v>
      </c>
    </row>
    <row x14ac:dyDescent="0.25" r="1701" customHeight="1" ht="17.25">
      <c r="A1701" s="11">
        <v>1050632</v>
      </c>
      <c r="B1701" s="4" t="s">
        <v>7490</v>
      </c>
      <c r="C1701" s="5" t="s">
        <v>7491</v>
      </c>
      <c r="D1701" s="5" t="s">
        <v>7492</v>
      </c>
      <c r="E1701" s="12"/>
      <c r="F1701" s="13">
        <f>"067470066X"</f>
      </c>
      <c r="G1701" s="13">
        <f>"9780674700666"</f>
      </c>
      <c r="H1701" s="11">
        <v>0</v>
      </c>
      <c r="I1701" s="14">
        <v>4.37</v>
      </c>
      <c r="J1701" s="7" t="s">
        <v>138</v>
      </c>
      <c r="K1701" s="5" t="s">
        <v>60</v>
      </c>
      <c r="L1701" s="11">
        <v>318</v>
      </c>
      <c r="M1701" s="11">
        <v>1983</v>
      </c>
      <c r="N1701" s="11">
        <v>1982</v>
      </c>
      <c r="O1701" s="15"/>
      <c r="P1701" s="8">
        <v>44444</v>
      </c>
      <c r="Q1701" s="8"/>
      <c r="R1701" s="8"/>
      <c r="S1701" s="8"/>
      <c r="T1701" s="8"/>
      <c r="U1701" s="8"/>
      <c r="V1701" s="8"/>
      <c r="W1701" s="8"/>
      <c r="X1701" s="8"/>
      <c r="Y1701" s="8"/>
      <c r="Z1701" s="8"/>
      <c r="AA1701" s="8"/>
      <c r="AB1701" s="8"/>
      <c r="AC1701" s="8"/>
      <c r="AD1701" s="8"/>
      <c r="AE1701" s="8"/>
      <c r="AF1701" s="8"/>
      <c r="AG1701" s="8"/>
      <c r="AH1701" s="8"/>
      <c r="AI1701" s="8"/>
      <c r="AJ1701" s="8"/>
      <c r="AK1701" s="8"/>
      <c r="AL1701" s="8"/>
      <c r="AM1701" s="8"/>
      <c r="AN1701" s="8"/>
      <c r="AO1701" s="8"/>
      <c r="AP1701" s="8"/>
      <c r="AQ1701" s="8"/>
      <c r="AR1701" s="8"/>
      <c r="AS1701" s="8"/>
      <c r="AT1701" s="8"/>
      <c r="AU1701" s="8"/>
      <c r="AV1701" s="8"/>
      <c r="AW1701" s="8"/>
      <c r="AX1701" s="4" t="s">
        <v>38</v>
      </c>
      <c r="AY1701" s="5" t="s">
        <v>7493</v>
      </c>
      <c r="AZ1701" s="5" t="s">
        <v>38</v>
      </c>
      <c r="BA1701" s="12"/>
      <c r="BB1701" s="12"/>
      <c r="BC1701" s="12"/>
      <c r="BD1701" s="11">
        <v>0</v>
      </c>
      <c r="BE1701" s="11">
        <v>0</v>
      </c>
    </row>
    <row x14ac:dyDescent="0.25" r="1702" customHeight="1" ht="17.25">
      <c r="A1702" s="11">
        <v>529410</v>
      </c>
      <c r="B1702" s="4" t="s">
        <v>7494</v>
      </c>
      <c r="C1702" s="5" t="s">
        <v>7495</v>
      </c>
      <c r="D1702" s="5" t="s">
        <v>7496</v>
      </c>
      <c r="E1702" s="5" t="s">
        <v>7497</v>
      </c>
      <c r="F1702" s="13">
        <f>"1856265641"</f>
      </c>
      <c r="G1702" s="13">
        <f>"9781856265645"</f>
      </c>
      <c r="H1702" s="11">
        <v>0</v>
      </c>
      <c r="I1702" s="14">
        <v>3.83</v>
      </c>
      <c r="J1702" s="7" t="s">
        <v>7498</v>
      </c>
      <c r="K1702" s="5" t="s">
        <v>60</v>
      </c>
      <c r="L1702" s="11">
        <v>277</v>
      </c>
      <c r="M1702" s="11">
        <v>2004</v>
      </c>
      <c r="N1702" s="11">
        <v>1995</v>
      </c>
      <c r="O1702" s="15"/>
      <c r="P1702" s="8">
        <v>44444</v>
      </c>
      <c r="Q1702" s="8"/>
      <c r="R1702" s="8"/>
      <c r="S1702" s="8"/>
      <c r="T1702" s="8"/>
      <c r="U1702" s="8"/>
      <c r="V1702" s="8"/>
      <c r="W1702" s="8"/>
      <c r="X1702" s="8"/>
      <c r="Y1702" s="8"/>
      <c r="Z1702" s="8"/>
      <c r="AA1702" s="8"/>
      <c r="AB1702" s="8"/>
      <c r="AC1702" s="8"/>
      <c r="AD1702" s="8"/>
      <c r="AE1702" s="8"/>
      <c r="AF1702" s="8"/>
      <c r="AG1702" s="8"/>
      <c r="AH1702" s="8"/>
      <c r="AI1702" s="8"/>
      <c r="AJ1702" s="8"/>
      <c r="AK1702" s="8"/>
      <c r="AL1702" s="8"/>
      <c r="AM1702" s="8"/>
      <c r="AN1702" s="8"/>
      <c r="AO1702" s="8"/>
      <c r="AP1702" s="8"/>
      <c r="AQ1702" s="8"/>
      <c r="AR1702" s="8"/>
      <c r="AS1702" s="8"/>
      <c r="AT1702" s="8"/>
      <c r="AU1702" s="8"/>
      <c r="AV1702" s="8"/>
      <c r="AW1702" s="8"/>
      <c r="AX1702" s="4" t="s">
        <v>38</v>
      </c>
      <c r="AY1702" s="5" t="s">
        <v>7499</v>
      </c>
      <c r="AZ1702" s="5" t="s">
        <v>38</v>
      </c>
      <c r="BA1702" s="12"/>
      <c r="BB1702" s="12"/>
      <c r="BC1702" s="12"/>
      <c r="BD1702" s="11">
        <v>0</v>
      </c>
      <c r="BE1702" s="11">
        <v>0</v>
      </c>
    </row>
    <row x14ac:dyDescent="0.25" r="1703" customHeight="1" ht="17.25">
      <c r="A1703" s="11">
        <v>467132</v>
      </c>
      <c r="B1703" s="4" t="s">
        <v>7500</v>
      </c>
      <c r="C1703" s="5" t="s">
        <v>7501</v>
      </c>
      <c r="D1703" s="5" t="s">
        <v>7502</v>
      </c>
      <c r="E1703" s="12"/>
      <c r="F1703" s="13">
        <f>"0064635481"</f>
      </c>
      <c r="G1703" s="13">
        <f>"9780064635486"</f>
      </c>
      <c r="H1703" s="11">
        <v>0</v>
      </c>
      <c r="I1703" s="14">
        <v>3.8</v>
      </c>
      <c r="J1703" s="7" t="s">
        <v>505</v>
      </c>
      <c r="K1703" s="5" t="s">
        <v>60</v>
      </c>
      <c r="L1703" s="11">
        <v>224</v>
      </c>
      <c r="M1703" s="11">
        <v>2009</v>
      </c>
      <c r="N1703" s="11">
        <v>1962</v>
      </c>
      <c r="O1703" s="15"/>
      <c r="P1703" s="8">
        <v>44444</v>
      </c>
      <c r="Q1703" s="8"/>
      <c r="R1703" s="8"/>
      <c r="S1703" s="8"/>
      <c r="T1703" s="8"/>
      <c r="U1703" s="8"/>
      <c r="V1703" s="8"/>
      <c r="W1703" s="8"/>
      <c r="X1703" s="8"/>
      <c r="Y1703" s="8"/>
      <c r="Z1703" s="8"/>
      <c r="AA1703" s="8"/>
      <c r="AB1703" s="8"/>
      <c r="AC1703" s="8"/>
      <c r="AD1703" s="8"/>
      <c r="AE1703" s="8"/>
      <c r="AF1703" s="8"/>
      <c r="AG1703" s="8"/>
      <c r="AH1703" s="8"/>
      <c r="AI1703" s="8"/>
      <c r="AJ1703" s="8"/>
      <c r="AK1703" s="8"/>
      <c r="AL1703" s="8"/>
      <c r="AM1703" s="8"/>
      <c r="AN1703" s="8"/>
      <c r="AO1703" s="8"/>
      <c r="AP1703" s="8"/>
      <c r="AQ1703" s="8"/>
      <c r="AR1703" s="8"/>
      <c r="AS1703" s="8"/>
      <c r="AT1703" s="8"/>
      <c r="AU1703" s="8"/>
      <c r="AV1703" s="8"/>
      <c r="AW1703" s="8"/>
      <c r="AX1703" s="4" t="s">
        <v>38</v>
      </c>
      <c r="AY1703" s="5" t="s">
        <v>7503</v>
      </c>
      <c r="AZ1703" s="5" t="s">
        <v>38</v>
      </c>
      <c r="BA1703" s="12"/>
      <c r="BB1703" s="12"/>
      <c r="BC1703" s="12"/>
      <c r="BD1703" s="11">
        <v>0</v>
      </c>
      <c r="BE1703" s="11">
        <v>0</v>
      </c>
    </row>
    <row x14ac:dyDescent="0.25" r="1704" customHeight="1" ht="17.25">
      <c r="A1704" s="11">
        <v>23363082</v>
      </c>
      <c r="B1704" s="4" t="s">
        <v>7504</v>
      </c>
      <c r="C1704" s="5" t="s">
        <v>7505</v>
      </c>
      <c r="D1704" s="5" t="s">
        <v>7506</v>
      </c>
      <c r="E1704" s="5" t="s">
        <v>7507</v>
      </c>
      <c r="F1704" s="13">
        <f>"0192737503"</f>
      </c>
      <c r="G1704" s="13">
        <f>"9780192737502"</f>
      </c>
      <c r="H1704" s="11">
        <v>0</v>
      </c>
      <c r="I1704" s="14">
        <v>4.55</v>
      </c>
      <c r="J1704" s="7" t="s">
        <v>245</v>
      </c>
      <c r="K1704" s="5" t="s">
        <v>60</v>
      </c>
      <c r="L1704" s="11">
        <v>352</v>
      </c>
      <c r="M1704" s="11">
        <v>2015</v>
      </c>
      <c r="N1704" s="11">
        <v>2015</v>
      </c>
      <c r="O1704" s="15"/>
      <c r="P1704" s="8">
        <v>44444</v>
      </c>
      <c r="Q1704" s="8"/>
      <c r="R1704" s="8"/>
      <c r="S1704" s="8"/>
      <c r="T1704" s="8"/>
      <c r="U1704" s="8"/>
      <c r="V1704" s="8"/>
      <c r="W1704" s="8"/>
      <c r="X1704" s="8"/>
      <c r="Y1704" s="8"/>
      <c r="Z1704" s="8"/>
      <c r="AA1704" s="8"/>
      <c r="AB1704" s="8"/>
      <c r="AC1704" s="8"/>
      <c r="AD1704" s="8"/>
      <c r="AE1704" s="8"/>
      <c r="AF1704" s="8"/>
      <c r="AG1704" s="8"/>
      <c r="AH1704" s="8"/>
      <c r="AI1704" s="8"/>
      <c r="AJ1704" s="8"/>
      <c r="AK1704" s="8"/>
      <c r="AL1704" s="8"/>
      <c r="AM1704" s="8"/>
      <c r="AN1704" s="8"/>
      <c r="AO1704" s="8"/>
      <c r="AP1704" s="8"/>
      <c r="AQ1704" s="8"/>
      <c r="AR1704" s="8"/>
      <c r="AS1704" s="8"/>
      <c r="AT1704" s="8"/>
      <c r="AU1704" s="8"/>
      <c r="AV1704" s="8"/>
      <c r="AW1704" s="8"/>
      <c r="AX1704" s="4" t="s">
        <v>38</v>
      </c>
      <c r="AY1704" s="5" t="s">
        <v>7508</v>
      </c>
      <c r="AZ1704" s="5" t="s">
        <v>38</v>
      </c>
      <c r="BA1704" s="12"/>
      <c r="BB1704" s="12"/>
      <c r="BC1704" s="12"/>
      <c r="BD1704" s="11">
        <v>0</v>
      </c>
      <c r="BE1704" s="11">
        <v>0</v>
      </c>
    </row>
    <row x14ac:dyDescent="0.25" r="1705" customHeight="1" ht="17.25">
      <c r="A1705" s="11">
        <v>540494</v>
      </c>
      <c r="B1705" s="4" t="s">
        <v>7509</v>
      </c>
      <c r="C1705" s="5" t="s">
        <v>7510</v>
      </c>
      <c r="D1705" s="5" t="s">
        <v>7511</v>
      </c>
      <c r="E1705" s="12"/>
      <c r="F1705" s="13">
        <f>"0674743520"</f>
      </c>
      <c r="G1705" s="13">
        <f>"9780674743526"</f>
      </c>
      <c r="H1705" s="11">
        <v>0</v>
      </c>
      <c r="I1705" s="11">
        <v>4</v>
      </c>
      <c r="J1705" s="7" t="s">
        <v>905</v>
      </c>
      <c r="K1705" s="5" t="s">
        <v>60</v>
      </c>
      <c r="L1705" s="11">
        <v>249</v>
      </c>
      <c r="M1705" s="11">
        <v>1989</v>
      </c>
      <c r="N1705" s="11">
        <v>1987</v>
      </c>
      <c r="O1705" s="15"/>
      <c r="P1705" s="8">
        <v>44444</v>
      </c>
      <c r="Q1705" s="8"/>
      <c r="R1705" s="8"/>
      <c r="S1705" s="8"/>
      <c r="T1705" s="8"/>
      <c r="U1705" s="8"/>
      <c r="V1705" s="8"/>
      <c r="W1705" s="8"/>
      <c r="X1705" s="8"/>
      <c r="Y1705" s="8"/>
      <c r="Z1705" s="8"/>
      <c r="AA1705" s="8"/>
      <c r="AB1705" s="8"/>
      <c r="AC1705" s="8"/>
      <c r="AD1705" s="8"/>
      <c r="AE1705" s="8"/>
      <c r="AF1705" s="8"/>
      <c r="AG1705" s="8"/>
      <c r="AH1705" s="8"/>
      <c r="AI1705" s="8"/>
      <c r="AJ1705" s="8"/>
      <c r="AK1705" s="8"/>
      <c r="AL1705" s="8"/>
      <c r="AM1705" s="8"/>
      <c r="AN1705" s="8"/>
      <c r="AO1705" s="8"/>
      <c r="AP1705" s="8"/>
      <c r="AQ1705" s="8"/>
      <c r="AR1705" s="8"/>
      <c r="AS1705" s="8"/>
      <c r="AT1705" s="8"/>
      <c r="AU1705" s="8"/>
      <c r="AV1705" s="8"/>
      <c r="AW1705" s="8"/>
      <c r="AX1705" s="4" t="s">
        <v>38</v>
      </c>
      <c r="AY1705" s="5" t="s">
        <v>7512</v>
      </c>
      <c r="AZ1705" s="5" t="s">
        <v>38</v>
      </c>
      <c r="BA1705" s="12"/>
      <c r="BB1705" s="12"/>
      <c r="BC1705" s="12"/>
      <c r="BD1705" s="11">
        <v>0</v>
      </c>
      <c r="BE1705" s="11">
        <v>0</v>
      </c>
    </row>
    <row x14ac:dyDescent="0.25" r="1706" customHeight="1" ht="17.25">
      <c r="A1706" s="11">
        <v>35820384</v>
      </c>
      <c r="B1706" s="4" t="s">
        <v>7513</v>
      </c>
      <c r="C1706" s="5" t="s">
        <v>7514</v>
      </c>
      <c r="D1706" s="5" t="s">
        <v>7515</v>
      </c>
      <c r="E1706" s="12"/>
      <c r="F1706" s="13">
        <f>"0062652613"</f>
      </c>
      <c r="G1706" s="13">
        <f>"9780062652614"</f>
      </c>
      <c r="H1706" s="11">
        <v>0</v>
      </c>
      <c r="I1706" s="14">
        <v>3.68</v>
      </c>
      <c r="J1706" s="7" t="s">
        <v>505</v>
      </c>
      <c r="K1706" s="5" t="s">
        <v>60</v>
      </c>
      <c r="L1706" s="11">
        <v>256</v>
      </c>
      <c r="M1706" s="11">
        <v>2018</v>
      </c>
      <c r="N1706" s="11">
        <v>2018</v>
      </c>
      <c r="O1706" s="15"/>
      <c r="P1706" s="8">
        <v>44444</v>
      </c>
      <c r="Q1706" s="8"/>
      <c r="R1706" s="8"/>
      <c r="S1706" s="8"/>
      <c r="T1706" s="8"/>
      <c r="U1706" s="8"/>
      <c r="V1706" s="8"/>
      <c r="W1706" s="8"/>
      <c r="X1706" s="8"/>
      <c r="Y1706" s="8"/>
      <c r="Z1706" s="8"/>
      <c r="AA1706" s="8"/>
      <c r="AB1706" s="8"/>
      <c r="AC1706" s="8"/>
      <c r="AD1706" s="8"/>
      <c r="AE1706" s="8"/>
      <c r="AF1706" s="8"/>
      <c r="AG1706" s="8"/>
      <c r="AH1706" s="8"/>
      <c r="AI1706" s="8"/>
      <c r="AJ1706" s="8"/>
      <c r="AK1706" s="8"/>
      <c r="AL1706" s="8"/>
      <c r="AM1706" s="8"/>
      <c r="AN1706" s="8"/>
      <c r="AO1706" s="8"/>
      <c r="AP1706" s="8"/>
      <c r="AQ1706" s="8"/>
      <c r="AR1706" s="8"/>
      <c r="AS1706" s="8"/>
      <c r="AT1706" s="8"/>
      <c r="AU1706" s="8"/>
      <c r="AV1706" s="8"/>
      <c r="AW1706" s="8"/>
      <c r="AX1706" s="4" t="s">
        <v>38</v>
      </c>
      <c r="AY1706" s="5" t="s">
        <v>7516</v>
      </c>
      <c r="AZ1706" s="5" t="s">
        <v>38</v>
      </c>
      <c r="BA1706" s="12"/>
      <c r="BB1706" s="12"/>
      <c r="BC1706" s="12"/>
      <c r="BD1706" s="11">
        <v>0</v>
      </c>
      <c r="BE1706" s="11">
        <v>0</v>
      </c>
    </row>
    <row x14ac:dyDescent="0.25" r="1707" customHeight="1" ht="17.25">
      <c r="A1707" s="11">
        <v>2185</v>
      </c>
      <c r="B1707" s="4" t="s">
        <v>7517</v>
      </c>
      <c r="C1707" s="5" t="s">
        <v>7518</v>
      </c>
      <c r="D1707" s="5" t="s">
        <v>7519</v>
      </c>
      <c r="E1707" s="5" t="s">
        <v>7520</v>
      </c>
      <c r="F1707" s="13">
        <f>"081120054X"</f>
      </c>
      <c r="G1707" s="13">
        <f>"9780811200547"</f>
      </c>
      <c r="H1707" s="11">
        <v>0</v>
      </c>
      <c r="I1707" s="14">
        <v>3.79</v>
      </c>
      <c r="J1707" s="7" t="s">
        <v>126</v>
      </c>
      <c r="K1707" s="5" t="s">
        <v>60</v>
      </c>
      <c r="L1707" s="11">
        <v>92</v>
      </c>
      <c r="M1707" s="11">
        <v>1968</v>
      </c>
      <c r="N1707" s="11">
        <v>1913</v>
      </c>
      <c r="O1707" s="15"/>
      <c r="P1707" s="8">
        <v>44444</v>
      </c>
      <c r="Q1707" s="8"/>
      <c r="R1707" s="8"/>
      <c r="S1707" s="8"/>
      <c r="T1707" s="8"/>
      <c r="U1707" s="8"/>
      <c r="V1707" s="8"/>
      <c r="W1707" s="8"/>
      <c r="X1707" s="8"/>
      <c r="Y1707" s="8"/>
      <c r="Z1707" s="8"/>
      <c r="AA1707" s="8"/>
      <c r="AB1707" s="8"/>
      <c r="AC1707" s="8"/>
      <c r="AD1707" s="8"/>
      <c r="AE1707" s="8"/>
      <c r="AF1707" s="8"/>
      <c r="AG1707" s="8"/>
      <c r="AH1707" s="8"/>
      <c r="AI1707" s="8"/>
      <c r="AJ1707" s="8"/>
      <c r="AK1707" s="8"/>
      <c r="AL1707" s="8"/>
      <c r="AM1707" s="8"/>
      <c r="AN1707" s="8"/>
      <c r="AO1707" s="8"/>
      <c r="AP1707" s="8"/>
      <c r="AQ1707" s="8"/>
      <c r="AR1707" s="8"/>
      <c r="AS1707" s="8"/>
      <c r="AT1707" s="8"/>
      <c r="AU1707" s="8"/>
      <c r="AV1707" s="8"/>
      <c r="AW1707" s="8"/>
      <c r="AX1707" s="4" t="s">
        <v>38</v>
      </c>
      <c r="AY1707" s="5" t="s">
        <v>7521</v>
      </c>
      <c r="AZ1707" s="5" t="s">
        <v>38</v>
      </c>
      <c r="BA1707" s="12"/>
      <c r="BB1707" s="12"/>
      <c r="BC1707" s="12"/>
      <c r="BD1707" s="11">
        <v>0</v>
      </c>
      <c r="BE1707" s="11">
        <v>0</v>
      </c>
    </row>
    <row x14ac:dyDescent="0.25" r="1708" customHeight="1" ht="17.25">
      <c r="A1708" s="11">
        <v>423051</v>
      </c>
      <c r="B1708" s="4" t="s">
        <v>7522</v>
      </c>
      <c r="C1708" s="5" t="s">
        <v>7523</v>
      </c>
      <c r="D1708" s="5" t="s">
        <v>7524</v>
      </c>
      <c r="E1708" s="5" t="s">
        <v>7525</v>
      </c>
      <c r="F1708" s="13">
        <f>"0140512357"</f>
      </c>
      <c r="G1708" s="13">
        <f>"9780140512359"</f>
      </c>
      <c r="H1708" s="11">
        <v>0</v>
      </c>
      <c r="I1708" s="14">
        <v>4.29</v>
      </c>
      <c r="J1708" s="7" t="s">
        <v>182</v>
      </c>
      <c r="K1708" s="5" t="s">
        <v>60</v>
      </c>
      <c r="L1708" s="11">
        <v>480</v>
      </c>
      <c r="M1708" s="11">
        <v>1992</v>
      </c>
      <c r="N1708" s="11">
        <v>1951</v>
      </c>
      <c r="O1708" s="15"/>
      <c r="P1708" s="8">
        <v>44444</v>
      </c>
      <c r="Q1708" s="8"/>
      <c r="R1708" s="8"/>
      <c r="S1708" s="8"/>
      <c r="T1708" s="8"/>
      <c r="U1708" s="8"/>
      <c r="V1708" s="8"/>
      <c r="W1708" s="8"/>
      <c r="X1708" s="8"/>
      <c r="Y1708" s="8"/>
      <c r="Z1708" s="8"/>
      <c r="AA1708" s="8"/>
      <c r="AB1708" s="8"/>
      <c r="AC1708" s="8"/>
      <c r="AD1708" s="8"/>
      <c r="AE1708" s="8"/>
      <c r="AF1708" s="8"/>
      <c r="AG1708" s="8"/>
      <c r="AH1708" s="8"/>
      <c r="AI1708" s="8"/>
      <c r="AJ1708" s="8"/>
      <c r="AK1708" s="8"/>
      <c r="AL1708" s="8"/>
      <c r="AM1708" s="8"/>
      <c r="AN1708" s="8"/>
      <c r="AO1708" s="8"/>
      <c r="AP1708" s="8"/>
      <c r="AQ1708" s="8"/>
      <c r="AR1708" s="8"/>
      <c r="AS1708" s="8"/>
      <c r="AT1708" s="8"/>
      <c r="AU1708" s="8"/>
      <c r="AV1708" s="8"/>
      <c r="AW1708" s="8"/>
      <c r="AX1708" s="4" t="s">
        <v>38</v>
      </c>
      <c r="AY1708" s="5" t="s">
        <v>7526</v>
      </c>
      <c r="AZ1708" s="5" t="s">
        <v>38</v>
      </c>
      <c r="BA1708" s="12"/>
      <c r="BB1708" s="12"/>
      <c r="BC1708" s="12"/>
      <c r="BD1708" s="11">
        <v>0</v>
      </c>
      <c r="BE1708" s="11">
        <v>0</v>
      </c>
    </row>
    <row x14ac:dyDescent="0.25" r="1709" customHeight="1" ht="17.25">
      <c r="A1709" s="11">
        <v>3212085</v>
      </c>
      <c r="B1709" s="4" t="s">
        <v>7527</v>
      </c>
      <c r="C1709" s="5" t="s">
        <v>7528</v>
      </c>
      <c r="D1709" s="5" t="s">
        <v>7529</v>
      </c>
      <c r="E1709" s="5" t="s">
        <v>7530</v>
      </c>
      <c r="F1709" s="13">
        <f>"8415689489"</f>
      </c>
      <c r="G1709" s="13">
        <f>"9788415689485"</f>
      </c>
      <c r="H1709" s="11">
        <v>0</v>
      </c>
      <c r="I1709" s="14">
        <v>4.42</v>
      </c>
      <c r="J1709" s="7" t="s">
        <v>7531</v>
      </c>
      <c r="K1709" s="5" t="s">
        <v>60</v>
      </c>
      <c r="L1709" s="11">
        <v>608</v>
      </c>
      <c r="M1709" s="11">
        <v>2013</v>
      </c>
      <c r="N1709" s="11">
        <v>1982</v>
      </c>
      <c r="O1709" s="15"/>
      <c r="P1709" s="8">
        <v>44423</v>
      </c>
      <c r="Q1709" s="8"/>
      <c r="R1709" s="8"/>
      <c r="S1709" s="8"/>
      <c r="T1709" s="8"/>
      <c r="U1709" s="8"/>
      <c r="V1709" s="8"/>
      <c r="W1709" s="8"/>
      <c r="X1709" s="8"/>
      <c r="Y1709" s="8"/>
      <c r="Z1709" s="8"/>
      <c r="AA1709" s="8"/>
      <c r="AB1709" s="8"/>
      <c r="AC1709" s="8"/>
      <c r="AD1709" s="8"/>
      <c r="AE1709" s="8"/>
      <c r="AF1709" s="8"/>
      <c r="AG1709" s="8"/>
      <c r="AH1709" s="8"/>
      <c r="AI1709" s="8"/>
      <c r="AJ1709" s="8"/>
      <c r="AK1709" s="8"/>
      <c r="AL1709" s="8"/>
      <c r="AM1709" s="8"/>
      <c r="AN1709" s="8"/>
      <c r="AO1709" s="8"/>
      <c r="AP1709" s="8"/>
      <c r="AQ1709" s="8"/>
      <c r="AR1709" s="8"/>
      <c r="AS1709" s="8"/>
      <c r="AT1709" s="8"/>
      <c r="AU1709" s="8"/>
      <c r="AV1709" s="8"/>
      <c r="AW1709" s="8"/>
      <c r="AX1709" s="4" t="s">
        <v>38</v>
      </c>
      <c r="AY1709" s="5" t="s">
        <v>7532</v>
      </c>
      <c r="AZ1709" s="5" t="s">
        <v>38</v>
      </c>
      <c r="BA1709" s="12"/>
      <c r="BB1709" s="12"/>
      <c r="BC1709" s="12"/>
      <c r="BD1709" s="11">
        <v>0</v>
      </c>
      <c r="BE1709" s="11">
        <v>0</v>
      </c>
    </row>
    <row x14ac:dyDescent="0.25" r="1710" customHeight="1" ht="17.25">
      <c r="A1710" s="11">
        <v>53780642</v>
      </c>
      <c r="B1710" s="4" t="s">
        <v>7533</v>
      </c>
      <c r="C1710" s="5" t="s">
        <v>7534</v>
      </c>
      <c r="D1710" s="5" t="s">
        <v>7535</v>
      </c>
      <c r="E1710" s="5" t="s">
        <v>1187</v>
      </c>
      <c r="F1710" s="13">
        <f>"1999992881"</f>
      </c>
      <c r="G1710" s="13">
        <f>"9781999992880"</f>
      </c>
      <c r="H1710" s="11">
        <v>0</v>
      </c>
      <c r="I1710" s="14">
        <v>3.7</v>
      </c>
      <c r="J1710" s="7" t="s">
        <v>7536</v>
      </c>
      <c r="K1710" s="5" t="s">
        <v>60</v>
      </c>
      <c r="L1710" s="11">
        <v>136</v>
      </c>
      <c r="M1710" s="11">
        <v>2020</v>
      </c>
      <c r="N1710" s="11">
        <v>2018</v>
      </c>
      <c r="O1710" s="15"/>
      <c r="P1710" s="8">
        <v>44340</v>
      </c>
      <c r="Q1710" s="8"/>
      <c r="R1710" s="8"/>
      <c r="S1710" s="8"/>
      <c r="T1710" s="8"/>
      <c r="U1710" s="8"/>
      <c r="V1710" s="8"/>
      <c r="W1710" s="8"/>
      <c r="X1710" s="8"/>
      <c r="Y1710" s="8"/>
      <c r="Z1710" s="8"/>
      <c r="AA1710" s="8"/>
      <c r="AB1710" s="8"/>
      <c r="AC1710" s="8"/>
      <c r="AD1710" s="8"/>
      <c r="AE1710" s="8"/>
      <c r="AF1710" s="8"/>
      <c r="AG1710" s="8"/>
      <c r="AH1710" s="8"/>
      <c r="AI1710" s="8"/>
      <c r="AJ1710" s="8"/>
      <c r="AK1710" s="8"/>
      <c r="AL1710" s="8"/>
      <c r="AM1710" s="8"/>
      <c r="AN1710" s="8"/>
      <c r="AO1710" s="8"/>
      <c r="AP1710" s="8"/>
      <c r="AQ1710" s="8"/>
      <c r="AR1710" s="8"/>
      <c r="AS1710" s="8"/>
      <c r="AT1710" s="8"/>
      <c r="AU1710" s="8"/>
      <c r="AV1710" s="8"/>
      <c r="AW1710" s="8"/>
      <c r="AX1710" s="4" t="s">
        <v>38</v>
      </c>
      <c r="AY1710" s="5" t="s">
        <v>7537</v>
      </c>
      <c r="AZ1710" s="5" t="s">
        <v>38</v>
      </c>
      <c r="BA1710" s="12"/>
      <c r="BB1710" s="12"/>
      <c r="BC1710" s="12"/>
      <c r="BD1710" s="11">
        <v>0</v>
      </c>
      <c r="BE1710" s="11">
        <v>0</v>
      </c>
    </row>
    <row x14ac:dyDescent="0.25" r="1711" customHeight="1" ht="17.25">
      <c r="A1711" s="11">
        <v>21422875</v>
      </c>
      <c r="B1711" s="4" t="s">
        <v>7538</v>
      </c>
      <c r="C1711" s="5" t="s">
        <v>2854</v>
      </c>
      <c r="D1711" s="5" t="s">
        <v>2855</v>
      </c>
      <c r="E1711" s="5" t="s">
        <v>7539</v>
      </c>
      <c r="F1711" s="13">
        <f>"1584351594"</f>
      </c>
      <c r="G1711" s="13">
        <f>"9781584351597"</f>
      </c>
      <c r="H1711" s="11">
        <v>0</v>
      </c>
      <c r="I1711" s="14">
        <v>4.08</v>
      </c>
      <c r="J1711" s="7" t="s">
        <v>6068</v>
      </c>
      <c r="K1711" s="5" t="s">
        <v>60</v>
      </c>
      <c r="L1711" s="11">
        <v>84</v>
      </c>
      <c r="M1711" s="11">
        <v>2014</v>
      </c>
      <c r="N1711" s="11">
        <v>2011</v>
      </c>
      <c r="O1711" s="15"/>
      <c r="P1711" s="8">
        <v>44340</v>
      </c>
      <c r="Q1711" s="8"/>
      <c r="R1711" s="8"/>
      <c r="S1711" s="8"/>
      <c r="T1711" s="8"/>
      <c r="U1711" s="8"/>
      <c r="V1711" s="8"/>
      <c r="W1711" s="8"/>
      <c r="X1711" s="8"/>
      <c r="Y1711" s="8"/>
      <c r="Z1711" s="8"/>
      <c r="AA1711" s="8"/>
      <c r="AB1711" s="8"/>
      <c r="AC1711" s="8"/>
      <c r="AD1711" s="8"/>
      <c r="AE1711" s="8"/>
      <c r="AF1711" s="8"/>
      <c r="AG1711" s="8"/>
      <c r="AH1711" s="8"/>
      <c r="AI1711" s="8"/>
      <c r="AJ1711" s="8"/>
      <c r="AK1711" s="8"/>
      <c r="AL1711" s="8"/>
      <c r="AM1711" s="8"/>
      <c r="AN1711" s="8"/>
      <c r="AO1711" s="8"/>
      <c r="AP1711" s="8"/>
      <c r="AQ1711" s="8"/>
      <c r="AR1711" s="8"/>
      <c r="AS1711" s="8"/>
      <c r="AT1711" s="8"/>
      <c r="AU1711" s="8"/>
      <c r="AV1711" s="8"/>
      <c r="AW1711" s="8"/>
      <c r="AX1711" s="4" t="s">
        <v>38</v>
      </c>
      <c r="AY1711" s="5" t="s">
        <v>7540</v>
      </c>
      <c r="AZ1711" s="5" t="s">
        <v>38</v>
      </c>
      <c r="BA1711" s="12"/>
      <c r="BB1711" s="12"/>
      <c r="BC1711" s="12"/>
      <c r="BD1711" s="11">
        <v>0</v>
      </c>
      <c r="BE1711" s="11">
        <v>0</v>
      </c>
    </row>
    <row x14ac:dyDescent="0.25" r="1712" customHeight="1" ht="17.25">
      <c r="A1712" s="11">
        <v>53317415</v>
      </c>
      <c r="B1712" s="4" t="s">
        <v>7541</v>
      </c>
      <c r="C1712" s="5" t="s">
        <v>7542</v>
      </c>
      <c r="D1712" s="5" t="s">
        <v>7543</v>
      </c>
      <c r="E1712" s="12"/>
      <c r="F1712" s="13">
        <f>"1644450453"</f>
      </c>
      <c r="G1712" s="13">
        <f>"9781644450451"</f>
      </c>
      <c r="H1712" s="11">
        <v>0</v>
      </c>
      <c r="I1712" s="14">
        <v>4.51</v>
      </c>
      <c r="J1712" s="7" t="s">
        <v>7544</v>
      </c>
      <c r="K1712" s="5" t="s">
        <v>60</v>
      </c>
      <c r="L1712" s="11">
        <v>137</v>
      </c>
      <c r="M1712" s="11">
        <v>2020</v>
      </c>
      <c r="N1712" s="11">
        <v>2021</v>
      </c>
      <c r="O1712" s="15"/>
      <c r="P1712" s="8">
        <v>44340</v>
      </c>
      <c r="Q1712" s="8"/>
      <c r="R1712" s="8"/>
      <c r="S1712" s="8"/>
      <c r="T1712" s="8"/>
      <c r="U1712" s="8"/>
      <c r="V1712" s="8"/>
      <c r="W1712" s="8"/>
      <c r="X1712" s="8"/>
      <c r="Y1712" s="8"/>
      <c r="Z1712" s="8"/>
      <c r="AA1712" s="8"/>
      <c r="AB1712" s="8"/>
      <c r="AC1712" s="8"/>
      <c r="AD1712" s="8"/>
      <c r="AE1712" s="8"/>
      <c r="AF1712" s="8"/>
      <c r="AG1712" s="8"/>
      <c r="AH1712" s="8"/>
      <c r="AI1712" s="8"/>
      <c r="AJ1712" s="8"/>
      <c r="AK1712" s="8"/>
      <c r="AL1712" s="8"/>
      <c r="AM1712" s="8"/>
      <c r="AN1712" s="8"/>
      <c r="AO1712" s="8"/>
      <c r="AP1712" s="8"/>
      <c r="AQ1712" s="8"/>
      <c r="AR1712" s="8"/>
      <c r="AS1712" s="8"/>
      <c r="AT1712" s="8"/>
      <c r="AU1712" s="8"/>
      <c r="AV1712" s="8"/>
      <c r="AW1712" s="8"/>
      <c r="AX1712" s="4" t="s">
        <v>38</v>
      </c>
      <c r="AY1712" s="5" t="s">
        <v>7545</v>
      </c>
      <c r="AZ1712" s="5" t="s">
        <v>38</v>
      </c>
      <c r="BA1712" s="12"/>
      <c r="BB1712" s="12"/>
      <c r="BC1712" s="12"/>
      <c r="BD1712" s="11">
        <v>0</v>
      </c>
      <c r="BE1712" s="11">
        <v>0</v>
      </c>
    </row>
    <row x14ac:dyDescent="0.25" r="1713" customHeight="1" ht="17.25">
      <c r="A1713" s="11">
        <v>57070382</v>
      </c>
      <c r="B1713" s="4" t="s">
        <v>7546</v>
      </c>
      <c r="C1713" s="5" t="s">
        <v>7547</v>
      </c>
      <c r="D1713" s="5" t="s">
        <v>7548</v>
      </c>
      <c r="E1713" s="12"/>
      <c r="F1713" s="13">
        <f>"1620976544"</f>
      </c>
      <c r="G1713" s="13">
        <f>"9781620976548"</f>
      </c>
      <c r="H1713" s="11">
        <v>0</v>
      </c>
      <c r="I1713" s="14">
        <v>4.36</v>
      </c>
      <c r="J1713" s="7" t="s">
        <v>2899</v>
      </c>
      <c r="K1713" s="5" t="s">
        <v>72</v>
      </c>
      <c r="L1713" s="11">
        <v>240</v>
      </c>
      <c r="M1713" s="11">
        <v>2021</v>
      </c>
      <c r="N1713" s="16"/>
      <c r="O1713" s="15"/>
      <c r="P1713" s="8">
        <v>44340</v>
      </c>
      <c r="Q1713" s="8"/>
      <c r="R1713" s="8"/>
      <c r="S1713" s="8"/>
      <c r="T1713" s="8"/>
      <c r="U1713" s="8"/>
      <c r="V1713" s="8"/>
      <c r="W1713" s="8"/>
      <c r="X1713" s="8"/>
      <c r="Y1713" s="8"/>
      <c r="Z1713" s="8"/>
      <c r="AA1713" s="8"/>
      <c r="AB1713" s="8"/>
      <c r="AC1713" s="8"/>
      <c r="AD1713" s="8"/>
      <c r="AE1713" s="8"/>
      <c r="AF1713" s="8"/>
      <c r="AG1713" s="8"/>
      <c r="AH1713" s="8"/>
      <c r="AI1713" s="8"/>
      <c r="AJ1713" s="8"/>
      <c r="AK1713" s="8"/>
      <c r="AL1713" s="8"/>
      <c r="AM1713" s="8"/>
      <c r="AN1713" s="8"/>
      <c r="AO1713" s="8"/>
      <c r="AP1713" s="8"/>
      <c r="AQ1713" s="8"/>
      <c r="AR1713" s="8"/>
      <c r="AS1713" s="8"/>
      <c r="AT1713" s="8"/>
      <c r="AU1713" s="8"/>
      <c r="AV1713" s="8"/>
      <c r="AW1713" s="8"/>
      <c r="AX1713" s="4" t="s">
        <v>38</v>
      </c>
      <c r="AY1713" s="5" t="s">
        <v>7549</v>
      </c>
      <c r="AZ1713" s="5" t="s">
        <v>38</v>
      </c>
      <c r="BA1713" s="12"/>
      <c r="BB1713" s="12"/>
      <c r="BC1713" s="12"/>
      <c r="BD1713" s="11">
        <v>0</v>
      </c>
      <c r="BE1713" s="11">
        <v>0</v>
      </c>
    </row>
    <row x14ac:dyDescent="0.25" r="1714" customHeight="1" ht="17.25">
      <c r="A1714" s="11">
        <v>1272539</v>
      </c>
      <c r="B1714" s="4" t="s">
        <v>7550</v>
      </c>
      <c r="C1714" s="5" t="s">
        <v>6489</v>
      </c>
      <c r="D1714" s="5" t="s">
        <v>6490</v>
      </c>
      <c r="E1714" s="12"/>
      <c r="F1714" s="13">
        <f>"014002848X"</f>
      </c>
      <c r="G1714" s="13">
        <f>"9780140028485"</f>
      </c>
      <c r="H1714" s="11">
        <v>0</v>
      </c>
      <c r="I1714" s="14">
        <v>3.82</v>
      </c>
      <c r="J1714" s="7" t="s">
        <v>150</v>
      </c>
      <c r="K1714" s="5" t="s">
        <v>60</v>
      </c>
      <c r="L1714" s="11">
        <v>235</v>
      </c>
      <c r="M1714" s="11">
        <v>1988</v>
      </c>
      <c r="N1714" s="11">
        <v>1966</v>
      </c>
      <c r="O1714" s="15"/>
      <c r="P1714" s="8">
        <v>44312</v>
      </c>
      <c r="Q1714" s="8"/>
      <c r="R1714" s="8"/>
      <c r="S1714" s="8"/>
      <c r="T1714" s="8"/>
      <c r="U1714" s="8"/>
      <c r="V1714" s="8"/>
      <c r="W1714" s="8"/>
      <c r="X1714" s="8"/>
      <c r="Y1714" s="8"/>
      <c r="Z1714" s="8"/>
      <c r="AA1714" s="8"/>
      <c r="AB1714" s="8"/>
      <c r="AC1714" s="8"/>
      <c r="AD1714" s="8"/>
      <c r="AE1714" s="8"/>
      <c r="AF1714" s="8"/>
      <c r="AG1714" s="8"/>
      <c r="AH1714" s="8"/>
      <c r="AI1714" s="8"/>
      <c r="AJ1714" s="8"/>
      <c r="AK1714" s="8"/>
      <c r="AL1714" s="8"/>
      <c r="AM1714" s="8"/>
      <c r="AN1714" s="8"/>
      <c r="AO1714" s="8"/>
      <c r="AP1714" s="8"/>
      <c r="AQ1714" s="8"/>
      <c r="AR1714" s="8"/>
      <c r="AS1714" s="8"/>
      <c r="AT1714" s="8"/>
      <c r="AU1714" s="8"/>
      <c r="AV1714" s="8"/>
      <c r="AW1714" s="8"/>
      <c r="AX1714" s="4" t="s">
        <v>38</v>
      </c>
      <c r="AY1714" s="5" t="s">
        <v>7551</v>
      </c>
      <c r="AZ1714" s="5" t="s">
        <v>38</v>
      </c>
      <c r="BA1714" s="12"/>
      <c r="BB1714" s="12"/>
      <c r="BC1714" s="12"/>
      <c r="BD1714" s="11">
        <v>0</v>
      </c>
      <c r="BE1714" s="11">
        <v>0</v>
      </c>
    </row>
    <row x14ac:dyDescent="0.25" r="1715" customHeight="1" ht="17.25">
      <c r="A1715" s="11">
        <v>57697529</v>
      </c>
      <c r="B1715" s="4" t="s">
        <v>7552</v>
      </c>
      <c r="C1715" s="5" t="s">
        <v>7553</v>
      </c>
      <c r="D1715" s="5" t="s">
        <v>7554</v>
      </c>
      <c r="E1715" s="5" t="s">
        <v>7555</v>
      </c>
      <c r="F1715" s="13">
        <f>"8412303601"</f>
      </c>
      <c r="G1715" s="13">
        <f>"9788412303605"</f>
      </c>
      <c r="H1715" s="11">
        <v>0</v>
      </c>
      <c r="I1715" s="14">
        <v>3.77</v>
      </c>
      <c r="J1715" s="7" t="s">
        <v>7556</v>
      </c>
      <c r="K1715" s="5" t="s">
        <v>60</v>
      </c>
      <c r="L1715" s="11">
        <v>176</v>
      </c>
      <c r="M1715" s="11">
        <v>2021</v>
      </c>
      <c r="N1715" s="11">
        <v>1995</v>
      </c>
      <c r="O1715" s="15"/>
      <c r="P1715" s="8">
        <v>44312</v>
      </c>
      <c r="Q1715" s="8"/>
      <c r="R1715" s="8"/>
      <c r="S1715" s="8"/>
      <c r="T1715" s="8"/>
      <c r="U1715" s="8"/>
      <c r="V1715" s="8"/>
      <c r="W1715" s="8"/>
      <c r="X1715" s="8"/>
      <c r="Y1715" s="8"/>
      <c r="Z1715" s="8"/>
      <c r="AA1715" s="8"/>
      <c r="AB1715" s="8"/>
      <c r="AC1715" s="8"/>
      <c r="AD1715" s="8"/>
      <c r="AE1715" s="8"/>
      <c r="AF1715" s="8"/>
      <c r="AG1715" s="8"/>
      <c r="AH1715" s="8"/>
      <c r="AI1715" s="8"/>
      <c r="AJ1715" s="8"/>
      <c r="AK1715" s="8"/>
      <c r="AL1715" s="8"/>
      <c r="AM1715" s="8"/>
      <c r="AN1715" s="8"/>
      <c r="AO1715" s="8"/>
      <c r="AP1715" s="8"/>
      <c r="AQ1715" s="8"/>
      <c r="AR1715" s="8"/>
      <c r="AS1715" s="8"/>
      <c r="AT1715" s="8"/>
      <c r="AU1715" s="8"/>
      <c r="AV1715" s="8"/>
      <c r="AW1715" s="8"/>
      <c r="AX1715" s="4" t="s">
        <v>38</v>
      </c>
      <c r="AY1715" s="5" t="s">
        <v>7557</v>
      </c>
      <c r="AZ1715" s="5" t="s">
        <v>38</v>
      </c>
      <c r="BA1715" s="12"/>
      <c r="BB1715" s="12"/>
      <c r="BC1715" s="12"/>
      <c r="BD1715" s="11">
        <v>0</v>
      </c>
      <c r="BE1715" s="11">
        <v>0</v>
      </c>
    </row>
    <row x14ac:dyDescent="0.25" r="1716" customHeight="1" ht="17.25">
      <c r="A1716" s="11">
        <v>44599638</v>
      </c>
      <c r="B1716" s="4" t="s">
        <v>7558</v>
      </c>
      <c r="C1716" s="5" t="s">
        <v>7559</v>
      </c>
      <c r="D1716" s="5" t="s">
        <v>7560</v>
      </c>
      <c r="E1716" s="5" t="s">
        <v>7561</v>
      </c>
      <c r="F1716" s="13">
        <f>"0997567473"</f>
      </c>
      <c r="G1716" s="13">
        <f>"9780997567472"</f>
      </c>
      <c r="H1716" s="11">
        <v>0</v>
      </c>
      <c r="I1716" s="14">
        <v>3.56</v>
      </c>
      <c r="J1716" s="7" t="s">
        <v>7562</v>
      </c>
      <c r="K1716" s="5" t="s">
        <v>72</v>
      </c>
      <c r="L1716" s="11">
        <v>320</v>
      </c>
      <c r="M1716" s="11">
        <v>2021</v>
      </c>
      <c r="N1716" s="16"/>
      <c r="O1716" s="15"/>
      <c r="P1716" s="8">
        <v>44292</v>
      </c>
      <c r="Q1716" s="8"/>
      <c r="R1716" s="8"/>
      <c r="S1716" s="8"/>
      <c r="T1716" s="8"/>
      <c r="U1716" s="8"/>
      <c r="V1716" s="8"/>
      <c r="W1716" s="8"/>
      <c r="X1716" s="8"/>
      <c r="Y1716" s="8"/>
      <c r="Z1716" s="8"/>
      <c r="AA1716" s="8"/>
      <c r="AB1716" s="8"/>
      <c r="AC1716" s="8"/>
      <c r="AD1716" s="8"/>
      <c r="AE1716" s="8"/>
      <c r="AF1716" s="8"/>
      <c r="AG1716" s="8"/>
      <c r="AH1716" s="8"/>
      <c r="AI1716" s="8"/>
      <c r="AJ1716" s="8"/>
      <c r="AK1716" s="8"/>
      <c r="AL1716" s="8"/>
      <c r="AM1716" s="8"/>
      <c r="AN1716" s="8"/>
      <c r="AO1716" s="8"/>
      <c r="AP1716" s="8"/>
      <c r="AQ1716" s="8"/>
      <c r="AR1716" s="8"/>
      <c r="AS1716" s="8"/>
      <c r="AT1716" s="8"/>
      <c r="AU1716" s="8"/>
      <c r="AV1716" s="8"/>
      <c r="AW1716" s="8"/>
      <c r="AX1716" s="4" t="s">
        <v>38</v>
      </c>
      <c r="AY1716" s="5" t="s">
        <v>7563</v>
      </c>
      <c r="AZ1716" s="5" t="s">
        <v>38</v>
      </c>
      <c r="BA1716" s="12"/>
      <c r="BB1716" s="12"/>
      <c r="BC1716" s="12"/>
      <c r="BD1716" s="11">
        <v>0</v>
      </c>
      <c r="BE1716" s="11">
        <v>0</v>
      </c>
    </row>
    <row x14ac:dyDescent="0.25" r="1717" customHeight="1" ht="17.25">
      <c r="A1717" s="11">
        <v>7954163</v>
      </c>
      <c r="B1717" s="4" t="s">
        <v>7564</v>
      </c>
      <c r="C1717" s="5" t="s">
        <v>3249</v>
      </c>
      <c r="D1717" s="5" t="s">
        <v>3250</v>
      </c>
      <c r="E1717" s="5" t="s">
        <v>7565</v>
      </c>
      <c r="F1717" s="13">
        <f>"0141191139"</f>
      </c>
      <c r="G1717" s="13">
        <f>"9780141191133"</f>
      </c>
      <c r="H1717" s="11">
        <v>0</v>
      </c>
      <c r="I1717" s="14">
        <v>3.82</v>
      </c>
      <c r="J1717" s="7" t="s">
        <v>7566</v>
      </c>
      <c r="K1717" s="5" t="s">
        <v>60</v>
      </c>
      <c r="L1717" s="11">
        <v>280</v>
      </c>
      <c r="M1717" s="11">
        <v>2010</v>
      </c>
      <c r="N1717" s="11">
        <v>1971</v>
      </c>
      <c r="O1717" s="15"/>
      <c r="P1717" s="8">
        <v>44265</v>
      </c>
      <c r="Q1717" s="8"/>
      <c r="R1717" s="8"/>
      <c r="S1717" s="8"/>
      <c r="T1717" s="8"/>
      <c r="U1717" s="8"/>
      <c r="V1717" s="8"/>
      <c r="W1717" s="8"/>
      <c r="X1717" s="8"/>
      <c r="Y1717" s="8"/>
      <c r="Z1717" s="8"/>
      <c r="AA1717" s="8"/>
      <c r="AB1717" s="8"/>
      <c r="AC1717" s="8"/>
      <c r="AD1717" s="8"/>
      <c r="AE1717" s="8"/>
      <c r="AF1717" s="8"/>
      <c r="AG1717" s="8"/>
      <c r="AH1717" s="8"/>
      <c r="AI1717" s="8"/>
      <c r="AJ1717" s="8"/>
      <c r="AK1717" s="8"/>
      <c r="AL1717" s="8"/>
      <c r="AM1717" s="8"/>
      <c r="AN1717" s="8"/>
      <c r="AO1717" s="8"/>
      <c r="AP1717" s="8"/>
      <c r="AQ1717" s="8"/>
      <c r="AR1717" s="8"/>
      <c r="AS1717" s="8"/>
      <c r="AT1717" s="8"/>
      <c r="AU1717" s="8"/>
      <c r="AV1717" s="8"/>
      <c r="AW1717" s="8"/>
      <c r="AX1717" s="4" t="s">
        <v>38</v>
      </c>
      <c r="AY1717" s="5" t="s">
        <v>7567</v>
      </c>
      <c r="AZ1717" s="5" t="s">
        <v>38</v>
      </c>
      <c r="BA1717" s="12"/>
      <c r="BB1717" s="12"/>
      <c r="BC1717" s="12"/>
      <c r="BD1717" s="11">
        <v>0</v>
      </c>
      <c r="BE1717" s="11">
        <v>0</v>
      </c>
    </row>
    <row x14ac:dyDescent="0.25" r="1718" customHeight="1" ht="17.25">
      <c r="A1718" s="11">
        <v>55629665</v>
      </c>
      <c r="B1718" s="4" t="s">
        <v>7568</v>
      </c>
      <c r="C1718" s="5" t="s">
        <v>995</v>
      </c>
      <c r="D1718" s="5" t="s">
        <v>996</v>
      </c>
      <c r="E1718" s="5" t="s">
        <v>7569</v>
      </c>
      <c r="F1718" s="13">
        <f>"0807006424"</f>
      </c>
      <c r="G1718" s="13">
        <f>"9780807006429"</f>
      </c>
      <c r="H1718" s="11">
        <v>0</v>
      </c>
      <c r="I1718" s="14">
        <v>4.65</v>
      </c>
      <c r="J1718" s="7" t="s">
        <v>861</v>
      </c>
      <c r="K1718" s="5" t="s">
        <v>72</v>
      </c>
      <c r="L1718" s="11">
        <v>83</v>
      </c>
      <c r="M1718" s="11">
        <v>2021</v>
      </c>
      <c r="N1718" s="11">
        <v>1964</v>
      </c>
      <c r="O1718" s="15"/>
      <c r="P1718" s="8">
        <v>44264</v>
      </c>
      <c r="Q1718" s="8"/>
      <c r="R1718" s="8"/>
      <c r="S1718" s="8"/>
      <c r="T1718" s="8"/>
      <c r="U1718" s="8"/>
      <c r="V1718" s="8"/>
      <c r="W1718" s="8"/>
      <c r="X1718" s="8"/>
      <c r="Y1718" s="8"/>
      <c r="Z1718" s="8"/>
      <c r="AA1718" s="8"/>
      <c r="AB1718" s="8"/>
      <c r="AC1718" s="8"/>
      <c r="AD1718" s="8"/>
      <c r="AE1718" s="8"/>
      <c r="AF1718" s="8"/>
      <c r="AG1718" s="8"/>
      <c r="AH1718" s="8"/>
      <c r="AI1718" s="8"/>
      <c r="AJ1718" s="8"/>
      <c r="AK1718" s="8"/>
      <c r="AL1718" s="8"/>
      <c r="AM1718" s="8"/>
      <c r="AN1718" s="8"/>
      <c r="AO1718" s="8"/>
      <c r="AP1718" s="8"/>
      <c r="AQ1718" s="8"/>
      <c r="AR1718" s="8"/>
      <c r="AS1718" s="8"/>
      <c r="AT1718" s="8"/>
      <c r="AU1718" s="8"/>
      <c r="AV1718" s="8"/>
      <c r="AW1718" s="8"/>
      <c r="AX1718" s="4" t="s">
        <v>38</v>
      </c>
      <c r="AY1718" s="5" t="s">
        <v>7570</v>
      </c>
      <c r="AZ1718" s="5" t="s">
        <v>38</v>
      </c>
      <c r="BA1718" s="12"/>
      <c r="BB1718" s="12"/>
      <c r="BC1718" s="12"/>
      <c r="BD1718" s="11">
        <v>0</v>
      </c>
      <c r="BE1718" s="11">
        <v>0</v>
      </c>
    </row>
    <row x14ac:dyDescent="0.25" r="1719" customHeight="1" ht="17.25">
      <c r="A1719" s="11">
        <v>843105</v>
      </c>
      <c r="B1719" s="4" t="s">
        <v>7571</v>
      </c>
      <c r="C1719" s="5" t="s">
        <v>7572</v>
      </c>
      <c r="D1719" s="5" t="s">
        <v>7573</v>
      </c>
      <c r="E1719" s="5" t="s">
        <v>7574</v>
      </c>
      <c r="F1719" s="13">
        <f>"0226452794"</f>
      </c>
      <c r="G1719" s="13">
        <f>"9780226452791"</f>
      </c>
      <c r="H1719" s="11">
        <v>0</v>
      </c>
      <c r="I1719" s="11">
        <v>4</v>
      </c>
      <c r="J1719" s="7" t="s">
        <v>255</v>
      </c>
      <c r="K1719" s="5" t="s">
        <v>60</v>
      </c>
      <c r="L1719" s="11">
        <v>266</v>
      </c>
      <c r="M1719" s="11">
        <v>1999</v>
      </c>
      <c r="N1719" s="11">
        <v>1997</v>
      </c>
      <c r="O1719" s="15"/>
      <c r="P1719" s="8">
        <v>44263</v>
      </c>
      <c r="Q1719" s="8"/>
      <c r="R1719" s="8"/>
      <c r="S1719" s="8"/>
      <c r="T1719" s="8"/>
      <c r="U1719" s="8"/>
      <c r="V1719" s="8"/>
      <c r="W1719" s="8"/>
      <c r="X1719" s="8"/>
      <c r="Y1719" s="8"/>
      <c r="Z1719" s="8"/>
      <c r="AA1719" s="8"/>
      <c r="AB1719" s="8"/>
      <c r="AC1719" s="8"/>
      <c r="AD1719" s="8"/>
      <c r="AE1719" s="8"/>
      <c r="AF1719" s="8"/>
      <c r="AG1719" s="8"/>
      <c r="AH1719" s="8"/>
      <c r="AI1719" s="8"/>
      <c r="AJ1719" s="8"/>
      <c r="AK1719" s="8"/>
      <c r="AL1719" s="8"/>
      <c r="AM1719" s="8"/>
      <c r="AN1719" s="8"/>
      <c r="AO1719" s="8"/>
      <c r="AP1719" s="8"/>
      <c r="AQ1719" s="8"/>
      <c r="AR1719" s="8"/>
      <c r="AS1719" s="8"/>
      <c r="AT1719" s="8"/>
      <c r="AU1719" s="8"/>
      <c r="AV1719" s="8"/>
      <c r="AW1719" s="8"/>
      <c r="AX1719" s="4" t="s">
        <v>38</v>
      </c>
      <c r="AY1719" s="5" t="s">
        <v>7575</v>
      </c>
      <c r="AZ1719" s="5" t="s">
        <v>38</v>
      </c>
      <c r="BA1719" s="12"/>
      <c r="BB1719" s="12"/>
      <c r="BC1719" s="12"/>
      <c r="BD1719" s="11">
        <v>0</v>
      </c>
      <c r="BE1719" s="11">
        <v>0</v>
      </c>
    </row>
    <row x14ac:dyDescent="0.25" r="1720" customHeight="1" ht="17.25">
      <c r="A1720" s="11">
        <v>56844</v>
      </c>
      <c r="B1720" s="4" t="s">
        <v>7576</v>
      </c>
      <c r="C1720" s="5" t="s">
        <v>7577</v>
      </c>
      <c r="D1720" s="5" t="s">
        <v>7578</v>
      </c>
      <c r="E1720" s="12"/>
      <c r="F1720" s="13">
        <f>"006097561X"</f>
      </c>
      <c r="G1720" s="13">
        <f>"9780060975616"</f>
      </c>
      <c r="H1720" s="11">
        <v>0</v>
      </c>
      <c r="I1720" s="14">
        <v>3.59</v>
      </c>
      <c r="J1720" s="7" t="s">
        <v>3763</v>
      </c>
      <c r="K1720" s="5" t="s">
        <v>346</v>
      </c>
      <c r="L1720" s="11">
        <v>272</v>
      </c>
      <c r="M1720" s="11">
        <v>1993</v>
      </c>
      <c r="N1720" s="11">
        <v>1992</v>
      </c>
      <c r="O1720" s="15"/>
      <c r="P1720" s="8">
        <v>44261</v>
      </c>
      <c r="Q1720" s="8"/>
      <c r="R1720" s="8"/>
      <c r="S1720" s="8"/>
      <c r="T1720" s="8"/>
      <c r="U1720" s="8"/>
      <c r="V1720" s="8"/>
      <c r="W1720" s="8"/>
      <c r="X1720" s="8"/>
      <c r="Y1720" s="8"/>
      <c r="Z1720" s="8"/>
      <c r="AA1720" s="8"/>
      <c r="AB1720" s="8"/>
      <c r="AC1720" s="8"/>
      <c r="AD1720" s="8"/>
      <c r="AE1720" s="8"/>
      <c r="AF1720" s="8"/>
      <c r="AG1720" s="8"/>
      <c r="AH1720" s="8"/>
      <c r="AI1720" s="8"/>
      <c r="AJ1720" s="8"/>
      <c r="AK1720" s="8"/>
      <c r="AL1720" s="8"/>
      <c r="AM1720" s="8"/>
      <c r="AN1720" s="8"/>
      <c r="AO1720" s="8"/>
      <c r="AP1720" s="8"/>
      <c r="AQ1720" s="8"/>
      <c r="AR1720" s="8"/>
      <c r="AS1720" s="8"/>
      <c r="AT1720" s="8"/>
      <c r="AU1720" s="8"/>
      <c r="AV1720" s="8"/>
      <c r="AW1720" s="8"/>
      <c r="AX1720" s="4" t="s">
        <v>38</v>
      </c>
      <c r="AY1720" s="5" t="s">
        <v>7579</v>
      </c>
      <c r="AZ1720" s="5" t="s">
        <v>38</v>
      </c>
      <c r="BA1720" s="12"/>
      <c r="BB1720" s="12"/>
      <c r="BC1720" s="12"/>
      <c r="BD1720" s="11">
        <v>0</v>
      </c>
      <c r="BE1720" s="11">
        <v>0</v>
      </c>
    </row>
    <row x14ac:dyDescent="0.25" r="1721" customHeight="1" ht="17.25">
      <c r="A1721" s="11">
        <v>83272</v>
      </c>
      <c r="B1721" s="4" t="s">
        <v>7580</v>
      </c>
      <c r="C1721" s="5" t="s">
        <v>2667</v>
      </c>
      <c r="D1721" s="5" t="s">
        <v>7581</v>
      </c>
      <c r="E1721" s="12"/>
      <c r="F1721" s="13">
        <f>"0521002958"</f>
      </c>
      <c r="G1721" s="13">
        <f>"9780521002950"</f>
      </c>
      <c r="H1721" s="11">
        <v>0</v>
      </c>
      <c r="I1721" s="14">
        <v>4.01</v>
      </c>
      <c r="J1721" s="7" t="s">
        <v>636</v>
      </c>
      <c r="K1721" s="5" t="s">
        <v>60</v>
      </c>
      <c r="L1721" s="11">
        <v>288</v>
      </c>
      <c r="M1721" s="11">
        <v>2001</v>
      </c>
      <c r="N1721" s="11">
        <v>1965</v>
      </c>
      <c r="O1721" s="15"/>
      <c r="P1721" s="8">
        <v>44261</v>
      </c>
      <c r="Q1721" s="8"/>
      <c r="R1721" s="8"/>
      <c r="S1721" s="8"/>
      <c r="T1721" s="8"/>
      <c r="U1721" s="8"/>
      <c r="V1721" s="8"/>
      <c r="W1721" s="8"/>
      <c r="X1721" s="8"/>
      <c r="Y1721" s="8"/>
      <c r="Z1721" s="8"/>
      <c r="AA1721" s="8"/>
      <c r="AB1721" s="8"/>
      <c r="AC1721" s="8"/>
      <c r="AD1721" s="8"/>
      <c r="AE1721" s="8"/>
      <c r="AF1721" s="8"/>
      <c r="AG1721" s="8"/>
      <c r="AH1721" s="8"/>
      <c r="AI1721" s="8"/>
      <c r="AJ1721" s="8"/>
      <c r="AK1721" s="8"/>
      <c r="AL1721" s="8"/>
      <c r="AM1721" s="8"/>
      <c r="AN1721" s="8"/>
      <c r="AO1721" s="8"/>
      <c r="AP1721" s="8"/>
      <c r="AQ1721" s="8"/>
      <c r="AR1721" s="8"/>
      <c r="AS1721" s="8"/>
      <c r="AT1721" s="8"/>
      <c r="AU1721" s="8"/>
      <c r="AV1721" s="8"/>
      <c r="AW1721" s="8"/>
      <c r="AX1721" s="4" t="s">
        <v>38</v>
      </c>
      <c r="AY1721" s="5" t="s">
        <v>7582</v>
      </c>
      <c r="AZ1721" s="5" t="s">
        <v>38</v>
      </c>
      <c r="BA1721" s="12"/>
      <c r="BB1721" s="12"/>
      <c r="BC1721" s="12"/>
      <c r="BD1721" s="11">
        <v>0</v>
      </c>
      <c r="BE1721" s="11">
        <v>0</v>
      </c>
    </row>
    <row x14ac:dyDescent="0.25" r="1722" customHeight="1" ht="17.25">
      <c r="A1722" s="11">
        <v>1306109</v>
      </c>
      <c r="B1722" s="4" t="s">
        <v>7583</v>
      </c>
      <c r="C1722" s="5" t="s">
        <v>2093</v>
      </c>
      <c r="D1722" s="5" t="s">
        <v>2094</v>
      </c>
      <c r="E1722" s="12"/>
      <c r="F1722" s="13">
        <f>"0140062742"</f>
      </c>
      <c r="G1722" s="13">
        <f>"9780140062748"</f>
      </c>
      <c r="H1722" s="11">
        <v>0</v>
      </c>
      <c r="I1722" s="14">
        <v>3.84</v>
      </c>
      <c r="J1722" s="7" t="s">
        <v>491</v>
      </c>
      <c r="K1722" s="5" t="s">
        <v>60</v>
      </c>
      <c r="L1722" s="11">
        <v>424</v>
      </c>
      <c r="M1722" s="11">
        <v>1982</v>
      </c>
      <c r="N1722" s="11">
        <v>1982</v>
      </c>
      <c r="O1722" s="15"/>
      <c r="P1722" s="8">
        <v>44261</v>
      </c>
      <c r="Q1722" s="8"/>
      <c r="R1722" s="8"/>
      <c r="S1722" s="8"/>
      <c r="T1722" s="8"/>
      <c r="U1722" s="8"/>
      <c r="V1722" s="8"/>
      <c r="W1722" s="8"/>
      <c r="X1722" s="8"/>
      <c r="Y1722" s="8"/>
      <c r="Z1722" s="8"/>
      <c r="AA1722" s="8"/>
      <c r="AB1722" s="8"/>
      <c r="AC1722" s="8"/>
      <c r="AD1722" s="8"/>
      <c r="AE1722" s="8"/>
      <c r="AF1722" s="8"/>
      <c r="AG1722" s="8"/>
      <c r="AH1722" s="8"/>
      <c r="AI1722" s="8"/>
      <c r="AJ1722" s="8"/>
      <c r="AK1722" s="8"/>
      <c r="AL1722" s="8"/>
      <c r="AM1722" s="8"/>
      <c r="AN1722" s="8"/>
      <c r="AO1722" s="8"/>
      <c r="AP1722" s="8"/>
      <c r="AQ1722" s="8"/>
      <c r="AR1722" s="8"/>
      <c r="AS1722" s="8"/>
      <c r="AT1722" s="8"/>
      <c r="AU1722" s="8"/>
      <c r="AV1722" s="8"/>
      <c r="AW1722" s="8"/>
      <c r="AX1722" s="4" t="s">
        <v>38</v>
      </c>
      <c r="AY1722" s="5" t="s">
        <v>7584</v>
      </c>
      <c r="AZ1722" s="5" t="s">
        <v>38</v>
      </c>
      <c r="BA1722" s="12"/>
      <c r="BB1722" s="12"/>
      <c r="BC1722" s="12"/>
      <c r="BD1722" s="11">
        <v>0</v>
      </c>
      <c r="BE1722" s="11">
        <v>0</v>
      </c>
    </row>
    <row x14ac:dyDescent="0.25" r="1723" customHeight="1" ht="17.25">
      <c r="A1723" s="11">
        <v>1803369</v>
      </c>
      <c r="B1723" s="4" t="s">
        <v>7585</v>
      </c>
      <c r="C1723" s="5" t="s">
        <v>7586</v>
      </c>
      <c r="D1723" s="5" t="s">
        <v>7587</v>
      </c>
      <c r="E1723" s="12"/>
      <c r="F1723" s="13">
        <f>"9875662550"</f>
      </c>
      <c r="G1723" s="13">
        <f>"9789875662551"</f>
      </c>
      <c r="H1723" s="11">
        <v>0</v>
      </c>
      <c r="I1723" s="14">
        <v>3.97</v>
      </c>
      <c r="J1723" s="7" t="s">
        <v>7588</v>
      </c>
      <c r="K1723" s="5" t="s">
        <v>60</v>
      </c>
      <c r="L1723" s="11">
        <v>359</v>
      </c>
      <c r="M1723" s="11">
        <v>2014</v>
      </c>
      <c r="N1723" s="11">
        <v>1994</v>
      </c>
      <c r="O1723" s="15"/>
      <c r="P1723" s="8">
        <v>44258</v>
      </c>
      <c r="Q1723" s="8"/>
      <c r="R1723" s="8"/>
      <c r="S1723" s="8"/>
      <c r="T1723" s="8"/>
      <c r="U1723" s="8"/>
      <c r="V1723" s="8"/>
      <c r="W1723" s="8"/>
      <c r="X1723" s="8"/>
      <c r="Y1723" s="8"/>
      <c r="Z1723" s="8"/>
      <c r="AA1723" s="8"/>
      <c r="AB1723" s="8"/>
      <c r="AC1723" s="8"/>
      <c r="AD1723" s="8"/>
      <c r="AE1723" s="8"/>
      <c r="AF1723" s="8"/>
      <c r="AG1723" s="8"/>
      <c r="AH1723" s="8"/>
      <c r="AI1723" s="8"/>
      <c r="AJ1723" s="8"/>
      <c r="AK1723" s="8"/>
      <c r="AL1723" s="8"/>
      <c r="AM1723" s="8"/>
      <c r="AN1723" s="8"/>
      <c r="AO1723" s="8"/>
      <c r="AP1723" s="8"/>
      <c r="AQ1723" s="8"/>
      <c r="AR1723" s="8"/>
      <c r="AS1723" s="8"/>
      <c r="AT1723" s="8"/>
      <c r="AU1723" s="8"/>
      <c r="AV1723" s="8"/>
      <c r="AW1723" s="8"/>
      <c r="AX1723" s="4" t="s">
        <v>38</v>
      </c>
      <c r="AY1723" s="5" t="s">
        <v>7589</v>
      </c>
      <c r="AZ1723" s="5" t="s">
        <v>38</v>
      </c>
      <c r="BA1723" s="12"/>
      <c r="BB1723" s="12"/>
      <c r="BC1723" s="12"/>
      <c r="BD1723" s="11">
        <v>0</v>
      </c>
      <c r="BE1723" s="11">
        <v>0</v>
      </c>
    </row>
    <row x14ac:dyDescent="0.25" r="1724" customHeight="1" ht="17.25">
      <c r="A1724" s="11">
        <v>51997883</v>
      </c>
      <c r="B1724" s="4" t="s">
        <v>7590</v>
      </c>
      <c r="C1724" s="5" t="s">
        <v>7591</v>
      </c>
      <c r="D1724" s="5" t="s">
        <v>7592</v>
      </c>
      <c r="E1724" s="12"/>
      <c r="F1724" s="13">
        <f>""</f>
      </c>
      <c r="G1724" s="13">
        <f>""</f>
      </c>
      <c r="H1724" s="11">
        <v>0</v>
      </c>
      <c r="I1724" s="14">
        <v>4.15</v>
      </c>
      <c r="J1724" s="7" t="s">
        <v>7593</v>
      </c>
      <c r="K1724" s="1"/>
      <c r="L1724" s="16"/>
      <c r="M1724" s="11">
        <v>2020</v>
      </c>
      <c r="N1724" s="11">
        <v>2020</v>
      </c>
      <c r="O1724" s="15"/>
      <c r="P1724" s="8">
        <v>44258</v>
      </c>
      <c r="Q1724" s="8"/>
      <c r="R1724" s="8"/>
      <c r="S1724" s="8"/>
      <c r="T1724" s="8"/>
      <c r="U1724" s="8"/>
      <c r="V1724" s="8"/>
      <c r="W1724" s="8"/>
      <c r="X1724" s="8"/>
      <c r="Y1724" s="8"/>
      <c r="Z1724" s="8"/>
      <c r="AA1724" s="8"/>
      <c r="AB1724" s="8"/>
      <c r="AC1724" s="8"/>
      <c r="AD1724" s="8"/>
      <c r="AE1724" s="8"/>
      <c r="AF1724" s="8"/>
      <c r="AG1724" s="8"/>
      <c r="AH1724" s="8"/>
      <c r="AI1724" s="8"/>
      <c r="AJ1724" s="8"/>
      <c r="AK1724" s="8"/>
      <c r="AL1724" s="8"/>
      <c r="AM1724" s="8"/>
      <c r="AN1724" s="8"/>
      <c r="AO1724" s="8"/>
      <c r="AP1724" s="8"/>
      <c r="AQ1724" s="8"/>
      <c r="AR1724" s="8"/>
      <c r="AS1724" s="8"/>
      <c r="AT1724" s="8"/>
      <c r="AU1724" s="8"/>
      <c r="AV1724" s="8"/>
      <c r="AW1724" s="8"/>
      <c r="AX1724" s="4" t="s">
        <v>38</v>
      </c>
      <c r="AY1724" s="5" t="s">
        <v>7594</v>
      </c>
      <c r="AZ1724" s="5" t="s">
        <v>38</v>
      </c>
      <c r="BA1724" s="12"/>
      <c r="BB1724" s="12"/>
      <c r="BC1724" s="12"/>
      <c r="BD1724" s="11">
        <v>0</v>
      </c>
      <c r="BE1724" s="11">
        <v>0</v>
      </c>
    </row>
    <row x14ac:dyDescent="0.25" r="1725" customHeight="1" ht="17.25">
      <c r="A1725" s="11">
        <v>49099790</v>
      </c>
      <c r="B1725" s="4" t="s">
        <v>7595</v>
      </c>
      <c r="C1725" s="5" t="s">
        <v>7596</v>
      </c>
      <c r="D1725" s="5" t="s">
        <v>7597</v>
      </c>
      <c r="E1725" s="12"/>
      <c r="F1725" s="13">
        <f>"0525559663"</f>
      </c>
      <c r="G1725" s="13">
        <f>"9780525559665"</f>
      </c>
      <c r="H1725" s="11">
        <v>0</v>
      </c>
      <c r="I1725" s="14">
        <v>3.91</v>
      </c>
      <c r="J1725" s="7" t="s">
        <v>1265</v>
      </c>
      <c r="K1725" s="5" t="s">
        <v>72</v>
      </c>
      <c r="L1725" s="11">
        <v>432</v>
      </c>
      <c r="M1725" s="11">
        <v>2020</v>
      </c>
      <c r="N1725" s="11">
        <v>2018</v>
      </c>
      <c r="O1725" s="15"/>
      <c r="P1725" s="8">
        <v>44258</v>
      </c>
      <c r="Q1725" s="8"/>
      <c r="R1725" s="8"/>
      <c r="S1725" s="8"/>
      <c r="T1725" s="8"/>
      <c r="U1725" s="8"/>
      <c r="V1725" s="8"/>
      <c r="W1725" s="8"/>
      <c r="X1725" s="8"/>
      <c r="Y1725" s="8"/>
      <c r="Z1725" s="8"/>
      <c r="AA1725" s="8"/>
      <c r="AB1725" s="8"/>
      <c r="AC1725" s="8"/>
      <c r="AD1725" s="8"/>
      <c r="AE1725" s="8"/>
      <c r="AF1725" s="8"/>
      <c r="AG1725" s="8"/>
      <c r="AH1725" s="8"/>
      <c r="AI1725" s="8"/>
      <c r="AJ1725" s="8"/>
      <c r="AK1725" s="8"/>
      <c r="AL1725" s="8"/>
      <c r="AM1725" s="8"/>
      <c r="AN1725" s="8"/>
      <c r="AO1725" s="8"/>
      <c r="AP1725" s="8"/>
      <c r="AQ1725" s="8"/>
      <c r="AR1725" s="8"/>
      <c r="AS1725" s="8"/>
      <c r="AT1725" s="8"/>
      <c r="AU1725" s="8"/>
      <c r="AV1725" s="8"/>
      <c r="AW1725" s="8"/>
      <c r="AX1725" s="4" t="s">
        <v>38</v>
      </c>
      <c r="AY1725" s="5" t="s">
        <v>7598</v>
      </c>
      <c r="AZ1725" s="5" t="s">
        <v>38</v>
      </c>
      <c r="BA1725" s="12"/>
      <c r="BB1725" s="12"/>
      <c r="BC1725" s="12"/>
      <c r="BD1725" s="11">
        <v>0</v>
      </c>
      <c r="BE1725" s="11">
        <v>0</v>
      </c>
    </row>
    <row x14ac:dyDescent="0.25" r="1726" customHeight="1" ht="17.25">
      <c r="A1726" s="11">
        <v>1156196</v>
      </c>
      <c r="B1726" s="4" t="s">
        <v>7599</v>
      </c>
      <c r="C1726" s="5" t="s">
        <v>7600</v>
      </c>
      <c r="D1726" s="5" t="s">
        <v>7601</v>
      </c>
      <c r="E1726" s="5" t="s">
        <v>7602</v>
      </c>
      <c r="F1726" s="13">
        <f>"0195067789"</f>
      </c>
      <c r="G1726" s="13">
        <f>"9780195067781"</f>
      </c>
      <c r="H1726" s="11">
        <v>0</v>
      </c>
      <c r="I1726" s="14">
        <v>4.36</v>
      </c>
      <c r="J1726" s="7" t="s">
        <v>245</v>
      </c>
      <c r="K1726" s="5" t="s">
        <v>60</v>
      </c>
      <c r="L1726" s="11">
        <v>304</v>
      </c>
      <c r="M1726" s="11">
        <v>1991</v>
      </c>
      <c r="N1726" s="11">
        <v>1987</v>
      </c>
      <c r="O1726" s="15"/>
      <c r="P1726" s="8">
        <v>44258</v>
      </c>
      <c r="Q1726" s="8"/>
      <c r="R1726" s="8"/>
      <c r="S1726" s="8"/>
      <c r="T1726" s="8"/>
      <c r="U1726" s="8"/>
      <c r="V1726" s="8"/>
      <c r="W1726" s="8"/>
      <c r="X1726" s="8"/>
      <c r="Y1726" s="8"/>
      <c r="Z1726" s="8"/>
      <c r="AA1726" s="8"/>
      <c r="AB1726" s="8"/>
      <c r="AC1726" s="8"/>
      <c r="AD1726" s="8"/>
      <c r="AE1726" s="8"/>
      <c r="AF1726" s="8"/>
      <c r="AG1726" s="8"/>
      <c r="AH1726" s="8"/>
      <c r="AI1726" s="8"/>
      <c r="AJ1726" s="8"/>
      <c r="AK1726" s="8"/>
      <c r="AL1726" s="8"/>
      <c r="AM1726" s="8"/>
      <c r="AN1726" s="8"/>
      <c r="AO1726" s="8"/>
      <c r="AP1726" s="8"/>
      <c r="AQ1726" s="8"/>
      <c r="AR1726" s="8"/>
      <c r="AS1726" s="8"/>
      <c r="AT1726" s="8"/>
      <c r="AU1726" s="8"/>
      <c r="AV1726" s="8"/>
      <c r="AW1726" s="8"/>
      <c r="AX1726" s="4" t="s">
        <v>38</v>
      </c>
      <c r="AY1726" s="5" t="s">
        <v>7603</v>
      </c>
      <c r="AZ1726" s="5" t="s">
        <v>38</v>
      </c>
      <c r="BA1726" s="12"/>
      <c r="BB1726" s="12"/>
      <c r="BC1726" s="12"/>
      <c r="BD1726" s="11">
        <v>0</v>
      </c>
      <c r="BE1726" s="11">
        <v>0</v>
      </c>
    </row>
    <row x14ac:dyDescent="0.25" r="1727" customHeight="1" ht="17.25">
      <c r="A1727" s="11">
        <v>305532</v>
      </c>
      <c r="B1727" s="4" t="s">
        <v>7604</v>
      </c>
      <c r="C1727" s="5" t="s">
        <v>7605</v>
      </c>
      <c r="D1727" s="5" t="s">
        <v>7606</v>
      </c>
      <c r="E1727" s="5" t="s">
        <v>7607</v>
      </c>
      <c r="F1727" s="13">
        <f>"1400079756"</f>
      </c>
      <c r="G1727" s="13">
        <f>"9781400079759"</f>
      </c>
      <c r="H1727" s="11">
        <v>0</v>
      </c>
      <c r="I1727" s="14">
        <v>3.7</v>
      </c>
      <c r="J1727" s="7" t="s">
        <v>2044</v>
      </c>
      <c r="K1727" s="5" t="s">
        <v>60</v>
      </c>
      <c r="L1727" s="11">
        <v>384</v>
      </c>
      <c r="M1727" s="11">
        <v>2007</v>
      </c>
      <c r="N1727" s="11">
        <v>2007</v>
      </c>
      <c r="O1727" s="15"/>
      <c r="P1727" s="8">
        <v>44257</v>
      </c>
      <c r="Q1727" s="8"/>
      <c r="R1727" s="8"/>
      <c r="S1727" s="8"/>
      <c r="T1727" s="8"/>
      <c r="U1727" s="8"/>
      <c r="V1727" s="8"/>
      <c r="W1727" s="8"/>
      <c r="X1727" s="8"/>
      <c r="Y1727" s="8"/>
      <c r="Z1727" s="8"/>
      <c r="AA1727" s="8"/>
      <c r="AB1727" s="8"/>
      <c r="AC1727" s="8"/>
      <c r="AD1727" s="8"/>
      <c r="AE1727" s="8"/>
      <c r="AF1727" s="8"/>
      <c r="AG1727" s="8"/>
      <c r="AH1727" s="8"/>
      <c r="AI1727" s="8"/>
      <c r="AJ1727" s="8"/>
      <c r="AK1727" s="8"/>
      <c r="AL1727" s="8"/>
      <c r="AM1727" s="8"/>
      <c r="AN1727" s="8"/>
      <c r="AO1727" s="8"/>
      <c r="AP1727" s="8"/>
      <c r="AQ1727" s="8"/>
      <c r="AR1727" s="8"/>
      <c r="AS1727" s="8"/>
      <c r="AT1727" s="8"/>
      <c r="AU1727" s="8"/>
      <c r="AV1727" s="8"/>
      <c r="AW1727" s="8"/>
      <c r="AX1727" s="4" t="s">
        <v>38</v>
      </c>
      <c r="AY1727" s="5" t="s">
        <v>7608</v>
      </c>
      <c r="AZ1727" s="5" t="s">
        <v>38</v>
      </c>
      <c r="BA1727" s="12"/>
      <c r="BB1727" s="12"/>
      <c r="BC1727" s="12"/>
      <c r="BD1727" s="11">
        <v>0</v>
      </c>
      <c r="BE1727" s="11">
        <v>0</v>
      </c>
    </row>
    <row x14ac:dyDescent="0.25" r="1728" customHeight="1" ht="17.25">
      <c r="A1728" s="11">
        <v>26125916</v>
      </c>
      <c r="B1728" s="4" t="s">
        <v>7609</v>
      </c>
      <c r="C1728" s="5" t="s">
        <v>7610</v>
      </c>
      <c r="D1728" s="5" t="s">
        <v>7611</v>
      </c>
      <c r="E1728" s="12"/>
      <c r="F1728" s="13">
        <f>""</f>
      </c>
      <c r="G1728" s="13">
        <f>""</f>
      </c>
      <c r="H1728" s="11">
        <v>0</v>
      </c>
      <c r="I1728" s="14">
        <v>3.1</v>
      </c>
      <c r="J1728" s="7" t="s">
        <v>7612</v>
      </c>
      <c r="K1728" s="1"/>
      <c r="L1728" s="16"/>
      <c r="M1728" s="16"/>
      <c r="N1728" s="11">
        <v>2015</v>
      </c>
      <c r="O1728" s="15"/>
      <c r="P1728" s="8">
        <v>44257</v>
      </c>
      <c r="Q1728" s="8"/>
      <c r="R1728" s="8"/>
      <c r="S1728" s="8"/>
      <c r="T1728" s="8"/>
      <c r="U1728" s="8"/>
      <c r="V1728" s="8"/>
      <c r="W1728" s="8"/>
      <c r="X1728" s="8"/>
      <c r="Y1728" s="8"/>
      <c r="Z1728" s="8"/>
      <c r="AA1728" s="8"/>
      <c r="AB1728" s="8"/>
      <c r="AC1728" s="8"/>
      <c r="AD1728" s="8"/>
      <c r="AE1728" s="8"/>
      <c r="AF1728" s="8"/>
      <c r="AG1728" s="8"/>
      <c r="AH1728" s="8"/>
      <c r="AI1728" s="8"/>
      <c r="AJ1728" s="8"/>
      <c r="AK1728" s="8"/>
      <c r="AL1728" s="8"/>
      <c r="AM1728" s="8"/>
      <c r="AN1728" s="8"/>
      <c r="AO1728" s="8"/>
      <c r="AP1728" s="8"/>
      <c r="AQ1728" s="8"/>
      <c r="AR1728" s="8"/>
      <c r="AS1728" s="8"/>
      <c r="AT1728" s="8"/>
      <c r="AU1728" s="8"/>
      <c r="AV1728" s="8"/>
      <c r="AW1728" s="8"/>
      <c r="AX1728" s="4" t="s">
        <v>38</v>
      </c>
      <c r="AY1728" s="5" t="s">
        <v>7613</v>
      </c>
      <c r="AZ1728" s="5" t="s">
        <v>38</v>
      </c>
      <c r="BA1728" s="12"/>
      <c r="BB1728" s="12"/>
      <c r="BC1728" s="12"/>
      <c r="BD1728" s="11">
        <v>0</v>
      </c>
      <c r="BE1728" s="11">
        <v>0</v>
      </c>
    </row>
    <row x14ac:dyDescent="0.25" r="1729" customHeight="1" ht="17.25">
      <c r="A1729" s="11">
        <v>720591</v>
      </c>
      <c r="B1729" s="4" t="s">
        <v>7614</v>
      </c>
      <c r="C1729" s="5" t="s">
        <v>7615</v>
      </c>
      <c r="D1729" s="5" t="s">
        <v>7616</v>
      </c>
      <c r="E1729" s="12"/>
      <c r="F1729" s="13">
        <f>"000715612X"</f>
      </c>
      <c r="G1729" s="13">
        <f>"9780007156122"</f>
      </c>
      <c r="H1729" s="11">
        <v>0</v>
      </c>
      <c r="I1729" s="14">
        <v>3.64</v>
      </c>
      <c r="J1729" s="7" t="s">
        <v>505</v>
      </c>
      <c r="K1729" s="5" t="s">
        <v>60</v>
      </c>
      <c r="L1729" s="11">
        <v>368</v>
      </c>
      <c r="M1729" s="11">
        <v>2004</v>
      </c>
      <c r="N1729" s="11">
        <v>2003</v>
      </c>
      <c r="O1729" s="15"/>
      <c r="P1729" s="8">
        <v>44257</v>
      </c>
      <c r="Q1729" s="8"/>
      <c r="R1729" s="8"/>
      <c r="S1729" s="8"/>
      <c r="T1729" s="8"/>
      <c r="U1729" s="8"/>
      <c r="V1729" s="8"/>
      <c r="W1729" s="8"/>
      <c r="X1729" s="8"/>
      <c r="Y1729" s="8"/>
      <c r="Z1729" s="8"/>
      <c r="AA1729" s="8"/>
      <c r="AB1729" s="8"/>
      <c r="AC1729" s="8"/>
      <c r="AD1729" s="8"/>
      <c r="AE1729" s="8"/>
      <c r="AF1729" s="8"/>
      <c r="AG1729" s="8"/>
      <c r="AH1729" s="8"/>
      <c r="AI1729" s="8"/>
      <c r="AJ1729" s="8"/>
      <c r="AK1729" s="8"/>
      <c r="AL1729" s="8"/>
      <c r="AM1729" s="8"/>
      <c r="AN1729" s="8"/>
      <c r="AO1729" s="8"/>
      <c r="AP1729" s="8"/>
      <c r="AQ1729" s="8"/>
      <c r="AR1729" s="8"/>
      <c r="AS1729" s="8"/>
      <c r="AT1729" s="8"/>
      <c r="AU1729" s="8"/>
      <c r="AV1729" s="8"/>
      <c r="AW1729" s="8"/>
      <c r="AX1729" s="4" t="s">
        <v>38</v>
      </c>
      <c r="AY1729" s="5" t="s">
        <v>7617</v>
      </c>
      <c r="AZ1729" s="5" t="s">
        <v>38</v>
      </c>
      <c r="BA1729" s="12"/>
      <c r="BB1729" s="12"/>
      <c r="BC1729" s="12"/>
      <c r="BD1729" s="11">
        <v>0</v>
      </c>
      <c r="BE1729" s="11">
        <v>0</v>
      </c>
    </row>
    <row x14ac:dyDescent="0.25" r="1730" customHeight="1" ht="17.25">
      <c r="A1730" s="11">
        <v>2635557</v>
      </c>
      <c r="B1730" s="4" t="s">
        <v>7618</v>
      </c>
      <c r="C1730" s="5" t="s">
        <v>7610</v>
      </c>
      <c r="D1730" s="5" t="s">
        <v>7611</v>
      </c>
      <c r="E1730" s="5" t="s">
        <v>1877</v>
      </c>
      <c r="F1730" s="13">
        <f>"0811217078"</f>
      </c>
      <c r="G1730" s="13">
        <f>"9780811217071"</f>
      </c>
      <c r="H1730" s="11">
        <v>0</v>
      </c>
      <c r="I1730" s="14">
        <v>3.78</v>
      </c>
      <c r="J1730" s="7" t="s">
        <v>126</v>
      </c>
      <c r="K1730" s="5" t="s">
        <v>60</v>
      </c>
      <c r="L1730" s="11">
        <v>142</v>
      </c>
      <c r="M1730" s="11">
        <v>2008</v>
      </c>
      <c r="N1730" s="11">
        <v>2004</v>
      </c>
      <c r="O1730" s="15"/>
      <c r="P1730" s="8">
        <v>44257</v>
      </c>
      <c r="Q1730" s="8"/>
      <c r="R1730" s="8"/>
      <c r="S1730" s="8"/>
      <c r="T1730" s="8"/>
      <c r="U1730" s="8"/>
      <c r="V1730" s="8"/>
      <c r="W1730" s="8"/>
      <c r="X1730" s="8"/>
      <c r="Y1730" s="8"/>
      <c r="Z1730" s="8"/>
      <c r="AA1730" s="8"/>
      <c r="AB1730" s="8"/>
      <c r="AC1730" s="8"/>
      <c r="AD1730" s="8"/>
      <c r="AE1730" s="8"/>
      <c r="AF1730" s="8"/>
      <c r="AG1730" s="8"/>
      <c r="AH1730" s="8"/>
      <c r="AI1730" s="8"/>
      <c r="AJ1730" s="8"/>
      <c r="AK1730" s="8"/>
      <c r="AL1730" s="8"/>
      <c r="AM1730" s="8"/>
      <c r="AN1730" s="8"/>
      <c r="AO1730" s="8"/>
      <c r="AP1730" s="8"/>
      <c r="AQ1730" s="8"/>
      <c r="AR1730" s="8"/>
      <c r="AS1730" s="8"/>
      <c r="AT1730" s="8"/>
      <c r="AU1730" s="8"/>
      <c r="AV1730" s="8"/>
      <c r="AW1730" s="8"/>
      <c r="AX1730" s="4" t="s">
        <v>38</v>
      </c>
      <c r="AY1730" s="5" t="s">
        <v>7619</v>
      </c>
      <c r="AZ1730" s="5" t="s">
        <v>38</v>
      </c>
      <c r="BA1730" s="12"/>
      <c r="BB1730" s="12"/>
      <c r="BC1730" s="12"/>
      <c r="BD1730" s="11">
        <v>0</v>
      </c>
      <c r="BE1730" s="11">
        <v>0</v>
      </c>
    </row>
    <row x14ac:dyDescent="0.25" r="1731" customHeight="1" ht="17.25">
      <c r="A1731" s="11">
        <v>29791</v>
      </c>
      <c r="B1731" s="4" t="s">
        <v>7620</v>
      </c>
      <c r="C1731" s="5" t="s">
        <v>7621</v>
      </c>
      <c r="D1731" s="5" t="s">
        <v>7622</v>
      </c>
      <c r="E1731" s="12"/>
      <c r="F1731" s="13">
        <f>"0375404937"</f>
      </c>
      <c r="G1731" s="13">
        <f>"9780375404931"</f>
      </c>
      <c r="H1731" s="11">
        <v>0</v>
      </c>
      <c r="I1731" s="14">
        <v>3.68</v>
      </c>
      <c r="J1731" s="7" t="s">
        <v>665</v>
      </c>
      <c r="K1731" s="5" t="s">
        <v>72</v>
      </c>
      <c r="L1731" s="11">
        <v>339</v>
      </c>
      <c r="M1731" s="11">
        <v>2007</v>
      </c>
      <c r="N1731" s="11">
        <v>2005</v>
      </c>
      <c r="O1731" s="15"/>
      <c r="P1731" s="8">
        <v>44257</v>
      </c>
      <c r="Q1731" s="8"/>
      <c r="R1731" s="8"/>
      <c r="S1731" s="8"/>
      <c r="T1731" s="8"/>
      <c r="U1731" s="8"/>
      <c r="V1731" s="8"/>
      <c r="W1731" s="8"/>
      <c r="X1731" s="8"/>
      <c r="Y1731" s="8"/>
      <c r="Z1731" s="8"/>
      <c r="AA1731" s="8"/>
      <c r="AB1731" s="8"/>
      <c r="AC1731" s="8"/>
      <c r="AD1731" s="8"/>
      <c r="AE1731" s="8"/>
      <c r="AF1731" s="8"/>
      <c r="AG1731" s="8"/>
      <c r="AH1731" s="8"/>
      <c r="AI1731" s="8"/>
      <c r="AJ1731" s="8"/>
      <c r="AK1731" s="8"/>
      <c r="AL1731" s="8"/>
      <c r="AM1731" s="8"/>
      <c r="AN1731" s="8"/>
      <c r="AO1731" s="8"/>
      <c r="AP1731" s="8"/>
      <c r="AQ1731" s="8"/>
      <c r="AR1731" s="8"/>
      <c r="AS1731" s="8"/>
      <c r="AT1731" s="8"/>
      <c r="AU1731" s="8"/>
      <c r="AV1731" s="8"/>
      <c r="AW1731" s="8"/>
      <c r="AX1731" s="4" t="s">
        <v>38</v>
      </c>
      <c r="AY1731" s="5" t="s">
        <v>7623</v>
      </c>
      <c r="AZ1731" s="5" t="s">
        <v>38</v>
      </c>
      <c r="BA1731" s="12"/>
      <c r="BB1731" s="12"/>
      <c r="BC1731" s="12"/>
      <c r="BD1731" s="11">
        <v>0</v>
      </c>
      <c r="BE1731" s="11">
        <v>0</v>
      </c>
    </row>
    <row x14ac:dyDescent="0.25" r="1732" customHeight="1" ht="17.25">
      <c r="A1732" s="11">
        <v>35743</v>
      </c>
      <c r="B1732" s="4" t="s">
        <v>7624</v>
      </c>
      <c r="C1732" s="5" t="s">
        <v>5526</v>
      </c>
      <c r="D1732" s="5" t="s">
        <v>5527</v>
      </c>
      <c r="E1732" s="5" t="s">
        <v>486</v>
      </c>
      <c r="F1732" s="13">
        <f>"0099483505"</f>
      </c>
      <c r="G1732" s="13">
        <f>"9780099483502"</f>
      </c>
      <c r="H1732" s="11">
        <v>0</v>
      </c>
      <c r="I1732" s="14">
        <v>3.95</v>
      </c>
      <c r="J1732" s="7" t="s">
        <v>114</v>
      </c>
      <c r="K1732" s="5" t="s">
        <v>60</v>
      </c>
      <c r="L1732" s="11">
        <v>580</v>
      </c>
      <c r="M1732" s="11">
        <v>2005</v>
      </c>
      <c r="N1732" s="11">
        <v>1959</v>
      </c>
      <c r="O1732" s="15"/>
      <c r="P1732" s="8">
        <v>44256</v>
      </c>
      <c r="Q1732" s="8"/>
      <c r="R1732" s="8"/>
      <c r="S1732" s="8"/>
      <c r="T1732" s="8"/>
      <c r="U1732" s="8"/>
      <c r="V1732" s="8"/>
      <c r="W1732" s="8"/>
      <c r="X1732" s="8"/>
      <c r="Y1732" s="8"/>
      <c r="Z1732" s="8"/>
      <c r="AA1732" s="8"/>
      <c r="AB1732" s="8"/>
      <c r="AC1732" s="8"/>
      <c r="AD1732" s="8"/>
      <c r="AE1732" s="8"/>
      <c r="AF1732" s="8"/>
      <c r="AG1732" s="8"/>
      <c r="AH1732" s="8"/>
      <c r="AI1732" s="8"/>
      <c r="AJ1732" s="8"/>
      <c r="AK1732" s="8"/>
      <c r="AL1732" s="8"/>
      <c r="AM1732" s="8"/>
      <c r="AN1732" s="8"/>
      <c r="AO1732" s="8"/>
      <c r="AP1732" s="8"/>
      <c r="AQ1732" s="8"/>
      <c r="AR1732" s="8"/>
      <c r="AS1732" s="8"/>
      <c r="AT1732" s="8"/>
      <c r="AU1732" s="8"/>
      <c r="AV1732" s="8"/>
      <c r="AW1732" s="8"/>
      <c r="AX1732" s="4" t="s">
        <v>38</v>
      </c>
      <c r="AY1732" s="5" t="s">
        <v>7625</v>
      </c>
      <c r="AZ1732" s="5" t="s">
        <v>38</v>
      </c>
      <c r="BA1732" s="12"/>
      <c r="BB1732" s="12"/>
      <c r="BC1732" s="12"/>
      <c r="BD1732" s="11">
        <v>0</v>
      </c>
      <c r="BE1732" s="11">
        <v>0</v>
      </c>
    </row>
    <row x14ac:dyDescent="0.25" r="1733" customHeight="1" ht="17.25">
      <c r="A1733" s="11">
        <v>3429363</v>
      </c>
      <c r="B1733" s="4" t="s">
        <v>7626</v>
      </c>
      <c r="C1733" s="5" t="s">
        <v>2158</v>
      </c>
      <c r="D1733" s="5" t="s">
        <v>2159</v>
      </c>
      <c r="E1733" s="12"/>
      <c r="F1733" s="13">
        <f>"1934633151"</f>
      </c>
      <c r="G1733" s="13">
        <f>"9781934633151"</f>
      </c>
      <c r="H1733" s="11">
        <v>0</v>
      </c>
      <c r="I1733" s="14">
        <v>3.93</v>
      </c>
      <c r="J1733" s="7" t="s">
        <v>7627</v>
      </c>
      <c r="K1733" s="5" t="s">
        <v>72</v>
      </c>
      <c r="L1733" s="11">
        <v>192</v>
      </c>
      <c r="M1733" s="11">
        <v>2008</v>
      </c>
      <c r="N1733" s="11">
        <v>2008</v>
      </c>
      <c r="O1733" s="15"/>
      <c r="P1733" s="8">
        <v>44254</v>
      </c>
      <c r="Q1733" s="8"/>
      <c r="R1733" s="8"/>
      <c r="S1733" s="8"/>
      <c r="T1733" s="8"/>
      <c r="U1733" s="8"/>
      <c r="V1733" s="8"/>
      <c r="W1733" s="8"/>
      <c r="X1733" s="8"/>
      <c r="Y1733" s="8"/>
      <c r="Z1733" s="8"/>
      <c r="AA1733" s="8"/>
      <c r="AB1733" s="8"/>
      <c r="AC1733" s="8"/>
      <c r="AD1733" s="8"/>
      <c r="AE1733" s="8"/>
      <c r="AF1733" s="8"/>
      <c r="AG1733" s="8"/>
      <c r="AH1733" s="8"/>
      <c r="AI1733" s="8"/>
      <c r="AJ1733" s="8"/>
      <c r="AK1733" s="8"/>
      <c r="AL1733" s="8"/>
      <c r="AM1733" s="8"/>
      <c r="AN1733" s="8"/>
      <c r="AO1733" s="8"/>
      <c r="AP1733" s="8"/>
      <c r="AQ1733" s="8"/>
      <c r="AR1733" s="8"/>
      <c r="AS1733" s="8"/>
      <c r="AT1733" s="8"/>
      <c r="AU1733" s="8"/>
      <c r="AV1733" s="8"/>
      <c r="AW1733" s="8"/>
      <c r="AX1733" s="4" t="s">
        <v>38</v>
      </c>
      <c r="AY1733" s="5" t="s">
        <v>7628</v>
      </c>
      <c r="AZ1733" s="5" t="s">
        <v>38</v>
      </c>
      <c r="BA1733" s="12"/>
      <c r="BB1733" s="12"/>
      <c r="BC1733" s="12"/>
      <c r="BD1733" s="11">
        <v>0</v>
      </c>
      <c r="BE1733" s="11">
        <v>0</v>
      </c>
    </row>
    <row x14ac:dyDescent="0.25" r="1734" customHeight="1" ht="17.25">
      <c r="A1734" s="11">
        <v>34230648</v>
      </c>
      <c r="B1734" s="4" t="s">
        <v>7629</v>
      </c>
      <c r="C1734" s="5" t="s">
        <v>7630</v>
      </c>
      <c r="D1734" s="5" t="s">
        <v>7631</v>
      </c>
      <c r="E1734" s="5" t="s">
        <v>7632</v>
      </c>
      <c r="F1734" s="13">
        <f>""</f>
      </c>
      <c r="G1734" s="13">
        <f>""</f>
      </c>
      <c r="H1734" s="11">
        <v>0</v>
      </c>
      <c r="I1734" s="14">
        <v>3.92</v>
      </c>
      <c r="J1734" s="7" t="s">
        <v>120</v>
      </c>
      <c r="K1734" s="5" t="s">
        <v>90</v>
      </c>
      <c r="L1734" s="11">
        <v>209</v>
      </c>
      <c r="M1734" s="11">
        <v>2017</v>
      </c>
      <c r="N1734" s="11">
        <v>2014</v>
      </c>
      <c r="O1734" s="15"/>
      <c r="P1734" s="8">
        <v>44254</v>
      </c>
      <c r="Q1734" s="8"/>
      <c r="R1734" s="8"/>
      <c r="S1734" s="8"/>
      <c r="T1734" s="8"/>
      <c r="U1734" s="8"/>
      <c r="V1734" s="8"/>
      <c r="W1734" s="8"/>
      <c r="X1734" s="8"/>
      <c r="Y1734" s="8"/>
      <c r="Z1734" s="8"/>
      <c r="AA1734" s="8"/>
      <c r="AB1734" s="8"/>
      <c r="AC1734" s="8"/>
      <c r="AD1734" s="8"/>
      <c r="AE1734" s="8"/>
      <c r="AF1734" s="8"/>
      <c r="AG1734" s="8"/>
      <c r="AH1734" s="8"/>
      <c r="AI1734" s="8"/>
      <c r="AJ1734" s="8"/>
      <c r="AK1734" s="8"/>
      <c r="AL1734" s="8"/>
      <c r="AM1734" s="8"/>
      <c r="AN1734" s="8"/>
      <c r="AO1734" s="8"/>
      <c r="AP1734" s="8"/>
      <c r="AQ1734" s="8"/>
      <c r="AR1734" s="8"/>
      <c r="AS1734" s="8"/>
      <c r="AT1734" s="8"/>
      <c r="AU1734" s="8"/>
      <c r="AV1734" s="8"/>
      <c r="AW1734" s="8"/>
      <c r="AX1734" s="4" t="s">
        <v>38</v>
      </c>
      <c r="AY1734" s="5" t="s">
        <v>7633</v>
      </c>
      <c r="AZ1734" s="5" t="s">
        <v>38</v>
      </c>
      <c r="BA1734" s="12"/>
      <c r="BB1734" s="12"/>
      <c r="BC1734" s="12"/>
      <c r="BD1734" s="11">
        <v>0</v>
      </c>
      <c r="BE1734" s="11">
        <v>0</v>
      </c>
    </row>
    <row x14ac:dyDescent="0.25" r="1735" customHeight="1" ht="17.25">
      <c r="A1735" s="11">
        <v>15712878</v>
      </c>
      <c r="B1735" s="4" t="s">
        <v>7634</v>
      </c>
      <c r="C1735" s="5" t="s">
        <v>7635</v>
      </c>
      <c r="D1735" s="5" t="s">
        <v>7636</v>
      </c>
      <c r="E1735" s="5" t="s">
        <v>7637</v>
      </c>
      <c r="F1735" s="13">
        <f>"1934824682"</f>
      </c>
      <c r="G1735" s="13">
        <f>"9781934824689"</f>
      </c>
      <c r="H1735" s="11">
        <v>0</v>
      </c>
      <c r="I1735" s="14">
        <v>3.95</v>
      </c>
      <c r="J1735" s="7" t="s">
        <v>1595</v>
      </c>
      <c r="K1735" s="5" t="s">
        <v>60</v>
      </c>
      <c r="L1735" s="11">
        <v>208</v>
      </c>
      <c r="M1735" s="11">
        <v>2012</v>
      </c>
      <c r="N1735" s="11">
        <v>2012</v>
      </c>
      <c r="O1735" s="15"/>
      <c r="P1735" s="8">
        <v>44252</v>
      </c>
      <c r="Q1735" s="8"/>
      <c r="R1735" s="8"/>
      <c r="S1735" s="8"/>
      <c r="T1735" s="8"/>
      <c r="U1735" s="8"/>
      <c r="V1735" s="8"/>
      <c r="W1735" s="8"/>
      <c r="X1735" s="8"/>
      <c r="Y1735" s="8"/>
      <c r="Z1735" s="8"/>
      <c r="AA1735" s="8"/>
      <c r="AB1735" s="8"/>
      <c r="AC1735" s="8"/>
      <c r="AD1735" s="8"/>
      <c r="AE1735" s="8"/>
      <c r="AF1735" s="8"/>
      <c r="AG1735" s="8"/>
      <c r="AH1735" s="8"/>
      <c r="AI1735" s="8"/>
      <c r="AJ1735" s="8"/>
      <c r="AK1735" s="8"/>
      <c r="AL1735" s="8"/>
      <c r="AM1735" s="8"/>
      <c r="AN1735" s="8"/>
      <c r="AO1735" s="8"/>
      <c r="AP1735" s="8"/>
      <c r="AQ1735" s="8"/>
      <c r="AR1735" s="8"/>
      <c r="AS1735" s="8"/>
      <c r="AT1735" s="8"/>
      <c r="AU1735" s="8"/>
      <c r="AV1735" s="8"/>
      <c r="AW1735" s="8"/>
      <c r="AX1735" s="4" t="s">
        <v>38</v>
      </c>
      <c r="AY1735" s="5" t="s">
        <v>7638</v>
      </c>
      <c r="AZ1735" s="5" t="s">
        <v>38</v>
      </c>
      <c r="BA1735" s="12"/>
      <c r="BB1735" s="12"/>
      <c r="BC1735" s="12"/>
      <c r="BD1735" s="11">
        <v>0</v>
      </c>
      <c r="BE1735" s="11">
        <v>0</v>
      </c>
    </row>
    <row x14ac:dyDescent="0.25" r="1736" customHeight="1" ht="17.25">
      <c r="A1736" s="11">
        <v>30047022</v>
      </c>
      <c r="B1736" s="4" t="s">
        <v>7639</v>
      </c>
      <c r="C1736" s="5" t="s">
        <v>7640</v>
      </c>
      <c r="D1736" s="5" t="s">
        <v>7641</v>
      </c>
      <c r="E1736" s="5" t="s">
        <v>7642</v>
      </c>
      <c r="F1736" s="13">
        <f>"0811216438"</f>
      </c>
      <c r="G1736" s="13">
        <f>"9780811216432"</f>
      </c>
      <c r="H1736" s="11">
        <v>0</v>
      </c>
      <c r="I1736" s="14">
        <v>4.27</v>
      </c>
      <c r="J1736" s="7" t="s">
        <v>126</v>
      </c>
      <c r="K1736" s="5" t="s">
        <v>96</v>
      </c>
      <c r="L1736" s="11">
        <v>384</v>
      </c>
      <c r="M1736" s="11">
        <v>2016</v>
      </c>
      <c r="N1736" s="11">
        <v>1968</v>
      </c>
      <c r="O1736" s="15"/>
      <c r="P1736" s="8">
        <v>44252</v>
      </c>
      <c r="Q1736" s="8"/>
      <c r="R1736" s="8"/>
      <c r="S1736" s="8"/>
      <c r="T1736" s="8"/>
      <c r="U1736" s="8"/>
      <c r="V1736" s="8"/>
      <c r="W1736" s="8"/>
      <c r="X1736" s="8"/>
      <c r="Y1736" s="8"/>
      <c r="Z1736" s="8"/>
      <c r="AA1736" s="8"/>
      <c r="AB1736" s="8"/>
      <c r="AC1736" s="8"/>
      <c r="AD1736" s="8"/>
      <c r="AE1736" s="8"/>
      <c r="AF1736" s="8"/>
      <c r="AG1736" s="8"/>
      <c r="AH1736" s="8"/>
      <c r="AI1736" s="8"/>
      <c r="AJ1736" s="8"/>
      <c r="AK1736" s="8"/>
      <c r="AL1736" s="8"/>
      <c r="AM1736" s="8"/>
      <c r="AN1736" s="8"/>
      <c r="AO1736" s="8"/>
      <c r="AP1736" s="8"/>
      <c r="AQ1736" s="8"/>
      <c r="AR1736" s="8"/>
      <c r="AS1736" s="8"/>
      <c r="AT1736" s="8"/>
      <c r="AU1736" s="8"/>
      <c r="AV1736" s="8"/>
      <c r="AW1736" s="8"/>
      <c r="AX1736" s="4" t="s">
        <v>38</v>
      </c>
      <c r="AY1736" s="5" t="s">
        <v>7643</v>
      </c>
      <c r="AZ1736" s="5" t="s">
        <v>38</v>
      </c>
      <c r="BA1736" s="12"/>
      <c r="BB1736" s="12"/>
      <c r="BC1736" s="12"/>
      <c r="BD1736" s="11">
        <v>0</v>
      </c>
      <c r="BE1736" s="11">
        <v>0</v>
      </c>
    </row>
    <row x14ac:dyDescent="0.25" r="1737" customHeight="1" ht="17.25">
      <c r="A1737" s="11">
        <v>1153141</v>
      </c>
      <c r="B1737" s="4" t="s">
        <v>7644</v>
      </c>
      <c r="C1737" s="5" t="s">
        <v>6229</v>
      </c>
      <c r="D1737" s="5" t="s">
        <v>6230</v>
      </c>
      <c r="E1737" s="12"/>
      <c r="F1737" s="13">
        <f>"9682700701"</f>
      </c>
      <c r="G1737" s="13">
        <f>"9789682700705"</f>
      </c>
      <c r="H1737" s="11">
        <v>0</v>
      </c>
      <c r="I1737" s="14">
        <v>4.03</v>
      </c>
      <c r="J1737" s="7" t="s">
        <v>7645</v>
      </c>
      <c r="K1737" s="5" t="s">
        <v>60</v>
      </c>
      <c r="L1737" s="11">
        <v>163</v>
      </c>
      <c r="M1737" s="11">
        <v>1971</v>
      </c>
      <c r="N1737" s="11">
        <v>1952</v>
      </c>
      <c r="O1737" s="15"/>
      <c r="P1737" s="8">
        <v>44252</v>
      </c>
      <c r="Q1737" s="8"/>
      <c r="R1737" s="8"/>
      <c r="S1737" s="8"/>
      <c r="T1737" s="8"/>
      <c r="U1737" s="8"/>
      <c r="V1737" s="8"/>
      <c r="W1737" s="8"/>
      <c r="X1737" s="8"/>
      <c r="Y1737" s="8"/>
      <c r="Z1737" s="8"/>
      <c r="AA1737" s="8"/>
      <c r="AB1737" s="8"/>
      <c r="AC1737" s="8"/>
      <c r="AD1737" s="8"/>
      <c r="AE1737" s="8"/>
      <c r="AF1737" s="8"/>
      <c r="AG1737" s="8"/>
      <c r="AH1737" s="8"/>
      <c r="AI1737" s="8"/>
      <c r="AJ1737" s="8"/>
      <c r="AK1737" s="8"/>
      <c r="AL1737" s="8"/>
      <c r="AM1737" s="8"/>
      <c r="AN1737" s="8"/>
      <c r="AO1737" s="8"/>
      <c r="AP1737" s="8"/>
      <c r="AQ1737" s="8"/>
      <c r="AR1737" s="8"/>
      <c r="AS1737" s="8"/>
      <c r="AT1737" s="8"/>
      <c r="AU1737" s="8"/>
      <c r="AV1737" s="8"/>
      <c r="AW1737" s="8"/>
      <c r="AX1737" s="4" t="s">
        <v>38</v>
      </c>
      <c r="AY1737" s="5" t="s">
        <v>7646</v>
      </c>
      <c r="AZ1737" s="5" t="s">
        <v>38</v>
      </c>
      <c r="BA1737" s="12"/>
      <c r="BB1737" s="12"/>
      <c r="BC1737" s="12"/>
      <c r="BD1737" s="11">
        <v>0</v>
      </c>
      <c r="BE1737" s="11">
        <v>0</v>
      </c>
    </row>
    <row x14ac:dyDescent="0.25" r="1738" customHeight="1" ht="17.25">
      <c r="A1738" s="11">
        <v>13195198</v>
      </c>
      <c r="B1738" s="4" t="s">
        <v>7647</v>
      </c>
      <c r="C1738" s="5" t="s">
        <v>7648</v>
      </c>
      <c r="D1738" s="5" t="s">
        <v>7649</v>
      </c>
      <c r="E1738" s="12"/>
      <c r="F1738" s="13">
        <f>"8492403241"</f>
      </c>
      <c r="G1738" s="13">
        <f>"9788492403240"</f>
      </c>
      <c r="H1738" s="11">
        <v>0</v>
      </c>
      <c r="I1738" s="14">
        <v>4.18</v>
      </c>
      <c r="J1738" s="7" t="s">
        <v>7650</v>
      </c>
      <c r="K1738" s="5" t="s">
        <v>60</v>
      </c>
      <c r="L1738" s="11">
        <v>128</v>
      </c>
      <c r="M1738" s="11">
        <v>2011</v>
      </c>
      <c r="N1738" s="11">
        <v>1907</v>
      </c>
      <c r="O1738" s="15"/>
      <c r="P1738" s="8">
        <v>44252</v>
      </c>
      <c r="Q1738" s="8"/>
      <c r="R1738" s="8"/>
      <c r="S1738" s="8"/>
      <c r="T1738" s="8"/>
      <c r="U1738" s="8"/>
      <c r="V1738" s="8"/>
      <c r="W1738" s="8"/>
      <c r="X1738" s="8"/>
      <c r="Y1738" s="8"/>
      <c r="Z1738" s="8"/>
      <c r="AA1738" s="8"/>
      <c r="AB1738" s="8"/>
      <c r="AC1738" s="8"/>
      <c r="AD1738" s="8"/>
      <c r="AE1738" s="8"/>
      <c r="AF1738" s="8"/>
      <c r="AG1738" s="8"/>
      <c r="AH1738" s="8"/>
      <c r="AI1738" s="8"/>
      <c r="AJ1738" s="8"/>
      <c r="AK1738" s="8"/>
      <c r="AL1738" s="8"/>
      <c r="AM1738" s="8"/>
      <c r="AN1738" s="8"/>
      <c r="AO1738" s="8"/>
      <c r="AP1738" s="8"/>
      <c r="AQ1738" s="8"/>
      <c r="AR1738" s="8"/>
      <c r="AS1738" s="8"/>
      <c r="AT1738" s="8"/>
      <c r="AU1738" s="8"/>
      <c r="AV1738" s="8"/>
      <c r="AW1738" s="8"/>
      <c r="AX1738" s="4" t="s">
        <v>38</v>
      </c>
      <c r="AY1738" s="5" t="s">
        <v>7651</v>
      </c>
      <c r="AZ1738" s="5" t="s">
        <v>38</v>
      </c>
      <c r="BA1738" s="12"/>
      <c r="BB1738" s="12"/>
      <c r="BC1738" s="12"/>
      <c r="BD1738" s="11">
        <v>0</v>
      </c>
      <c r="BE1738" s="11">
        <v>0</v>
      </c>
    </row>
    <row x14ac:dyDescent="0.25" r="1739" customHeight="1" ht="17.25">
      <c r="A1739" s="11">
        <v>164019</v>
      </c>
      <c r="B1739" s="4" t="s">
        <v>7652</v>
      </c>
      <c r="C1739" s="5" t="s">
        <v>7653</v>
      </c>
      <c r="D1739" s="5" t="s">
        <v>7654</v>
      </c>
      <c r="E1739" s="5" t="s">
        <v>7655</v>
      </c>
      <c r="F1739" s="13">
        <f>"0375757872"</f>
      </c>
      <c r="G1739" s="13">
        <f>"9780375757877"</f>
      </c>
      <c r="H1739" s="11">
        <v>0</v>
      </c>
      <c r="I1739" s="14">
        <v>3.89</v>
      </c>
      <c r="J1739" s="7" t="s">
        <v>553</v>
      </c>
      <c r="K1739" s="5" t="s">
        <v>60</v>
      </c>
      <c r="L1739" s="11">
        <v>320</v>
      </c>
      <c r="M1739" s="11">
        <v>2001</v>
      </c>
      <c r="N1739" s="11">
        <v>1899</v>
      </c>
      <c r="O1739" s="15"/>
      <c r="P1739" s="8">
        <v>44252</v>
      </c>
      <c r="Q1739" s="8"/>
      <c r="R1739" s="8"/>
      <c r="S1739" s="8"/>
      <c r="T1739" s="8"/>
      <c r="U1739" s="8"/>
      <c r="V1739" s="8"/>
      <c r="W1739" s="8"/>
      <c r="X1739" s="8"/>
      <c r="Y1739" s="8"/>
      <c r="Z1739" s="8"/>
      <c r="AA1739" s="8"/>
      <c r="AB1739" s="8"/>
      <c r="AC1739" s="8"/>
      <c r="AD1739" s="8"/>
      <c r="AE1739" s="8"/>
      <c r="AF1739" s="8"/>
      <c r="AG1739" s="8"/>
      <c r="AH1739" s="8"/>
      <c r="AI1739" s="8"/>
      <c r="AJ1739" s="8"/>
      <c r="AK1739" s="8"/>
      <c r="AL1739" s="8"/>
      <c r="AM1739" s="8"/>
      <c r="AN1739" s="8"/>
      <c r="AO1739" s="8"/>
      <c r="AP1739" s="8"/>
      <c r="AQ1739" s="8"/>
      <c r="AR1739" s="8"/>
      <c r="AS1739" s="8"/>
      <c r="AT1739" s="8"/>
      <c r="AU1739" s="8"/>
      <c r="AV1739" s="8"/>
      <c r="AW1739" s="8"/>
      <c r="AX1739" s="4" t="s">
        <v>38</v>
      </c>
      <c r="AY1739" s="5" t="s">
        <v>7656</v>
      </c>
      <c r="AZ1739" s="5" t="s">
        <v>38</v>
      </c>
      <c r="BA1739" s="12"/>
      <c r="BB1739" s="12"/>
      <c r="BC1739" s="12"/>
      <c r="BD1739" s="11">
        <v>0</v>
      </c>
      <c r="BE1739" s="11">
        <v>0</v>
      </c>
    </row>
    <row x14ac:dyDescent="0.25" r="1740" customHeight="1" ht="17.25">
      <c r="A1740" s="11">
        <v>2418471</v>
      </c>
      <c r="B1740" s="4" t="s">
        <v>7657</v>
      </c>
      <c r="C1740" s="5" t="s">
        <v>7658</v>
      </c>
      <c r="D1740" s="5" t="s">
        <v>7659</v>
      </c>
      <c r="E1740" s="5" t="s">
        <v>7660</v>
      </c>
      <c r="F1740" s="13">
        <f>"0791472744"</f>
      </c>
      <c r="G1740" s="13">
        <f>"9780791472743"</f>
      </c>
      <c r="H1740" s="11">
        <v>0</v>
      </c>
      <c r="I1740" s="14">
        <v>3.82</v>
      </c>
      <c r="J1740" s="7" t="s">
        <v>7661</v>
      </c>
      <c r="K1740" s="5" t="s">
        <v>60</v>
      </c>
      <c r="L1740" s="11">
        <v>110</v>
      </c>
      <c r="M1740" s="11">
        <v>2007</v>
      </c>
      <c r="N1740" s="11">
        <v>1907</v>
      </c>
      <c r="O1740" s="15"/>
      <c r="P1740" s="8">
        <v>44252</v>
      </c>
      <c r="Q1740" s="8"/>
      <c r="R1740" s="8"/>
      <c r="S1740" s="8"/>
      <c r="T1740" s="8"/>
      <c r="U1740" s="8"/>
      <c r="V1740" s="8"/>
      <c r="W1740" s="8"/>
      <c r="X1740" s="8"/>
      <c r="Y1740" s="8"/>
      <c r="Z1740" s="8"/>
      <c r="AA1740" s="8"/>
      <c r="AB1740" s="8"/>
      <c r="AC1740" s="8"/>
      <c r="AD1740" s="8"/>
      <c r="AE1740" s="8"/>
      <c r="AF1740" s="8"/>
      <c r="AG1740" s="8"/>
      <c r="AH1740" s="8"/>
      <c r="AI1740" s="8"/>
      <c r="AJ1740" s="8"/>
      <c r="AK1740" s="8"/>
      <c r="AL1740" s="8"/>
      <c r="AM1740" s="8"/>
      <c r="AN1740" s="8"/>
      <c r="AO1740" s="8"/>
      <c r="AP1740" s="8"/>
      <c r="AQ1740" s="8"/>
      <c r="AR1740" s="8"/>
      <c r="AS1740" s="8"/>
      <c r="AT1740" s="8"/>
      <c r="AU1740" s="8"/>
      <c r="AV1740" s="8"/>
      <c r="AW1740" s="8"/>
      <c r="AX1740" s="4" t="s">
        <v>38</v>
      </c>
      <c r="AY1740" s="5" t="s">
        <v>7662</v>
      </c>
      <c r="AZ1740" s="5" t="s">
        <v>38</v>
      </c>
      <c r="BA1740" s="12"/>
      <c r="BB1740" s="12"/>
      <c r="BC1740" s="12"/>
      <c r="BD1740" s="11">
        <v>0</v>
      </c>
      <c r="BE1740" s="11">
        <v>0</v>
      </c>
    </row>
    <row x14ac:dyDescent="0.25" r="1741" customHeight="1" ht="17.25">
      <c r="A1741" s="11">
        <v>72052</v>
      </c>
      <c r="B1741" s="4" t="s">
        <v>7663</v>
      </c>
      <c r="C1741" s="5" t="s">
        <v>1433</v>
      </c>
      <c r="D1741" s="5" t="s">
        <v>1434</v>
      </c>
      <c r="E1741" s="5" t="s">
        <v>7664</v>
      </c>
      <c r="F1741" s="13">
        <f>"0811215091"</f>
      </c>
      <c r="G1741" s="13">
        <f>"9780811215091"</f>
      </c>
      <c r="H1741" s="11">
        <v>0</v>
      </c>
      <c r="I1741" s="14">
        <v>4.44</v>
      </c>
      <c r="J1741" s="7" t="s">
        <v>126</v>
      </c>
      <c r="K1741" s="5" t="s">
        <v>60</v>
      </c>
      <c r="L1741" s="11">
        <v>312</v>
      </c>
      <c r="M1741" s="11">
        <v>2002</v>
      </c>
      <c r="N1741" s="11">
        <v>2006</v>
      </c>
      <c r="O1741" s="15"/>
      <c r="P1741" s="8">
        <v>44252</v>
      </c>
      <c r="Q1741" s="8"/>
      <c r="R1741" s="8"/>
      <c r="S1741" s="8"/>
      <c r="T1741" s="8"/>
      <c r="U1741" s="8"/>
      <c r="V1741" s="8"/>
      <c r="W1741" s="8"/>
      <c r="X1741" s="8"/>
      <c r="Y1741" s="8"/>
      <c r="Z1741" s="8"/>
      <c r="AA1741" s="8"/>
      <c r="AB1741" s="8"/>
      <c r="AC1741" s="8"/>
      <c r="AD1741" s="8"/>
      <c r="AE1741" s="8"/>
      <c r="AF1741" s="8"/>
      <c r="AG1741" s="8"/>
      <c r="AH1741" s="8"/>
      <c r="AI1741" s="8"/>
      <c r="AJ1741" s="8"/>
      <c r="AK1741" s="8"/>
      <c r="AL1741" s="8"/>
      <c r="AM1741" s="8"/>
      <c r="AN1741" s="8"/>
      <c r="AO1741" s="8"/>
      <c r="AP1741" s="8"/>
      <c r="AQ1741" s="8"/>
      <c r="AR1741" s="8"/>
      <c r="AS1741" s="8"/>
      <c r="AT1741" s="8"/>
      <c r="AU1741" s="8"/>
      <c r="AV1741" s="8"/>
      <c r="AW1741" s="8"/>
      <c r="AX1741" s="4" t="s">
        <v>38</v>
      </c>
      <c r="AY1741" s="5" t="s">
        <v>7665</v>
      </c>
      <c r="AZ1741" s="5" t="s">
        <v>38</v>
      </c>
      <c r="BA1741" s="12"/>
      <c r="BB1741" s="12"/>
      <c r="BC1741" s="12"/>
      <c r="BD1741" s="11">
        <v>0</v>
      </c>
      <c r="BE1741" s="11">
        <v>0</v>
      </c>
    </row>
    <row x14ac:dyDescent="0.25" r="1742" customHeight="1" ht="17.25">
      <c r="A1742" s="11">
        <v>7955660</v>
      </c>
      <c r="B1742" s="4" t="s">
        <v>7666</v>
      </c>
      <c r="C1742" s="5" t="s">
        <v>7667</v>
      </c>
      <c r="D1742" s="5" t="s">
        <v>7668</v>
      </c>
      <c r="E1742" s="12"/>
      <c r="F1742" s="13">
        <f>"1587299046"</f>
      </c>
      <c r="G1742" s="13">
        <f>"9781587299049"</f>
      </c>
      <c r="H1742" s="11">
        <v>0</v>
      </c>
      <c r="I1742" s="14">
        <v>4.26</v>
      </c>
      <c r="J1742" s="7" t="s">
        <v>7669</v>
      </c>
      <c r="K1742" s="5" t="s">
        <v>60</v>
      </c>
      <c r="L1742" s="11">
        <v>321</v>
      </c>
      <c r="M1742" s="11">
        <v>2010</v>
      </c>
      <c r="N1742" s="11">
        <v>2010</v>
      </c>
      <c r="O1742" s="15"/>
      <c r="P1742" s="8">
        <v>44252</v>
      </c>
      <c r="Q1742" s="8"/>
      <c r="R1742" s="8"/>
      <c r="S1742" s="8"/>
      <c r="T1742" s="8"/>
      <c r="U1742" s="8"/>
      <c r="V1742" s="8"/>
      <c r="W1742" s="8"/>
      <c r="X1742" s="8"/>
      <c r="Y1742" s="8"/>
      <c r="Z1742" s="8"/>
      <c r="AA1742" s="8"/>
      <c r="AB1742" s="8"/>
      <c r="AC1742" s="8"/>
      <c r="AD1742" s="8"/>
      <c r="AE1742" s="8"/>
      <c r="AF1742" s="8"/>
      <c r="AG1742" s="8"/>
      <c r="AH1742" s="8"/>
      <c r="AI1742" s="8"/>
      <c r="AJ1742" s="8"/>
      <c r="AK1742" s="8"/>
      <c r="AL1742" s="8"/>
      <c r="AM1742" s="8"/>
      <c r="AN1742" s="8"/>
      <c r="AO1742" s="8"/>
      <c r="AP1742" s="8"/>
      <c r="AQ1742" s="8"/>
      <c r="AR1742" s="8"/>
      <c r="AS1742" s="8"/>
      <c r="AT1742" s="8"/>
      <c r="AU1742" s="8"/>
      <c r="AV1742" s="8"/>
      <c r="AW1742" s="8"/>
      <c r="AX1742" s="4" t="s">
        <v>38</v>
      </c>
      <c r="AY1742" s="5" t="s">
        <v>7670</v>
      </c>
      <c r="AZ1742" s="5" t="s">
        <v>38</v>
      </c>
      <c r="BA1742" s="12"/>
      <c r="BB1742" s="12"/>
      <c r="BC1742" s="12"/>
      <c r="BD1742" s="11">
        <v>0</v>
      </c>
      <c r="BE1742" s="11">
        <v>0</v>
      </c>
    </row>
    <row x14ac:dyDescent="0.25" r="1743" customHeight="1" ht="17.25">
      <c r="A1743" s="11">
        <v>329326</v>
      </c>
      <c r="B1743" s="4" t="s">
        <v>7671</v>
      </c>
      <c r="C1743" s="5" t="s">
        <v>1784</v>
      </c>
      <c r="D1743" s="5" t="s">
        <v>1785</v>
      </c>
      <c r="E1743" s="12"/>
      <c r="F1743" s="13">
        <f>"0375709231"</f>
      </c>
      <c r="G1743" s="13">
        <f>"9780375709234"</f>
      </c>
      <c r="H1743" s="11">
        <v>0</v>
      </c>
      <c r="I1743" s="14">
        <v>3.9</v>
      </c>
      <c r="J1743" s="7" t="s">
        <v>114</v>
      </c>
      <c r="K1743" s="5" t="s">
        <v>60</v>
      </c>
      <c r="L1743" s="11">
        <v>356</v>
      </c>
      <c r="M1743" s="11">
        <v>2002</v>
      </c>
      <c r="N1743" s="11">
        <v>2000</v>
      </c>
      <c r="O1743" s="15"/>
      <c r="P1743" s="8">
        <v>44251</v>
      </c>
      <c r="Q1743" s="8"/>
      <c r="R1743" s="8"/>
      <c r="S1743" s="8"/>
      <c r="T1743" s="8"/>
      <c r="U1743" s="8"/>
      <c r="V1743" s="8"/>
      <c r="W1743" s="8"/>
      <c r="X1743" s="8"/>
      <c r="Y1743" s="8"/>
      <c r="Z1743" s="8"/>
      <c r="AA1743" s="8"/>
      <c r="AB1743" s="8"/>
      <c r="AC1743" s="8"/>
      <c r="AD1743" s="8"/>
      <c r="AE1743" s="8"/>
      <c r="AF1743" s="8"/>
      <c r="AG1743" s="8"/>
      <c r="AH1743" s="8"/>
      <c r="AI1743" s="8"/>
      <c r="AJ1743" s="8"/>
      <c r="AK1743" s="8"/>
      <c r="AL1743" s="8"/>
      <c r="AM1743" s="8"/>
      <c r="AN1743" s="8"/>
      <c r="AO1743" s="8"/>
      <c r="AP1743" s="8"/>
      <c r="AQ1743" s="8"/>
      <c r="AR1743" s="8"/>
      <c r="AS1743" s="8"/>
      <c r="AT1743" s="8"/>
      <c r="AU1743" s="8"/>
      <c r="AV1743" s="8"/>
      <c r="AW1743" s="8"/>
      <c r="AX1743" s="4" t="s">
        <v>38</v>
      </c>
      <c r="AY1743" s="5" t="s">
        <v>7672</v>
      </c>
      <c r="AZ1743" s="5" t="s">
        <v>38</v>
      </c>
      <c r="BA1743" s="12"/>
      <c r="BB1743" s="12"/>
      <c r="BC1743" s="12"/>
      <c r="BD1743" s="11">
        <v>0</v>
      </c>
      <c r="BE1743" s="11">
        <v>0</v>
      </c>
    </row>
    <row x14ac:dyDescent="0.25" r="1744" customHeight="1" ht="17.25">
      <c r="A1744" s="11">
        <v>247241</v>
      </c>
      <c r="B1744" s="4" t="s">
        <v>7673</v>
      </c>
      <c r="C1744" s="5" t="s">
        <v>6737</v>
      </c>
      <c r="D1744" s="5" t="s">
        <v>7674</v>
      </c>
      <c r="E1744" s="12"/>
      <c r="F1744" s="13">
        <f>"0872862968"</f>
      </c>
      <c r="G1744" s="13">
        <f>"9780872862968"</f>
      </c>
      <c r="H1744" s="11">
        <v>0</v>
      </c>
      <c r="I1744" s="14">
        <v>3.77</v>
      </c>
      <c r="J1744" s="7" t="s">
        <v>6815</v>
      </c>
      <c r="K1744" s="5" t="s">
        <v>60</v>
      </c>
      <c r="L1744" s="11">
        <v>136</v>
      </c>
      <c r="M1744" s="11">
        <v>2001</v>
      </c>
      <c r="N1744" s="11">
        <v>1994</v>
      </c>
      <c r="O1744" s="15"/>
      <c r="P1744" s="8">
        <v>44250</v>
      </c>
      <c r="Q1744" s="8"/>
      <c r="R1744" s="8"/>
      <c r="S1744" s="8"/>
      <c r="T1744" s="8"/>
      <c r="U1744" s="8"/>
      <c r="V1744" s="8"/>
      <c r="W1744" s="8"/>
      <c r="X1744" s="8"/>
      <c r="Y1744" s="8"/>
      <c r="Z1744" s="8"/>
      <c r="AA1744" s="8"/>
      <c r="AB1744" s="8"/>
      <c r="AC1744" s="8"/>
      <c r="AD1744" s="8"/>
      <c r="AE1744" s="8"/>
      <c r="AF1744" s="8"/>
      <c r="AG1744" s="8"/>
      <c r="AH1744" s="8"/>
      <c r="AI1744" s="8"/>
      <c r="AJ1744" s="8"/>
      <c r="AK1744" s="8"/>
      <c r="AL1744" s="8"/>
      <c r="AM1744" s="8"/>
      <c r="AN1744" s="8"/>
      <c r="AO1744" s="8"/>
      <c r="AP1744" s="8"/>
      <c r="AQ1744" s="8"/>
      <c r="AR1744" s="8"/>
      <c r="AS1744" s="8"/>
      <c r="AT1744" s="8"/>
      <c r="AU1744" s="8"/>
      <c r="AV1744" s="8"/>
      <c r="AW1744" s="8"/>
      <c r="AX1744" s="4" t="s">
        <v>38</v>
      </c>
      <c r="AY1744" s="5" t="s">
        <v>7675</v>
      </c>
      <c r="AZ1744" s="5" t="s">
        <v>38</v>
      </c>
      <c r="BA1744" s="12"/>
      <c r="BB1744" s="12"/>
      <c r="BC1744" s="12"/>
      <c r="BD1744" s="11">
        <v>0</v>
      </c>
      <c r="BE1744" s="11">
        <v>0</v>
      </c>
    </row>
    <row x14ac:dyDescent="0.25" r="1745" customHeight="1" ht="17.25">
      <c r="A1745" s="11">
        <v>128456</v>
      </c>
      <c r="B1745" s="4" t="s">
        <v>7676</v>
      </c>
      <c r="C1745" s="5" t="s">
        <v>7677</v>
      </c>
      <c r="D1745" s="5" t="s">
        <v>7678</v>
      </c>
      <c r="E1745" s="5" t="s">
        <v>7679</v>
      </c>
      <c r="F1745" s="13">
        <f>"1566492513"</f>
      </c>
      <c r="G1745" s="13">
        <f>"9781566492515"</f>
      </c>
      <c r="H1745" s="11">
        <v>0</v>
      </c>
      <c r="I1745" s="14">
        <v>4.11</v>
      </c>
      <c r="J1745" s="7" t="s">
        <v>7680</v>
      </c>
      <c r="K1745" s="5" t="s">
        <v>60</v>
      </c>
      <c r="L1745" s="11">
        <v>480</v>
      </c>
      <c r="M1745" s="11">
        <v>2002</v>
      </c>
      <c r="N1745" s="11">
        <v>2001</v>
      </c>
      <c r="O1745" s="15"/>
      <c r="P1745" s="8">
        <v>44250</v>
      </c>
      <c r="Q1745" s="8"/>
      <c r="R1745" s="8"/>
      <c r="S1745" s="8"/>
      <c r="T1745" s="8"/>
      <c r="U1745" s="8"/>
      <c r="V1745" s="8"/>
      <c r="W1745" s="8"/>
      <c r="X1745" s="8"/>
      <c r="Y1745" s="8"/>
      <c r="Z1745" s="8"/>
      <c r="AA1745" s="8"/>
      <c r="AB1745" s="8"/>
      <c r="AC1745" s="8"/>
      <c r="AD1745" s="8"/>
      <c r="AE1745" s="8"/>
      <c r="AF1745" s="8"/>
      <c r="AG1745" s="8"/>
      <c r="AH1745" s="8"/>
      <c r="AI1745" s="8"/>
      <c r="AJ1745" s="8"/>
      <c r="AK1745" s="8"/>
      <c r="AL1745" s="8"/>
      <c r="AM1745" s="8"/>
      <c r="AN1745" s="8"/>
      <c r="AO1745" s="8"/>
      <c r="AP1745" s="8"/>
      <c r="AQ1745" s="8"/>
      <c r="AR1745" s="8"/>
      <c r="AS1745" s="8"/>
      <c r="AT1745" s="8"/>
      <c r="AU1745" s="8"/>
      <c r="AV1745" s="8"/>
      <c r="AW1745" s="8"/>
      <c r="AX1745" s="4" t="s">
        <v>38</v>
      </c>
      <c r="AY1745" s="5" t="s">
        <v>7681</v>
      </c>
      <c r="AZ1745" s="5" t="s">
        <v>38</v>
      </c>
      <c r="BA1745" s="12"/>
      <c r="BB1745" s="12"/>
      <c r="BC1745" s="12"/>
      <c r="BD1745" s="11">
        <v>0</v>
      </c>
      <c r="BE1745" s="11">
        <v>0</v>
      </c>
    </row>
    <row x14ac:dyDescent="0.25" r="1746" customHeight="1" ht="17.25">
      <c r="A1746" s="11">
        <v>128458</v>
      </c>
      <c r="B1746" s="4" t="s">
        <v>7682</v>
      </c>
      <c r="C1746" s="5" t="s">
        <v>7683</v>
      </c>
      <c r="D1746" s="5" t="s">
        <v>7684</v>
      </c>
      <c r="E1746" s="5" t="s">
        <v>7685</v>
      </c>
      <c r="F1746" s="13">
        <f>"0812970152"</f>
      </c>
      <c r="G1746" s="13">
        <f>"9780812970159"</f>
      </c>
      <c r="H1746" s="11">
        <v>0</v>
      </c>
      <c r="I1746" s="14">
        <v>4.26</v>
      </c>
      <c r="J1746" s="7" t="s">
        <v>7686</v>
      </c>
      <c r="K1746" s="5" t="s">
        <v>60</v>
      </c>
      <c r="L1746" s="11">
        <v>416</v>
      </c>
      <c r="M1746" s="11">
        <v>2004</v>
      </c>
      <c r="N1746" s="11">
        <v>1997</v>
      </c>
      <c r="O1746" s="15"/>
      <c r="P1746" s="8">
        <v>44250</v>
      </c>
      <c r="Q1746" s="8"/>
      <c r="R1746" s="8"/>
      <c r="S1746" s="8"/>
      <c r="T1746" s="8"/>
      <c r="U1746" s="8"/>
      <c r="V1746" s="8"/>
      <c r="W1746" s="8"/>
      <c r="X1746" s="8"/>
      <c r="Y1746" s="8"/>
      <c r="Z1746" s="8"/>
      <c r="AA1746" s="8"/>
      <c r="AB1746" s="8"/>
      <c r="AC1746" s="8"/>
      <c r="AD1746" s="8"/>
      <c r="AE1746" s="8"/>
      <c r="AF1746" s="8"/>
      <c r="AG1746" s="8"/>
      <c r="AH1746" s="8"/>
      <c r="AI1746" s="8"/>
      <c r="AJ1746" s="8"/>
      <c r="AK1746" s="8"/>
      <c r="AL1746" s="8"/>
      <c r="AM1746" s="8"/>
      <c r="AN1746" s="8"/>
      <c r="AO1746" s="8"/>
      <c r="AP1746" s="8"/>
      <c r="AQ1746" s="8"/>
      <c r="AR1746" s="8"/>
      <c r="AS1746" s="8"/>
      <c r="AT1746" s="8"/>
      <c r="AU1746" s="8"/>
      <c r="AV1746" s="8"/>
      <c r="AW1746" s="8"/>
      <c r="AX1746" s="4" t="s">
        <v>38</v>
      </c>
      <c r="AY1746" s="5" t="s">
        <v>7687</v>
      </c>
      <c r="AZ1746" s="5" t="s">
        <v>38</v>
      </c>
      <c r="BA1746" s="12"/>
      <c r="BB1746" s="12"/>
      <c r="BC1746" s="12"/>
      <c r="BD1746" s="11">
        <v>0</v>
      </c>
      <c r="BE1746" s="11">
        <v>0</v>
      </c>
    </row>
    <row x14ac:dyDescent="0.25" r="1747" customHeight="1" ht="17.25">
      <c r="A1747" s="11">
        <v>33931796</v>
      </c>
      <c r="B1747" s="4" t="s">
        <v>7688</v>
      </c>
      <c r="C1747" s="5" t="s">
        <v>1232</v>
      </c>
      <c r="D1747" s="5" t="s">
        <v>1233</v>
      </c>
      <c r="E1747" s="5" t="s">
        <v>7689</v>
      </c>
      <c r="F1747" s="13">
        <f>"082236896X"</f>
      </c>
      <c r="G1747" s="13">
        <f>"9780822368960"</f>
      </c>
      <c r="H1747" s="11">
        <v>0</v>
      </c>
      <c r="I1747" s="14">
        <v>4.1</v>
      </c>
      <c r="J1747" s="7" t="s">
        <v>5266</v>
      </c>
      <c r="K1747" s="5" t="s">
        <v>60</v>
      </c>
      <c r="L1747" s="11">
        <v>304</v>
      </c>
      <c r="M1747" s="11">
        <v>2017</v>
      </c>
      <c r="N1747" s="11">
        <v>1939</v>
      </c>
      <c r="O1747" s="15"/>
      <c r="P1747" s="8">
        <v>44250</v>
      </c>
      <c r="Q1747" s="8"/>
      <c r="R1747" s="8"/>
      <c r="S1747" s="8"/>
      <c r="T1747" s="8"/>
      <c r="U1747" s="8"/>
      <c r="V1747" s="8"/>
      <c r="W1747" s="8"/>
      <c r="X1747" s="8"/>
      <c r="Y1747" s="8"/>
      <c r="Z1747" s="8"/>
      <c r="AA1747" s="8"/>
      <c r="AB1747" s="8"/>
      <c r="AC1747" s="8"/>
      <c r="AD1747" s="8"/>
      <c r="AE1747" s="8"/>
      <c r="AF1747" s="8"/>
      <c r="AG1747" s="8"/>
      <c r="AH1747" s="8"/>
      <c r="AI1747" s="8"/>
      <c r="AJ1747" s="8"/>
      <c r="AK1747" s="8"/>
      <c r="AL1747" s="8"/>
      <c r="AM1747" s="8"/>
      <c r="AN1747" s="8"/>
      <c r="AO1747" s="8"/>
      <c r="AP1747" s="8"/>
      <c r="AQ1747" s="8"/>
      <c r="AR1747" s="8"/>
      <c r="AS1747" s="8"/>
      <c r="AT1747" s="8"/>
      <c r="AU1747" s="8"/>
      <c r="AV1747" s="8"/>
      <c r="AW1747" s="8"/>
      <c r="AX1747" s="4" t="s">
        <v>38</v>
      </c>
      <c r="AY1747" s="5" t="s">
        <v>7690</v>
      </c>
      <c r="AZ1747" s="5" t="s">
        <v>38</v>
      </c>
      <c r="BA1747" s="12"/>
      <c r="BB1747" s="12"/>
      <c r="BC1747" s="12"/>
      <c r="BD1747" s="11">
        <v>0</v>
      </c>
      <c r="BE1747" s="11">
        <v>0</v>
      </c>
    </row>
    <row x14ac:dyDescent="0.25" r="1748" customHeight="1" ht="17.25">
      <c r="A1748" s="11">
        <v>16128896</v>
      </c>
      <c r="B1748" s="4" t="s">
        <v>7691</v>
      </c>
      <c r="C1748" s="5" t="s">
        <v>1232</v>
      </c>
      <c r="D1748" s="5" t="s">
        <v>1233</v>
      </c>
      <c r="E1748" s="5" t="s">
        <v>7692</v>
      </c>
      <c r="F1748" s="13">
        <f>"0810128969"</f>
      </c>
      <c r="G1748" s="13">
        <f>"9780810128965"</f>
      </c>
      <c r="H1748" s="11">
        <v>0</v>
      </c>
      <c r="I1748" s="14">
        <v>4.75</v>
      </c>
      <c r="J1748" s="7" t="s">
        <v>1922</v>
      </c>
      <c r="K1748" s="5" t="s">
        <v>60</v>
      </c>
      <c r="L1748" s="11">
        <v>112</v>
      </c>
      <c r="M1748" s="11">
        <v>2013</v>
      </c>
      <c r="N1748" s="11">
        <v>2013</v>
      </c>
      <c r="O1748" s="15"/>
      <c r="P1748" s="8">
        <v>44250</v>
      </c>
      <c r="Q1748" s="8"/>
      <c r="R1748" s="8"/>
      <c r="S1748" s="8"/>
      <c r="T1748" s="8"/>
      <c r="U1748" s="8"/>
      <c r="V1748" s="8"/>
      <c r="W1748" s="8"/>
      <c r="X1748" s="8"/>
      <c r="Y1748" s="8"/>
      <c r="Z1748" s="8"/>
      <c r="AA1748" s="8"/>
      <c r="AB1748" s="8"/>
      <c r="AC1748" s="8"/>
      <c r="AD1748" s="8"/>
      <c r="AE1748" s="8"/>
      <c r="AF1748" s="8"/>
      <c r="AG1748" s="8"/>
      <c r="AH1748" s="8"/>
      <c r="AI1748" s="8"/>
      <c r="AJ1748" s="8"/>
      <c r="AK1748" s="8"/>
      <c r="AL1748" s="8"/>
      <c r="AM1748" s="8"/>
      <c r="AN1748" s="8"/>
      <c r="AO1748" s="8"/>
      <c r="AP1748" s="8"/>
      <c r="AQ1748" s="8"/>
      <c r="AR1748" s="8"/>
      <c r="AS1748" s="8"/>
      <c r="AT1748" s="8"/>
      <c r="AU1748" s="8"/>
      <c r="AV1748" s="8"/>
      <c r="AW1748" s="8"/>
      <c r="AX1748" s="4" t="s">
        <v>38</v>
      </c>
      <c r="AY1748" s="5" t="s">
        <v>7693</v>
      </c>
      <c r="AZ1748" s="5" t="s">
        <v>38</v>
      </c>
      <c r="BA1748" s="12"/>
      <c r="BB1748" s="12"/>
      <c r="BC1748" s="12"/>
      <c r="BD1748" s="11">
        <v>0</v>
      </c>
      <c r="BE1748" s="11">
        <v>0</v>
      </c>
    </row>
    <row x14ac:dyDescent="0.25" r="1749" customHeight="1" ht="17.25">
      <c r="A1749" s="11">
        <v>55347007</v>
      </c>
      <c r="B1749" s="4" t="s">
        <v>7694</v>
      </c>
      <c r="C1749" s="5" t="s">
        <v>7695</v>
      </c>
      <c r="D1749" s="5" t="s">
        <v>7696</v>
      </c>
      <c r="E1749" s="12"/>
      <c r="F1749" s="13">
        <f>"164622017X"</f>
      </c>
      <c r="G1749" s="13">
        <f>"9781646220175"</f>
      </c>
      <c r="H1749" s="11">
        <v>0</v>
      </c>
      <c r="I1749" s="14">
        <v>3.53</v>
      </c>
      <c r="J1749" s="7" t="s">
        <v>733</v>
      </c>
      <c r="K1749" s="5" t="s">
        <v>60</v>
      </c>
      <c r="L1749" s="11">
        <v>272</v>
      </c>
      <c r="M1749" s="11">
        <v>2021</v>
      </c>
      <c r="N1749" s="11">
        <v>2021</v>
      </c>
      <c r="O1749" s="15"/>
      <c r="P1749" s="8">
        <v>44245</v>
      </c>
      <c r="Q1749" s="8"/>
      <c r="R1749" s="8"/>
      <c r="S1749" s="8"/>
      <c r="T1749" s="8"/>
      <c r="U1749" s="8"/>
      <c r="V1749" s="8"/>
      <c r="W1749" s="8"/>
      <c r="X1749" s="8"/>
      <c r="Y1749" s="8"/>
      <c r="Z1749" s="8"/>
      <c r="AA1749" s="8"/>
      <c r="AB1749" s="8"/>
      <c r="AC1749" s="8"/>
      <c r="AD1749" s="8"/>
      <c r="AE1749" s="8"/>
      <c r="AF1749" s="8"/>
      <c r="AG1749" s="8"/>
      <c r="AH1749" s="8"/>
      <c r="AI1749" s="8"/>
      <c r="AJ1749" s="8"/>
      <c r="AK1749" s="8"/>
      <c r="AL1749" s="8"/>
      <c r="AM1749" s="8"/>
      <c r="AN1749" s="8"/>
      <c r="AO1749" s="8"/>
      <c r="AP1749" s="8"/>
      <c r="AQ1749" s="8"/>
      <c r="AR1749" s="8"/>
      <c r="AS1749" s="8"/>
      <c r="AT1749" s="8"/>
      <c r="AU1749" s="8"/>
      <c r="AV1749" s="8"/>
      <c r="AW1749" s="8"/>
      <c r="AX1749" s="4" t="s">
        <v>38</v>
      </c>
      <c r="AY1749" s="5" t="s">
        <v>7697</v>
      </c>
      <c r="AZ1749" s="5" t="s">
        <v>38</v>
      </c>
      <c r="BA1749" s="12"/>
      <c r="BB1749" s="12"/>
      <c r="BC1749" s="12"/>
      <c r="BD1749" s="11">
        <v>0</v>
      </c>
      <c r="BE1749" s="11">
        <v>0</v>
      </c>
    </row>
    <row x14ac:dyDescent="0.25" r="1750" customHeight="1" ht="17.25">
      <c r="A1750" s="11">
        <v>258637</v>
      </c>
      <c r="B1750" s="4" t="s">
        <v>7698</v>
      </c>
      <c r="C1750" s="5" t="s">
        <v>7699</v>
      </c>
      <c r="D1750" s="5" t="s">
        <v>7700</v>
      </c>
      <c r="E1750" s="5" t="s">
        <v>7701</v>
      </c>
      <c r="F1750" s="13">
        <f>"1564783111"</f>
      </c>
      <c r="G1750" s="13">
        <f>"9781564783110"</f>
      </c>
      <c r="H1750" s="11">
        <v>0</v>
      </c>
      <c r="I1750" s="14">
        <v>4.01</v>
      </c>
      <c r="J1750" s="7" t="s">
        <v>59</v>
      </c>
      <c r="K1750" s="5" t="s">
        <v>60</v>
      </c>
      <c r="L1750" s="11">
        <v>164</v>
      </c>
      <c r="M1750" s="11">
        <v>2001</v>
      </c>
      <c r="N1750" s="11">
        <v>1922</v>
      </c>
      <c r="O1750" s="15"/>
      <c r="P1750" s="8">
        <v>44245</v>
      </c>
      <c r="Q1750" s="8"/>
      <c r="R1750" s="8"/>
      <c r="S1750" s="8"/>
      <c r="T1750" s="8"/>
      <c r="U1750" s="8"/>
      <c r="V1750" s="8"/>
      <c r="W1750" s="8"/>
      <c r="X1750" s="8"/>
      <c r="Y1750" s="8"/>
      <c r="Z1750" s="8"/>
      <c r="AA1750" s="8"/>
      <c r="AB1750" s="8"/>
      <c r="AC1750" s="8"/>
      <c r="AD1750" s="8"/>
      <c r="AE1750" s="8"/>
      <c r="AF1750" s="8"/>
      <c r="AG1750" s="8"/>
      <c r="AH1750" s="8"/>
      <c r="AI1750" s="8"/>
      <c r="AJ1750" s="8"/>
      <c r="AK1750" s="8"/>
      <c r="AL1750" s="8"/>
      <c r="AM1750" s="8"/>
      <c r="AN1750" s="8"/>
      <c r="AO1750" s="8"/>
      <c r="AP1750" s="8"/>
      <c r="AQ1750" s="8"/>
      <c r="AR1750" s="8"/>
      <c r="AS1750" s="8"/>
      <c r="AT1750" s="8"/>
      <c r="AU1750" s="8"/>
      <c r="AV1750" s="8"/>
      <c r="AW1750" s="8"/>
      <c r="AX1750" s="4" t="s">
        <v>38</v>
      </c>
      <c r="AY1750" s="5" t="s">
        <v>7702</v>
      </c>
      <c r="AZ1750" s="5" t="s">
        <v>38</v>
      </c>
      <c r="BA1750" s="12"/>
      <c r="BB1750" s="12"/>
      <c r="BC1750" s="12"/>
      <c r="BD1750" s="11">
        <v>0</v>
      </c>
      <c r="BE1750" s="11">
        <v>0</v>
      </c>
    </row>
    <row x14ac:dyDescent="0.25" r="1751" customHeight="1" ht="17.25">
      <c r="A1751" s="11">
        <v>33253215</v>
      </c>
      <c r="B1751" s="4" t="s">
        <v>7703</v>
      </c>
      <c r="C1751" s="5" t="s">
        <v>7704</v>
      </c>
      <c r="D1751" s="5" t="s">
        <v>7705</v>
      </c>
      <c r="E1751" s="12"/>
      <c r="F1751" s="13">
        <f>""</f>
      </c>
      <c r="G1751" s="13">
        <f>""</f>
      </c>
      <c r="H1751" s="11">
        <v>0</v>
      </c>
      <c r="I1751" s="14">
        <v>4.5</v>
      </c>
      <c r="J1751" s="7" t="s">
        <v>7706</v>
      </c>
      <c r="K1751" s="5" t="s">
        <v>72</v>
      </c>
      <c r="L1751" s="11">
        <v>582</v>
      </c>
      <c r="M1751" s="11">
        <v>2017</v>
      </c>
      <c r="N1751" s="11">
        <v>2017</v>
      </c>
      <c r="O1751" s="15"/>
      <c r="P1751" s="8">
        <v>44245</v>
      </c>
      <c r="Q1751" s="8"/>
      <c r="R1751" s="8"/>
      <c r="S1751" s="8"/>
      <c r="T1751" s="8"/>
      <c r="U1751" s="8"/>
      <c r="V1751" s="8"/>
      <c r="W1751" s="8"/>
      <c r="X1751" s="8"/>
      <c r="Y1751" s="8"/>
      <c r="Z1751" s="8"/>
      <c r="AA1751" s="8"/>
      <c r="AB1751" s="8"/>
      <c r="AC1751" s="8"/>
      <c r="AD1751" s="8"/>
      <c r="AE1751" s="8"/>
      <c r="AF1751" s="8"/>
      <c r="AG1751" s="8"/>
      <c r="AH1751" s="8"/>
      <c r="AI1751" s="8"/>
      <c r="AJ1751" s="8"/>
      <c r="AK1751" s="8"/>
      <c r="AL1751" s="8"/>
      <c r="AM1751" s="8"/>
      <c r="AN1751" s="8"/>
      <c r="AO1751" s="8"/>
      <c r="AP1751" s="8"/>
      <c r="AQ1751" s="8"/>
      <c r="AR1751" s="8"/>
      <c r="AS1751" s="8"/>
      <c r="AT1751" s="8"/>
      <c r="AU1751" s="8"/>
      <c r="AV1751" s="8"/>
      <c r="AW1751" s="8"/>
      <c r="AX1751" s="4" t="s">
        <v>38</v>
      </c>
      <c r="AY1751" s="5" t="s">
        <v>7707</v>
      </c>
      <c r="AZ1751" s="5" t="s">
        <v>38</v>
      </c>
      <c r="BA1751" s="12"/>
      <c r="BB1751" s="12"/>
      <c r="BC1751" s="12"/>
      <c r="BD1751" s="11">
        <v>0</v>
      </c>
      <c r="BE1751" s="11">
        <v>0</v>
      </c>
    </row>
    <row x14ac:dyDescent="0.25" r="1752" customHeight="1" ht="17.25">
      <c r="A1752" s="11">
        <v>243705</v>
      </c>
      <c r="B1752" s="4" t="s">
        <v>7708</v>
      </c>
      <c r="C1752" s="5" t="s">
        <v>1744</v>
      </c>
      <c r="D1752" s="5" t="s">
        <v>1745</v>
      </c>
      <c r="E1752" s="12"/>
      <c r="F1752" s="13">
        <f>""</f>
      </c>
      <c r="G1752" s="13">
        <f>""</f>
      </c>
      <c r="H1752" s="11">
        <v>0</v>
      </c>
      <c r="I1752" s="14">
        <v>3.98</v>
      </c>
      <c r="J1752" s="7" t="s">
        <v>114</v>
      </c>
      <c r="K1752" s="5" t="s">
        <v>60</v>
      </c>
      <c r="L1752" s="11">
        <v>283</v>
      </c>
      <c r="M1752" s="11">
        <v>1998</v>
      </c>
      <c r="N1752" s="11">
        <v>1963</v>
      </c>
      <c r="O1752" s="15"/>
      <c r="P1752" s="8">
        <v>44242</v>
      </c>
      <c r="Q1752" s="8"/>
      <c r="R1752" s="8"/>
      <c r="S1752" s="8"/>
      <c r="T1752" s="8"/>
      <c r="U1752" s="8"/>
      <c r="V1752" s="8"/>
      <c r="W1752" s="8"/>
      <c r="X1752" s="8"/>
      <c r="Y1752" s="8"/>
      <c r="Z1752" s="8"/>
      <c r="AA1752" s="8"/>
      <c r="AB1752" s="8"/>
      <c r="AC1752" s="8"/>
      <c r="AD1752" s="8"/>
      <c r="AE1752" s="8"/>
      <c r="AF1752" s="8"/>
      <c r="AG1752" s="8"/>
      <c r="AH1752" s="8"/>
      <c r="AI1752" s="8"/>
      <c r="AJ1752" s="8"/>
      <c r="AK1752" s="8"/>
      <c r="AL1752" s="8"/>
      <c r="AM1752" s="8"/>
      <c r="AN1752" s="8"/>
      <c r="AO1752" s="8"/>
      <c r="AP1752" s="8"/>
      <c r="AQ1752" s="8"/>
      <c r="AR1752" s="8"/>
      <c r="AS1752" s="8"/>
      <c r="AT1752" s="8"/>
      <c r="AU1752" s="8"/>
      <c r="AV1752" s="8"/>
      <c r="AW1752" s="8"/>
      <c r="AX1752" s="4" t="s">
        <v>38</v>
      </c>
      <c r="AY1752" s="5" t="s">
        <v>7709</v>
      </c>
      <c r="AZ1752" s="5" t="s">
        <v>38</v>
      </c>
      <c r="BA1752" s="12"/>
      <c r="BB1752" s="12"/>
      <c r="BC1752" s="12"/>
      <c r="BD1752" s="11">
        <v>0</v>
      </c>
      <c r="BE1752" s="11">
        <v>0</v>
      </c>
    </row>
    <row x14ac:dyDescent="0.25" r="1753" customHeight="1" ht="17.25">
      <c r="A1753" s="11">
        <v>7502821</v>
      </c>
      <c r="B1753" s="4" t="s">
        <v>1009</v>
      </c>
      <c r="C1753" s="5" t="s">
        <v>7710</v>
      </c>
      <c r="D1753" s="5" t="s">
        <v>7711</v>
      </c>
      <c r="E1753" s="12"/>
      <c r="F1753" s="13">
        <f>"0641509022"</f>
      </c>
      <c r="G1753" s="13">
        <f>"9780641509025"</f>
      </c>
      <c r="H1753" s="11">
        <v>0</v>
      </c>
      <c r="I1753" s="11">
        <v>3</v>
      </c>
      <c r="J1753" s="18"/>
      <c r="K1753" s="5" t="s">
        <v>72</v>
      </c>
      <c r="L1753" s="11">
        <v>246</v>
      </c>
      <c r="M1753" s="11">
        <v>2003</v>
      </c>
      <c r="N1753" s="11">
        <v>2003</v>
      </c>
      <c r="O1753" s="15"/>
      <c r="P1753" s="8">
        <v>44242</v>
      </c>
      <c r="Q1753" s="8"/>
      <c r="R1753" s="8"/>
      <c r="S1753" s="8"/>
      <c r="T1753" s="8"/>
      <c r="U1753" s="8"/>
      <c r="V1753" s="8"/>
      <c r="W1753" s="8"/>
      <c r="X1753" s="8"/>
      <c r="Y1753" s="8"/>
      <c r="Z1753" s="8"/>
      <c r="AA1753" s="8"/>
      <c r="AB1753" s="8"/>
      <c r="AC1753" s="8"/>
      <c r="AD1753" s="8"/>
      <c r="AE1753" s="8"/>
      <c r="AF1753" s="8"/>
      <c r="AG1753" s="8"/>
      <c r="AH1753" s="8"/>
      <c r="AI1753" s="8"/>
      <c r="AJ1753" s="8"/>
      <c r="AK1753" s="8"/>
      <c r="AL1753" s="8"/>
      <c r="AM1753" s="8"/>
      <c r="AN1753" s="8"/>
      <c r="AO1753" s="8"/>
      <c r="AP1753" s="8"/>
      <c r="AQ1753" s="8"/>
      <c r="AR1753" s="8"/>
      <c r="AS1753" s="8"/>
      <c r="AT1753" s="8"/>
      <c r="AU1753" s="8"/>
      <c r="AV1753" s="8"/>
      <c r="AW1753" s="8"/>
      <c r="AX1753" s="4" t="s">
        <v>38</v>
      </c>
      <c r="AY1753" s="5" t="s">
        <v>7712</v>
      </c>
      <c r="AZ1753" s="5" t="s">
        <v>38</v>
      </c>
      <c r="BA1753" s="12"/>
      <c r="BB1753" s="12"/>
      <c r="BC1753" s="12"/>
      <c r="BD1753" s="11">
        <v>0</v>
      </c>
      <c r="BE1753" s="11">
        <v>0</v>
      </c>
    </row>
    <row x14ac:dyDescent="0.25" r="1754" customHeight="1" ht="17.25">
      <c r="A1754" s="11">
        <v>18465875</v>
      </c>
      <c r="B1754" s="4" t="s">
        <v>7713</v>
      </c>
      <c r="C1754" s="5" t="s">
        <v>7714</v>
      </c>
      <c r="D1754" s="5" t="s">
        <v>7715</v>
      </c>
      <c r="E1754" s="12"/>
      <c r="F1754" s="13">
        <f>"077043617X"</f>
      </c>
      <c r="G1754" s="13">
        <f>"9780770436179"</f>
      </c>
      <c r="H1754" s="11">
        <v>0</v>
      </c>
      <c r="I1754" s="14">
        <v>4.16</v>
      </c>
      <c r="J1754" s="7" t="s">
        <v>3196</v>
      </c>
      <c r="K1754" s="5" t="s">
        <v>72</v>
      </c>
      <c r="L1754" s="11">
        <v>406</v>
      </c>
      <c r="M1754" s="11">
        <v>2014</v>
      </c>
      <c r="N1754" s="11">
        <v>2014</v>
      </c>
      <c r="O1754" s="15"/>
      <c r="P1754" s="8">
        <v>44239</v>
      </c>
      <c r="Q1754" s="8"/>
      <c r="R1754" s="8"/>
      <c r="S1754" s="8"/>
      <c r="T1754" s="8"/>
      <c r="U1754" s="8"/>
      <c r="V1754" s="8"/>
      <c r="W1754" s="8"/>
      <c r="X1754" s="8"/>
      <c r="Y1754" s="8"/>
      <c r="Z1754" s="8"/>
      <c r="AA1754" s="8"/>
      <c r="AB1754" s="8"/>
      <c r="AC1754" s="8"/>
      <c r="AD1754" s="8"/>
      <c r="AE1754" s="8"/>
      <c r="AF1754" s="8"/>
      <c r="AG1754" s="8"/>
      <c r="AH1754" s="8"/>
      <c r="AI1754" s="8"/>
      <c r="AJ1754" s="8"/>
      <c r="AK1754" s="8"/>
      <c r="AL1754" s="8"/>
      <c r="AM1754" s="8"/>
      <c r="AN1754" s="8"/>
      <c r="AO1754" s="8"/>
      <c r="AP1754" s="8"/>
      <c r="AQ1754" s="8"/>
      <c r="AR1754" s="8"/>
      <c r="AS1754" s="8"/>
      <c r="AT1754" s="8"/>
      <c r="AU1754" s="8"/>
      <c r="AV1754" s="8"/>
      <c r="AW1754" s="8"/>
      <c r="AX1754" s="4" t="s">
        <v>38</v>
      </c>
      <c r="AY1754" s="5" t="s">
        <v>7716</v>
      </c>
      <c r="AZ1754" s="5" t="s">
        <v>38</v>
      </c>
      <c r="BA1754" s="12"/>
      <c r="BB1754" s="12"/>
      <c r="BC1754" s="12"/>
      <c r="BD1754" s="11">
        <v>0</v>
      </c>
      <c r="BE1754" s="11">
        <v>0</v>
      </c>
    </row>
    <row x14ac:dyDescent="0.25" r="1755" customHeight="1" ht="17.25">
      <c r="A1755" s="11">
        <v>43715643</v>
      </c>
      <c r="B1755" s="4" t="s">
        <v>7717</v>
      </c>
      <c r="C1755" s="5" t="s">
        <v>7718</v>
      </c>
      <c r="D1755" s="5" t="s">
        <v>7719</v>
      </c>
      <c r="E1755" s="5" t="s">
        <v>7720</v>
      </c>
      <c r="F1755" s="13">
        <f>""</f>
      </c>
      <c r="G1755" s="13">
        <f>""</f>
      </c>
      <c r="H1755" s="11">
        <v>0</v>
      </c>
      <c r="I1755" s="14">
        <v>3.72</v>
      </c>
      <c r="J1755" s="7" t="s">
        <v>701</v>
      </c>
      <c r="K1755" s="5" t="s">
        <v>90</v>
      </c>
      <c r="L1755" s="11">
        <v>223</v>
      </c>
      <c r="M1755" s="11">
        <v>2021</v>
      </c>
      <c r="N1755" s="16"/>
      <c r="O1755" s="15"/>
      <c r="P1755" s="8">
        <v>44236</v>
      </c>
      <c r="Q1755" s="8"/>
      <c r="R1755" s="8"/>
      <c r="S1755" s="8"/>
      <c r="T1755" s="8"/>
      <c r="U1755" s="8"/>
      <c r="V1755" s="8"/>
      <c r="W1755" s="8"/>
      <c r="X1755" s="8"/>
      <c r="Y1755" s="8"/>
      <c r="Z1755" s="8"/>
      <c r="AA1755" s="8"/>
      <c r="AB1755" s="8"/>
      <c r="AC1755" s="8"/>
      <c r="AD1755" s="8"/>
      <c r="AE1755" s="8"/>
      <c r="AF1755" s="8"/>
      <c r="AG1755" s="8"/>
      <c r="AH1755" s="8"/>
      <c r="AI1755" s="8"/>
      <c r="AJ1755" s="8"/>
      <c r="AK1755" s="8"/>
      <c r="AL1755" s="8"/>
      <c r="AM1755" s="8"/>
      <c r="AN1755" s="8"/>
      <c r="AO1755" s="8"/>
      <c r="AP1755" s="8"/>
      <c r="AQ1755" s="8"/>
      <c r="AR1755" s="8"/>
      <c r="AS1755" s="8"/>
      <c r="AT1755" s="8"/>
      <c r="AU1755" s="8"/>
      <c r="AV1755" s="8"/>
      <c r="AW1755" s="8"/>
      <c r="AX1755" s="4" t="s">
        <v>38</v>
      </c>
      <c r="AY1755" s="5" t="s">
        <v>7721</v>
      </c>
      <c r="AZ1755" s="5" t="s">
        <v>38</v>
      </c>
      <c r="BA1755" s="12"/>
      <c r="BB1755" s="12"/>
      <c r="BC1755" s="12"/>
      <c r="BD1755" s="11">
        <v>0</v>
      </c>
      <c r="BE1755" s="11">
        <v>0</v>
      </c>
    </row>
    <row x14ac:dyDescent="0.25" r="1756" customHeight="1" ht="17.25">
      <c r="A1756" s="11">
        <v>116760</v>
      </c>
      <c r="B1756" s="4" t="s">
        <v>7722</v>
      </c>
      <c r="C1756" s="5" t="s">
        <v>7723</v>
      </c>
      <c r="D1756" s="5" t="s">
        <v>7724</v>
      </c>
      <c r="E1756" s="12"/>
      <c r="F1756" s="13">
        <f>"1582432554"</f>
      </c>
      <c r="G1756" s="13">
        <f>"9781582432557"</f>
      </c>
      <c r="H1756" s="11">
        <v>0</v>
      </c>
      <c r="I1756" s="14">
        <v>3.78</v>
      </c>
      <c r="J1756" s="7" t="s">
        <v>6506</v>
      </c>
      <c r="K1756" s="5" t="s">
        <v>60</v>
      </c>
      <c r="L1756" s="11">
        <v>208</v>
      </c>
      <c r="M1756" s="11">
        <v>2002</v>
      </c>
      <c r="N1756" s="11">
        <v>2001</v>
      </c>
      <c r="O1756" s="15"/>
      <c r="P1756" s="8">
        <v>44235</v>
      </c>
      <c r="Q1756" s="8"/>
      <c r="R1756" s="8"/>
      <c r="S1756" s="8"/>
      <c r="T1756" s="8"/>
      <c r="U1756" s="8"/>
      <c r="V1756" s="8"/>
      <c r="W1756" s="8"/>
      <c r="X1756" s="8"/>
      <c r="Y1756" s="8"/>
      <c r="Z1756" s="8"/>
      <c r="AA1756" s="8"/>
      <c r="AB1756" s="8"/>
      <c r="AC1756" s="8"/>
      <c r="AD1756" s="8"/>
      <c r="AE1756" s="8"/>
      <c r="AF1756" s="8"/>
      <c r="AG1756" s="8"/>
      <c r="AH1756" s="8"/>
      <c r="AI1756" s="8"/>
      <c r="AJ1756" s="8"/>
      <c r="AK1756" s="8"/>
      <c r="AL1756" s="8"/>
      <c r="AM1756" s="8"/>
      <c r="AN1756" s="8"/>
      <c r="AO1756" s="8"/>
      <c r="AP1756" s="8"/>
      <c r="AQ1756" s="8"/>
      <c r="AR1756" s="8"/>
      <c r="AS1756" s="8"/>
      <c r="AT1756" s="8"/>
      <c r="AU1756" s="8"/>
      <c r="AV1756" s="8"/>
      <c r="AW1756" s="8"/>
      <c r="AX1756" s="4" t="s">
        <v>38</v>
      </c>
      <c r="AY1756" s="5" t="s">
        <v>7725</v>
      </c>
      <c r="AZ1756" s="5" t="s">
        <v>38</v>
      </c>
      <c r="BA1756" s="12"/>
      <c r="BB1756" s="12"/>
      <c r="BC1756" s="12"/>
      <c r="BD1756" s="11">
        <v>0</v>
      </c>
      <c r="BE1756" s="11">
        <v>0</v>
      </c>
    </row>
    <row x14ac:dyDescent="0.25" r="1757" customHeight="1" ht="17.25">
      <c r="A1757" s="11">
        <v>24934647</v>
      </c>
      <c r="B1757" s="4" t="s">
        <v>7726</v>
      </c>
      <c r="C1757" s="5" t="s">
        <v>7727</v>
      </c>
      <c r="D1757" s="5" t="s">
        <v>7728</v>
      </c>
      <c r="E1757" s="12"/>
      <c r="F1757" s="13">
        <f>"8423349322"</f>
      </c>
      <c r="G1757" s="13">
        <f>"9788423349326"</f>
      </c>
      <c r="H1757" s="11">
        <v>0</v>
      </c>
      <c r="I1757" s="14">
        <v>3.39</v>
      </c>
      <c r="J1757" s="7" t="s">
        <v>7729</v>
      </c>
      <c r="K1757" s="5" t="s">
        <v>60</v>
      </c>
      <c r="L1757" s="11">
        <v>268</v>
      </c>
      <c r="M1757" s="11">
        <v>2015</v>
      </c>
      <c r="N1757" s="11">
        <v>2015</v>
      </c>
      <c r="O1757" s="15"/>
      <c r="P1757" s="8">
        <v>44235</v>
      </c>
      <c r="Q1757" s="8"/>
      <c r="R1757" s="8"/>
      <c r="S1757" s="8"/>
      <c r="T1757" s="8"/>
      <c r="U1757" s="8"/>
      <c r="V1757" s="8"/>
      <c r="W1757" s="8"/>
      <c r="X1757" s="8"/>
      <c r="Y1757" s="8"/>
      <c r="Z1757" s="8"/>
      <c r="AA1757" s="8"/>
      <c r="AB1757" s="8"/>
      <c r="AC1757" s="8"/>
      <c r="AD1757" s="8"/>
      <c r="AE1757" s="8"/>
      <c r="AF1757" s="8"/>
      <c r="AG1757" s="8"/>
      <c r="AH1757" s="8"/>
      <c r="AI1757" s="8"/>
      <c r="AJ1757" s="8"/>
      <c r="AK1757" s="8"/>
      <c r="AL1757" s="8"/>
      <c r="AM1757" s="8"/>
      <c r="AN1757" s="8"/>
      <c r="AO1757" s="8"/>
      <c r="AP1757" s="8"/>
      <c r="AQ1757" s="8"/>
      <c r="AR1757" s="8"/>
      <c r="AS1757" s="8"/>
      <c r="AT1757" s="8"/>
      <c r="AU1757" s="8"/>
      <c r="AV1757" s="8"/>
      <c r="AW1757" s="8"/>
      <c r="AX1757" s="4" t="s">
        <v>38</v>
      </c>
      <c r="AY1757" s="5" t="s">
        <v>7730</v>
      </c>
      <c r="AZ1757" s="5" t="s">
        <v>38</v>
      </c>
      <c r="BA1757" s="12"/>
      <c r="BB1757" s="12"/>
      <c r="BC1757" s="12"/>
      <c r="BD1757" s="11">
        <v>0</v>
      </c>
      <c r="BE1757" s="11">
        <v>0</v>
      </c>
    </row>
    <row x14ac:dyDescent="0.25" r="1758" customHeight="1" ht="17.25">
      <c r="A1758" s="11">
        <v>179744</v>
      </c>
      <c r="B1758" s="4" t="s">
        <v>7731</v>
      </c>
      <c r="C1758" s="5" t="s">
        <v>2979</v>
      </c>
      <c r="D1758" s="5" t="s">
        <v>7732</v>
      </c>
      <c r="E1758" s="12"/>
      <c r="F1758" s="13">
        <f>"0192861980"</f>
      </c>
      <c r="G1758" s="13">
        <f>"9780192861986"</f>
      </c>
      <c r="H1758" s="11">
        <v>0</v>
      </c>
      <c r="I1758" s="14">
        <v>3.9</v>
      </c>
      <c r="J1758" s="7" t="s">
        <v>245</v>
      </c>
      <c r="K1758" s="5" t="s">
        <v>60</v>
      </c>
      <c r="L1758" s="11">
        <v>602</v>
      </c>
      <c r="M1758" s="11">
        <v>1999</v>
      </c>
      <c r="N1758" s="11">
        <v>1989</v>
      </c>
      <c r="O1758" s="15"/>
      <c r="P1758" s="8">
        <v>44235</v>
      </c>
      <c r="Q1758" s="8"/>
      <c r="R1758" s="8"/>
      <c r="S1758" s="8"/>
      <c r="T1758" s="8"/>
      <c r="U1758" s="8"/>
      <c r="V1758" s="8"/>
      <c r="W1758" s="8"/>
      <c r="X1758" s="8"/>
      <c r="Y1758" s="8"/>
      <c r="Z1758" s="8"/>
      <c r="AA1758" s="8"/>
      <c r="AB1758" s="8"/>
      <c r="AC1758" s="8"/>
      <c r="AD1758" s="8"/>
      <c r="AE1758" s="8"/>
      <c r="AF1758" s="8"/>
      <c r="AG1758" s="8"/>
      <c r="AH1758" s="8"/>
      <c r="AI1758" s="8"/>
      <c r="AJ1758" s="8"/>
      <c r="AK1758" s="8"/>
      <c r="AL1758" s="8"/>
      <c r="AM1758" s="8"/>
      <c r="AN1758" s="8"/>
      <c r="AO1758" s="8"/>
      <c r="AP1758" s="8"/>
      <c r="AQ1758" s="8"/>
      <c r="AR1758" s="8"/>
      <c r="AS1758" s="8"/>
      <c r="AT1758" s="8"/>
      <c r="AU1758" s="8"/>
      <c r="AV1758" s="8"/>
      <c r="AW1758" s="8"/>
      <c r="AX1758" s="4" t="s">
        <v>38</v>
      </c>
      <c r="AY1758" s="5" t="s">
        <v>7733</v>
      </c>
      <c r="AZ1758" s="5" t="s">
        <v>38</v>
      </c>
      <c r="BA1758" s="12"/>
      <c r="BB1758" s="12"/>
      <c r="BC1758" s="12"/>
      <c r="BD1758" s="11">
        <v>0</v>
      </c>
      <c r="BE1758" s="11">
        <v>0</v>
      </c>
    </row>
    <row x14ac:dyDescent="0.25" r="1759" customHeight="1" ht="17.25">
      <c r="A1759" s="11">
        <v>28818688</v>
      </c>
      <c r="B1759" s="4" t="s">
        <v>7734</v>
      </c>
      <c r="C1759" s="5" t="s">
        <v>7735</v>
      </c>
      <c r="D1759" s="5" t="s">
        <v>7736</v>
      </c>
      <c r="E1759" s="12"/>
      <c r="F1759" s="13">
        <f>"1556594992"</f>
      </c>
      <c r="G1759" s="13">
        <f>"9781556594991"</f>
      </c>
      <c r="H1759" s="11">
        <v>0</v>
      </c>
      <c r="I1759" s="14">
        <v>4.28</v>
      </c>
      <c r="J1759" s="7" t="s">
        <v>7737</v>
      </c>
      <c r="K1759" s="5" t="s">
        <v>72</v>
      </c>
      <c r="L1759" s="11">
        <v>96</v>
      </c>
      <c r="M1759" s="11">
        <v>2016</v>
      </c>
      <c r="N1759" s="11">
        <v>2016</v>
      </c>
      <c r="O1759" s="15"/>
      <c r="P1759" s="8">
        <v>44228</v>
      </c>
      <c r="Q1759" s="8"/>
      <c r="R1759" s="8"/>
      <c r="S1759" s="8"/>
      <c r="T1759" s="8"/>
      <c r="U1759" s="8"/>
      <c r="V1759" s="8"/>
      <c r="W1759" s="8"/>
      <c r="X1759" s="8"/>
      <c r="Y1759" s="8"/>
      <c r="Z1759" s="8"/>
      <c r="AA1759" s="8"/>
      <c r="AB1759" s="8"/>
      <c r="AC1759" s="8"/>
      <c r="AD1759" s="8"/>
      <c r="AE1759" s="8"/>
      <c r="AF1759" s="8"/>
      <c r="AG1759" s="8"/>
      <c r="AH1759" s="8"/>
      <c r="AI1759" s="8"/>
      <c r="AJ1759" s="8"/>
      <c r="AK1759" s="8"/>
      <c r="AL1759" s="8"/>
      <c r="AM1759" s="8"/>
      <c r="AN1759" s="8"/>
      <c r="AO1759" s="8"/>
      <c r="AP1759" s="8"/>
      <c r="AQ1759" s="8"/>
      <c r="AR1759" s="8"/>
      <c r="AS1759" s="8"/>
      <c r="AT1759" s="8"/>
      <c r="AU1759" s="8"/>
      <c r="AV1759" s="8"/>
      <c r="AW1759" s="8"/>
      <c r="AX1759" s="4" t="s">
        <v>38</v>
      </c>
      <c r="AY1759" s="5" t="s">
        <v>7738</v>
      </c>
      <c r="AZ1759" s="5" t="s">
        <v>38</v>
      </c>
      <c r="BA1759" s="12"/>
      <c r="BB1759" s="12"/>
      <c r="BC1759" s="12"/>
      <c r="BD1759" s="11">
        <v>0</v>
      </c>
      <c r="BE1759" s="11">
        <v>0</v>
      </c>
    </row>
    <row x14ac:dyDescent="0.25" r="1760" customHeight="1" ht="17.25">
      <c r="A1760" s="11">
        <v>54304256</v>
      </c>
      <c r="B1760" s="4" t="s">
        <v>7739</v>
      </c>
      <c r="C1760" s="5" t="s">
        <v>7740</v>
      </c>
      <c r="D1760" s="5" t="s">
        <v>7741</v>
      </c>
      <c r="E1760" s="5" t="s">
        <v>7742</v>
      </c>
      <c r="F1760" s="13">
        <f>"198211021X"</f>
      </c>
      <c r="G1760" s="13">
        <f>"9781982110215"</f>
      </c>
      <c r="H1760" s="11">
        <v>0</v>
      </c>
      <c r="I1760" s="14">
        <v>3.13</v>
      </c>
      <c r="J1760" s="7" t="s">
        <v>376</v>
      </c>
      <c r="K1760" s="5" t="s">
        <v>60</v>
      </c>
      <c r="L1760" s="11">
        <v>288</v>
      </c>
      <c r="M1760" s="11">
        <v>2021</v>
      </c>
      <c r="N1760" s="11">
        <v>2021</v>
      </c>
      <c r="O1760" s="15"/>
      <c r="P1760" s="8">
        <v>44216</v>
      </c>
      <c r="Q1760" s="8"/>
      <c r="R1760" s="8"/>
      <c r="S1760" s="8"/>
      <c r="T1760" s="8"/>
      <c r="U1760" s="8"/>
      <c r="V1760" s="8"/>
      <c r="W1760" s="8"/>
      <c r="X1760" s="8"/>
      <c r="Y1760" s="8"/>
      <c r="Z1760" s="8"/>
      <c r="AA1760" s="8"/>
      <c r="AB1760" s="8"/>
      <c r="AC1760" s="8"/>
      <c r="AD1760" s="8"/>
      <c r="AE1760" s="8"/>
      <c r="AF1760" s="8"/>
      <c r="AG1760" s="8"/>
      <c r="AH1760" s="8"/>
      <c r="AI1760" s="8"/>
      <c r="AJ1760" s="8"/>
      <c r="AK1760" s="8"/>
      <c r="AL1760" s="8"/>
      <c r="AM1760" s="8"/>
      <c r="AN1760" s="8"/>
      <c r="AO1760" s="8"/>
      <c r="AP1760" s="8"/>
      <c r="AQ1760" s="8"/>
      <c r="AR1760" s="8"/>
      <c r="AS1760" s="8"/>
      <c r="AT1760" s="8"/>
      <c r="AU1760" s="8"/>
      <c r="AV1760" s="8"/>
      <c r="AW1760" s="8"/>
      <c r="AX1760" s="4" t="s">
        <v>38</v>
      </c>
      <c r="AY1760" s="5" t="s">
        <v>7743</v>
      </c>
      <c r="AZ1760" s="5" t="s">
        <v>38</v>
      </c>
      <c r="BA1760" s="12"/>
      <c r="BB1760" s="12"/>
      <c r="BC1760" s="12"/>
      <c r="BD1760" s="11">
        <v>0</v>
      </c>
      <c r="BE1760" s="11">
        <v>0</v>
      </c>
    </row>
    <row x14ac:dyDescent="0.25" r="1761" customHeight="1" ht="17.25">
      <c r="A1761" s="11">
        <v>52299568</v>
      </c>
      <c r="B1761" s="4" t="s">
        <v>7744</v>
      </c>
      <c r="C1761" s="5" t="s">
        <v>7745</v>
      </c>
      <c r="D1761" s="5" t="s">
        <v>7746</v>
      </c>
      <c r="E1761" s="12"/>
      <c r="F1761" s="13">
        <f>"1612198627"</f>
      </c>
      <c r="G1761" s="13">
        <f>""</f>
      </c>
      <c r="H1761" s="11">
        <v>0</v>
      </c>
      <c r="I1761" s="14">
        <v>4.17</v>
      </c>
      <c r="J1761" s="7" t="s">
        <v>1737</v>
      </c>
      <c r="K1761" s="5" t="s">
        <v>72</v>
      </c>
      <c r="L1761" s="16"/>
      <c r="M1761" s="11">
        <v>2021</v>
      </c>
      <c r="N1761" s="11">
        <v>2021</v>
      </c>
      <c r="O1761" s="15"/>
      <c r="P1761" s="8">
        <v>44216</v>
      </c>
      <c r="Q1761" s="8"/>
      <c r="R1761" s="8"/>
      <c r="S1761" s="8"/>
      <c r="T1761" s="8"/>
      <c r="U1761" s="8"/>
      <c r="V1761" s="8"/>
      <c r="W1761" s="8"/>
      <c r="X1761" s="8"/>
      <c r="Y1761" s="8"/>
      <c r="Z1761" s="8"/>
      <c r="AA1761" s="8"/>
      <c r="AB1761" s="8"/>
      <c r="AC1761" s="8"/>
      <c r="AD1761" s="8"/>
      <c r="AE1761" s="8"/>
      <c r="AF1761" s="8"/>
      <c r="AG1761" s="8"/>
      <c r="AH1761" s="8"/>
      <c r="AI1761" s="8"/>
      <c r="AJ1761" s="8"/>
      <c r="AK1761" s="8"/>
      <c r="AL1761" s="8"/>
      <c r="AM1761" s="8"/>
      <c r="AN1761" s="8"/>
      <c r="AO1761" s="8"/>
      <c r="AP1761" s="8"/>
      <c r="AQ1761" s="8"/>
      <c r="AR1761" s="8"/>
      <c r="AS1761" s="8"/>
      <c r="AT1761" s="8"/>
      <c r="AU1761" s="8"/>
      <c r="AV1761" s="8"/>
      <c r="AW1761" s="8"/>
      <c r="AX1761" s="4" t="s">
        <v>38</v>
      </c>
      <c r="AY1761" s="5" t="s">
        <v>7747</v>
      </c>
      <c r="AZ1761" s="5" t="s">
        <v>38</v>
      </c>
      <c r="BA1761" s="12"/>
      <c r="BB1761" s="12"/>
      <c r="BC1761" s="12"/>
      <c r="BD1761" s="11">
        <v>0</v>
      </c>
      <c r="BE1761" s="11">
        <v>0</v>
      </c>
    </row>
    <row x14ac:dyDescent="0.25" r="1762" customHeight="1" ht="17.25">
      <c r="A1762" s="11">
        <v>54777446</v>
      </c>
      <c r="B1762" s="4" t="s">
        <v>7748</v>
      </c>
      <c r="C1762" s="5" t="s">
        <v>7749</v>
      </c>
      <c r="D1762" s="5" t="s">
        <v>7750</v>
      </c>
      <c r="E1762" s="12"/>
      <c r="F1762" s="13">
        <f>""</f>
      </c>
      <c r="G1762" s="13">
        <f>"9781646220267"</f>
      </c>
      <c r="H1762" s="11">
        <v>0</v>
      </c>
      <c r="I1762" s="14">
        <v>3.84</v>
      </c>
      <c r="J1762" s="7" t="s">
        <v>733</v>
      </c>
      <c r="K1762" s="5" t="s">
        <v>72</v>
      </c>
      <c r="L1762" s="11">
        <v>288</v>
      </c>
      <c r="M1762" s="11">
        <v>2021</v>
      </c>
      <c r="N1762" s="11">
        <v>2021</v>
      </c>
      <c r="O1762" s="15"/>
      <c r="P1762" s="8">
        <v>44216</v>
      </c>
      <c r="Q1762" s="8"/>
      <c r="R1762" s="8"/>
      <c r="S1762" s="8"/>
      <c r="T1762" s="8"/>
      <c r="U1762" s="8"/>
      <c r="V1762" s="8"/>
      <c r="W1762" s="8"/>
      <c r="X1762" s="8"/>
      <c r="Y1762" s="8"/>
      <c r="Z1762" s="8"/>
      <c r="AA1762" s="8"/>
      <c r="AB1762" s="8"/>
      <c r="AC1762" s="8"/>
      <c r="AD1762" s="8"/>
      <c r="AE1762" s="8"/>
      <c r="AF1762" s="8"/>
      <c r="AG1762" s="8"/>
      <c r="AH1762" s="8"/>
      <c r="AI1762" s="8"/>
      <c r="AJ1762" s="8"/>
      <c r="AK1762" s="8"/>
      <c r="AL1762" s="8"/>
      <c r="AM1762" s="8"/>
      <c r="AN1762" s="8"/>
      <c r="AO1762" s="8"/>
      <c r="AP1762" s="8"/>
      <c r="AQ1762" s="8"/>
      <c r="AR1762" s="8"/>
      <c r="AS1762" s="8"/>
      <c r="AT1762" s="8"/>
      <c r="AU1762" s="8"/>
      <c r="AV1762" s="8"/>
      <c r="AW1762" s="8"/>
      <c r="AX1762" s="4" t="s">
        <v>38</v>
      </c>
      <c r="AY1762" s="5" t="s">
        <v>7751</v>
      </c>
      <c r="AZ1762" s="5" t="s">
        <v>38</v>
      </c>
      <c r="BA1762" s="12"/>
      <c r="BB1762" s="12"/>
      <c r="BC1762" s="12"/>
      <c r="BD1762" s="11">
        <v>0</v>
      </c>
      <c r="BE1762" s="11">
        <v>0</v>
      </c>
    </row>
    <row x14ac:dyDescent="0.25" r="1763" customHeight="1" ht="17.25">
      <c r="A1763" s="11">
        <v>53041200</v>
      </c>
      <c r="B1763" s="4" t="s">
        <v>7752</v>
      </c>
      <c r="C1763" s="5" t="s">
        <v>7753</v>
      </c>
      <c r="D1763" s="5" t="s">
        <v>7754</v>
      </c>
      <c r="E1763" s="12"/>
      <c r="F1763" s="13">
        <f>"1603589023"</f>
      </c>
      <c r="G1763" s="13">
        <f>"9781603589024"</f>
      </c>
      <c r="H1763" s="11">
        <v>0</v>
      </c>
      <c r="I1763" s="14">
        <v>4.17</v>
      </c>
      <c r="J1763" s="7" t="s">
        <v>7755</v>
      </c>
      <c r="K1763" s="5" t="s">
        <v>72</v>
      </c>
      <c r="L1763" s="11">
        <v>288</v>
      </c>
      <c r="M1763" s="11">
        <v>2020</v>
      </c>
      <c r="N1763" s="11">
        <v>2020</v>
      </c>
      <c r="O1763" s="15"/>
      <c r="P1763" s="8">
        <v>44214</v>
      </c>
      <c r="Q1763" s="8"/>
      <c r="R1763" s="8"/>
      <c r="S1763" s="8"/>
      <c r="T1763" s="8"/>
      <c r="U1763" s="8"/>
      <c r="V1763" s="8"/>
      <c r="W1763" s="8"/>
      <c r="X1763" s="8"/>
      <c r="Y1763" s="8"/>
      <c r="Z1763" s="8"/>
      <c r="AA1763" s="8"/>
      <c r="AB1763" s="8"/>
      <c r="AC1763" s="8"/>
      <c r="AD1763" s="8"/>
      <c r="AE1763" s="8"/>
      <c r="AF1763" s="8"/>
      <c r="AG1763" s="8"/>
      <c r="AH1763" s="8"/>
      <c r="AI1763" s="8"/>
      <c r="AJ1763" s="8"/>
      <c r="AK1763" s="8"/>
      <c r="AL1763" s="8"/>
      <c r="AM1763" s="8"/>
      <c r="AN1763" s="8"/>
      <c r="AO1763" s="8"/>
      <c r="AP1763" s="8"/>
      <c r="AQ1763" s="8"/>
      <c r="AR1763" s="8"/>
      <c r="AS1763" s="8"/>
      <c r="AT1763" s="8"/>
      <c r="AU1763" s="8"/>
      <c r="AV1763" s="8"/>
      <c r="AW1763" s="8"/>
      <c r="AX1763" s="4" t="s">
        <v>38</v>
      </c>
      <c r="AY1763" s="5" t="s">
        <v>7756</v>
      </c>
      <c r="AZ1763" s="5" t="s">
        <v>38</v>
      </c>
      <c r="BA1763" s="12"/>
      <c r="BB1763" s="12"/>
      <c r="BC1763" s="12"/>
      <c r="BD1763" s="11">
        <v>0</v>
      </c>
      <c r="BE1763" s="11">
        <v>0</v>
      </c>
    </row>
    <row x14ac:dyDescent="0.25" r="1764" customHeight="1" ht="17.25">
      <c r="A1764" s="11">
        <v>239690</v>
      </c>
      <c r="B1764" s="4" t="s">
        <v>7757</v>
      </c>
      <c r="C1764" s="5" t="s">
        <v>4510</v>
      </c>
      <c r="D1764" s="5" t="s">
        <v>4511</v>
      </c>
      <c r="E1764" s="12"/>
      <c r="F1764" s="13">
        <f>"0822314215"</f>
      </c>
      <c r="G1764" s="13">
        <f>"9780822314219"</f>
      </c>
      <c r="H1764" s="11">
        <v>0</v>
      </c>
      <c r="I1764" s="14">
        <v>4.26</v>
      </c>
      <c r="J1764" s="7" t="s">
        <v>926</v>
      </c>
      <c r="K1764" s="5" t="s">
        <v>60</v>
      </c>
      <c r="L1764" s="11">
        <v>304</v>
      </c>
      <c r="M1764" s="11">
        <v>1993</v>
      </c>
      <c r="N1764" s="11">
        <v>1993</v>
      </c>
      <c r="O1764" s="15"/>
      <c r="P1764" s="8">
        <v>44214</v>
      </c>
      <c r="Q1764" s="8"/>
      <c r="R1764" s="8"/>
      <c r="S1764" s="8"/>
      <c r="T1764" s="8"/>
      <c r="U1764" s="8"/>
      <c r="V1764" s="8"/>
      <c r="W1764" s="8"/>
      <c r="X1764" s="8"/>
      <c r="Y1764" s="8"/>
      <c r="Z1764" s="8"/>
      <c r="AA1764" s="8"/>
      <c r="AB1764" s="8"/>
      <c r="AC1764" s="8"/>
      <c r="AD1764" s="8"/>
      <c r="AE1764" s="8"/>
      <c r="AF1764" s="8"/>
      <c r="AG1764" s="8"/>
      <c r="AH1764" s="8"/>
      <c r="AI1764" s="8"/>
      <c r="AJ1764" s="8"/>
      <c r="AK1764" s="8"/>
      <c r="AL1764" s="8"/>
      <c r="AM1764" s="8"/>
      <c r="AN1764" s="8"/>
      <c r="AO1764" s="8"/>
      <c r="AP1764" s="8"/>
      <c r="AQ1764" s="8"/>
      <c r="AR1764" s="8"/>
      <c r="AS1764" s="8"/>
      <c r="AT1764" s="8"/>
      <c r="AU1764" s="8"/>
      <c r="AV1764" s="8"/>
      <c r="AW1764" s="8"/>
      <c r="AX1764" s="4" t="s">
        <v>38</v>
      </c>
      <c r="AY1764" s="5" t="s">
        <v>7758</v>
      </c>
      <c r="AZ1764" s="5" t="s">
        <v>38</v>
      </c>
      <c r="BA1764" s="12"/>
      <c r="BB1764" s="12"/>
      <c r="BC1764" s="12"/>
      <c r="BD1764" s="11">
        <v>0</v>
      </c>
      <c r="BE1764" s="11">
        <v>0</v>
      </c>
    </row>
    <row x14ac:dyDescent="0.25" r="1765" customHeight="1" ht="17.25">
      <c r="A1765" s="11">
        <v>239930</v>
      </c>
      <c r="B1765" s="4" t="s">
        <v>7759</v>
      </c>
      <c r="C1765" s="5" t="s">
        <v>7760</v>
      </c>
      <c r="D1765" s="5" t="s">
        <v>7761</v>
      </c>
      <c r="E1765" s="12"/>
      <c r="F1765" s="13">
        <f>"0814718752"</f>
      </c>
      <c r="G1765" s="13">
        <f>"9780814718759"</f>
      </c>
      <c r="H1765" s="11">
        <v>0</v>
      </c>
      <c r="I1765" s="14">
        <v>4.14</v>
      </c>
      <c r="J1765" s="7" t="s">
        <v>807</v>
      </c>
      <c r="K1765" s="5" t="s">
        <v>60</v>
      </c>
      <c r="L1765" s="11">
        <v>678</v>
      </c>
      <c r="M1765" s="11">
        <v>1997</v>
      </c>
      <c r="N1765" s="11">
        <v>1997</v>
      </c>
      <c r="O1765" s="15"/>
      <c r="P1765" s="8">
        <v>44214</v>
      </c>
      <c r="Q1765" s="8"/>
      <c r="R1765" s="8"/>
      <c r="S1765" s="8"/>
      <c r="T1765" s="8"/>
      <c r="U1765" s="8"/>
      <c r="V1765" s="8"/>
      <c r="W1765" s="8"/>
      <c r="X1765" s="8"/>
      <c r="Y1765" s="8"/>
      <c r="Z1765" s="8"/>
      <c r="AA1765" s="8"/>
      <c r="AB1765" s="8"/>
      <c r="AC1765" s="8"/>
      <c r="AD1765" s="8"/>
      <c r="AE1765" s="8"/>
      <c r="AF1765" s="8"/>
      <c r="AG1765" s="8"/>
      <c r="AH1765" s="8"/>
      <c r="AI1765" s="8"/>
      <c r="AJ1765" s="8"/>
      <c r="AK1765" s="8"/>
      <c r="AL1765" s="8"/>
      <c r="AM1765" s="8"/>
      <c r="AN1765" s="8"/>
      <c r="AO1765" s="8"/>
      <c r="AP1765" s="8"/>
      <c r="AQ1765" s="8"/>
      <c r="AR1765" s="8"/>
      <c r="AS1765" s="8"/>
      <c r="AT1765" s="8"/>
      <c r="AU1765" s="8"/>
      <c r="AV1765" s="8"/>
      <c r="AW1765" s="8"/>
      <c r="AX1765" s="4" t="s">
        <v>38</v>
      </c>
      <c r="AY1765" s="5" t="s">
        <v>7762</v>
      </c>
      <c r="AZ1765" s="5" t="s">
        <v>38</v>
      </c>
      <c r="BA1765" s="12"/>
      <c r="BB1765" s="12"/>
      <c r="BC1765" s="12"/>
      <c r="BD1765" s="11">
        <v>0</v>
      </c>
      <c r="BE1765" s="11">
        <v>0</v>
      </c>
    </row>
    <row x14ac:dyDescent="0.25" r="1766" customHeight="1" ht="17.25">
      <c r="A1766" s="11">
        <v>33301083</v>
      </c>
      <c r="B1766" s="4" t="s">
        <v>7763</v>
      </c>
      <c r="C1766" s="5" t="s">
        <v>7764</v>
      </c>
      <c r="D1766" s="5" t="s">
        <v>7765</v>
      </c>
      <c r="E1766" s="12"/>
      <c r="F1766" s="13">
        <f>"1910695416"</f>
      </c>
      <c r="G1766" s="13">
        <f>"9781910695418"</f>
      </c>
      <c r="H1766" s="11">
        <v>0</v>
      </c>
      <c r="I1766" s="14">
        <v>4.14</v>
      </c>
      <c r="J1766" s="7" t="s">
        <v>169</v>
      </c>
      <c r="K1766" s="5" t="s">
        <v>60</v>
      </c>
      <c r="L1766" s="11">
        <v>152</v>
      </c>
      <c r="M1766" s="11">
        <v>2017</v>
      </c>
      <c r="N1766" s="11">
        <v>2017</v>
      </c>
      <c r="O1766" s="15"/>
      <c r="P1766" s="8">
        <v>44213</v>
      </c>
      <c r="Q1766" s="8"/>
      <c r="R1766" s="8"/>
      <c r="S1766" s="8"/>
      <c r="T1766" s="8"/>
      <c r="U1766" s="8"/>
      <c r="V1766" s="8"/>
      <c r="W1766" s="8"/>
      <c r="X1766" s="8"/>
      <c r="Y1766" s="8"/>
      <c r="Z1766" s="8"/>
      <c r="AA1766" s="8"/>
      <c r="AB1766" s="8"/>
      <c r="AC1766" s="8"/>
      <c r="AD1766" s="8"/>
      <c r="AE1766" s="8"/>
      <c r="AF1766" s="8"/>
      <c r="AG1766" s="8"/>
      <c r="AH1766" s="8"/>
      <c r="AI1766" s="8"/>
      <c r="AJ1766" s="8"/>
      <c r="AK1766" s="8"/>
      <c r="AL1766" s="8"/>
      <c r="AM1766" s="8"/>
      <c r="AN1766" s="8"/>
      <c r="AO1766" s="8"/>
      <c r="AP1766" s="8"/>
      <c r="AQ1766" s="8"/>
      <c r="AR1766" s="8"/>
      <c r="AS1766" s="8"/>
      <c r="AT1766" s="8"/>
      <c r="AU1766" s="8"/>
      <c r="AV1766" s="8"/>
      <c r="AW1766" s="8"/>
      <c r="AX1766" s="4" t="s">
        <v>38</v>
      </c>
      <c r="AY1766" s="5" t="s">
        <v>7766</v>
      </c>
      <c r="AZ1766" s="5" t="s">
        <v>38</v>
      </c>
      <c r="BA1766" s="12"/>
      <c r="BB1766" s="12"/>
      <c r="BC1766" s="12"/>
      <c r="BD1766" s="11">
        <v>0</v>
      </c>
      <c r="BE1766" s="11">
        <v>0</v>
      </c>
    </row>
    <row x14ac:dyDescent="0.25" r="1767" customHeight="1" ht="17.25">
      <c r="A1767" s="11">
        <v>34847511</v>
      </c>
      <c r="B1767" s="4" t="s">
        <v>7767</v>
      </c>
      <c r="C1767" s="5" t="s">
        <v>4442</v>
      </c>
      <c r="D1767" s="5" t="s">
        <v>4443</v>
      </c>
      <c r="E1767" s="12"/>
      <c r="F1767" s="13">
        <f>"6073152736"</f>
      </c>
      <c r="G1767" s="13">
        <f>"9786073152730"</f>
      </c>
      <c r="H1767" s="11">
        <v>0</v>
      </c>
      <c r="I1767" s="14">
        <v>4.07</v>
      </c>
      <c r="J1767" s="7" t="s">
        <v>7768</v>
      </c>
      <c r="K1767" s="5" t="s">
        <v>60</v>
      </c>
      <c r="L1767" s="11">
        <v>224</v>
      </c>
      <c r="M1767" s="11">
        <v>2017</v>
      </c>
      <c r="N1767" s="11">
        <v>2017</v>
      </c>
      <c r="O1767" s="15"/>
      <c r="P1767" s="8">
        <v>44212</v>
      </c>
      <c r="Q1767" s="8"/>
      <c r="R1767" s="8"/>
      <c r="S1767" s="8"/>
      <c r="T1767" s="8"/>
      <c r="U1767" s="8"/>
      <c r="V1767" s="8"/>
      <c r="W1767" s="8"/>
      <c r="X1767" s="8"/>
      <c r="Y1767" s="8"/>
      <c r="Z1767" s="8"/>
      <c r="AA1767" s="8"/>
      <c r="AB1767" s="8"/>
      <c r="AC1767" s="8"/>
      <c r="AD1767" s="8"/>
      <c r="AE1767" s="8"/>
      <c r="AF1767" s="8"/>
      <c r="AG1767" s="8"/>
      <c r="AH1767" s="8"/>
      <c r="AI1767" s="8"/>
      <c r="AJ1767" s="8"/>
      <c r="AK1767" s="8"/>
      <c r="AL1767" s="8"/>
      <c r="AM1767" s="8"/>
      <c r="AN1767" s="8"/>
      <c r="AO1767" s="8"/>
      <c r="AP1767" s="8"/>
      <c r="AQ1767" s="8"/>
      <c r="AR1767" s="8"/>
      <c r="AS1767" s="8"/>
      <c r="AT1767" s="8"/>
      <c r="AU1767" s="8"/>
      <c r="AV1767" s="8"/>
      <c r="AW1767" s="8"/>
      <c r="AX1767" s="4" t="s">
        <v>38</v>
      </c>
      <c r="AY1767" s="5" t="s">
        <v>7769</v>
      </c>
      <c r="AZ1767" s="5" t="s">
        <v>38</v>
      </c>
      <c r="BA1767" s="12"/>
      <c r="BB1767" s="12"/>
      <c r="BC1767" s="12"/>
      <c r="BD1767" s="11">
        <v>0</v>
      </c>
      <c r="BE1767" s="11">
        <v>0</v>
      </c>
    </row>
    <row x14ac:dyDescent="0.25" r="1768" customHeight="1" ht="17.25">
      <c r="A1768" s="11">
        <v>6014397</v>
      </c>
      <c r="B1768" s="4" t="s">
        <v>7770</v>
      </c>
      <c r="C1768" s="5" t="s">
        <v>7771</v>
      </c>
      <c r="D1768" s="5" t="s">
        <v>7772</v>
      </c>
      <c r="E1768" s="12"/>
      <c r="F1768" s="13">
        <f>"8483109301"</f>
      </c>
      <c r="G1768" s="13">
        <f>"9788483109304"</f>
      </c>
      <c r="H1768" s="11">
        <v>0</v>
      </c>
      <c r="I1768" s="14">
        <v>4.25</v>
      </c>
      <c r="J1768" s="7" t="s">
        <v>7773</v>
      </c>
      <c r="K1768" s="5" t="s">
        <v>60</v>
      </c>
      <c r="L1768" s="11">
        <v>96</v>
      </c>
      <c r="M1768" s="11">
        <v>2004</v>
      </c>
      <c r="N1768" s="11">
        <v>2004</v>
      </c>
      <c r="O1768" s="15"/>
      <c r="P1768" s="8">
        <v>44211</v>
      </c>
      <c r="Q1768" s="8"/>
      <c r="R1768" s="8"/>
      <c r="S1768" s="8"/>
      <c r="T1768" s="8"/>
      <c r="U1768" s="8"/>
      <c r="V1768" s="8"/>
      <c r="W1768" s="8"/>
      <c r="X1768" s="8"/>
      <c r="Y1768" s="8"/>
      <c r="Z1768" s="8"/>
      <c r="AA1768" s="8"/>
      <c r="AB1768" s="8"/>
      <c r="AC1768" s="8"/>
      <c r="AD1768" s="8"/>
      <c r="AE1768" s="8"/>
      <c r="AF1768" s="8"/>
      <c r="AG1768" s="8"/>
      <c r="AH1768" s="8"/>
      <c r="AI1768" s="8"/>
      <c r="AJ1768" s="8"/>
      <c r="AK1768" s="8"/>
      <c r="AL1768" s="8"/>
      <c r="AM1768" s="8"/>
      <c r="AN1768" s="8"/>
      <c r="AO1768" s="8"/>
      <c r="AP1768" s="8"/>
      <c r="AQ1768" s="8"/>
      <c r="AR1768" s="8"/>
      <c r="AS1768" s="8"/>
      <c r="AT1768" s="8"/>
      <c r="AU1768" s="8"/>
      <c r="AV1768" s="8"/>
      <c r="AW1768" s="8"/>
      <c r="AX1768" s="4" t="s">
        <v>38</v>
      </c>
      <c r="AY1768" s="5" t="s">
        <v>7774</v>
      </c>
      <c r="AZ1768" s="5" t="s">
        <v>38</v>
      </c>
      <c r="BA1768" s="12"/>
      <c r="BB1768" s="12"/>
      <c r="BC1768" s="12"/>
      <c r="BD1768" s="11">
        <v>0</v>
      </c>
      <c r="BE1768" s="11">
        <v>0</v>
      </c>
    </row>
    <row x14ac:dyDescent="0.25" r="1769" customHeight="1" ht="17.25">
      <c r="A1769" s="11">
        <v>18223830</v>
      </c>
      <c r="B1769" s="4" t="s">
        <v>7775</v>
      </c>
      <c r="C1769" s="5" t="s">
        <v>1708</v>
      </c>
      <c r="D1769" s="5" t="s">
        <v>1709</v>
      </c>
      <c r="E1769" s="12"/>
      <c r="F1769" s="13">
        <f>""</f>
      </c>
      <c r="G1769" s="13">
        <f>"9789875669079"</f>
      </c>
      <c r="H1769" s="11">
        <v>0</v>
      </c>
      <c r="I1769" s="14">
        <v>4.11</v>
      </c>
      <c r="J1769" s="7" t="s">
        <v>7776</v>
      </c>
      <c r="K1769" s="5" t="s">
        <v>60</v>
      </c>
      <c r="L1769" s="11">
        <v>240</v>
      </c>
      <c r="M1769" s="11">
        <v>2013</v>
      </c>
      <c r="N1769" s="11">
        <v>2013</v>
      </c>
      <c r="O1769" s="15"/>
      <c r="P1769" s="8">
        <v>44206</v>
      </c>
      <c r="Q1769" s="8"/>
      <c r="R1769" s="8"/>
      <c r="S1769" s="8"/>
      <c r="T1769" s="8"/>
      <c r="U1769" s="8"/>
      <c r="V1769" s="8"/>
      <c r="W1769" s="8"/>
      <c r="X1769" s="8"/>
      <c r="Y1769" s="8"/>
      <c r="Z1769" s="8"/>
      <c r="AA1769" s="8"/>
      <c r="AB1769" s="8"/>
      <c r="AC1769" s="8"/>
      <c r="AD1769" s="8"/>
      <c r="AE1769" s="8"/>
      <c r="AF1769" s="8"/>
      <c r="AG1769" s="8"/>
      <c r="AH1769" s="8"/>
      <c r="AI1769" s="8"/>
      <c r="AJ1769" s="8"/>
      <c r="AK1769" s="8"/>
      <c r="AL1769" s="8"/>
      <c r="AM1769" s="8"/>
      <c r="AN1769" s="8"/>
      <c r="AO1769" s="8"/>
      <c r="AP1769" s="8"/>
      <c r="AQ1769" s="8"/>
      <c r="AR1769" s="8"/>
      <c r="AS1769" s="8"/>
      <c r="AT1769" s="8"/>
      <c r="AU1769" s="8"/>
      <c r="AV1769" s="8"/>
      <c r="AW1769" s="8"/>
      <c r="AX1769" s="4" t="s">
        <v>38</v>
      </c>
      <c r="AY1769" s="5" t="s">
        <v>7777</v>
      </c>
      <c r="AZ1769" s="5" t="s">
        <v>38</v>
      </c>
      <c r="BA1769" s="12"/>
      <c r="BB1769" s="12"/>
      <c r="BC1769" s="12"/>
      <c r="BD1769" s="11">
        <v>0</v>
      </c>
      <c r="BE1769" s="11">
        <v>0</v>
      </c>
    </row>
    <row x14ac:dyDescent="0.25" r="1770" customHeight="1" ht="17.25">
      <c r="A1770" s="11">
        <v>787971</v>
      </c>
      <c r="B1770" s="4" t="s">
        <v>7778</v>
      </c>
      <c r="C1770" s="5" t="s">
        <v>1285</v>
      </c>
      <c r="D1770" s="5" t="s">
        <v>1286</v>
      </c>
      <c r="E1770" s="12"/>
      <c r="F1770" s="13">
        <f>""</f>
      </c>
      <c r="G1770" s="13">
        <f>""</f>
      </c>
      <c r="H1770" s="11">
        <v>0</v>
      </c>
      <c r="I1770" s="14">
        <v>4.19</v>
      </c>
      <c r="J1770" s="7" t="s">
        <v>7779</v>
      </c>
      <c r="K1770" s="1"/>
      <c r="L1770" s="16"/>
      <c r="M1770" s="11">
        <v>1998</v>
      </c>
      <c r="N1770" s="11">
        <v>1988</v>
      </c>
      <c r="O1770" s="15"/>
      <c r="P1770" s="8">
        <v>44206</v>
      </c>
      <c r="Q1770" s="8"/>
      <c r="R1770" s="8"/>
      <c r="S1770" s="8"/>
      <c r="T1770" s="8"/>
      <c r="U1770" s="8"/>
      <c r="V1770" s="8"/>
      <c r="W1770" s="8"/>
      <c r="X1770" s="8"/>
      <c r="Y1770" s="8"/>
      <c r="Z1770" s="8"/>
      <c r="AA1770" s="8"/>
      <c r="AB1770" s="8"/>
      <c r="AC1770" s="8"/>
      <c r="AD1770" s="8"/>
      <c r="AE1770" s="8"/>
      <c r="AF1770" s="8"/>
      <c r="AG1770" s="8"/>
      <c r="AH1770" s="8"/>
      <c r="AI1770" s="8"/>
      <c r="AJ1770" s="8"/>
      <c r="AK1770" s="8"/>
      <c r="AL1770" s="8"/>
      <c r="AM1770" s="8"/>
      <c r="AN1770" s="8"/>
      <c r="AO1770" s="8"/>
      <c r="AP1770" s="8"/>
      <c r="AQ1770" s="8"/>
      <c r="AR1770" s="8"/>
      <c r="AS1770" s="8"/>
      <c r="AT1770" s="8"/>
      <c r="AU1770" s="8"/>
      <c r="AV1770" s="8"/>
      <c r="AW1770" s="8"/>
      <c r="AX1770" s="4" t="s">
        <v>38</v>
      </c>
      <c r="AY1770" s="5" t="s">
        <v>7780</v>
      </c>
      <c r="AZ1770" s="5" t="s">
        <v>38</v>
      </c>
      <c r="BA1770" s="12"/>
      <c r="BB1770" s="12"/>
      <c r="BC1770" s="12"/>
      <c r="BD1770" s="11">
        <v>0</v>
      </c>
      <c r="BE1770" s="11">
        <v>0</v>
      </c>
    </row>
    <row x14ac:dyDescent="0.25" r="1771" customHeight="1" ht="17.25">
      <c r="A1771" s="11">
        <v>30069692</v>
      </c>
      <c r="B1771" s="4" t="s">
        <v>7781</v>
      </c>
      <c r="C1771" s="5" t="s">
        <v>7782</v>
      </c>
      <c r="D1771" s="5" t="s">
        <v>7783</v>
      </c>
      <c r="E1771" s="5" t="s">
        <v>7784</v>
      </c>
      <c r="F1771" s="13">
        <f>""</f>
      </c>
      <c r="G1771" s="13">
        <f>""</f>
      </c>
      <c r="H1771" s="11">
        <v>0</v>
      </c>
      <c r="I1771" s="14">
        <v>3.75</v>
      </c>
      <c r="J1771" s="7" t="s">
        <v>3469</v>
      </c>
      <c r="K1771" s="5" t="s">
        <v>60</v>
      </c>
      <c r="L1771" s="11">
        <v>220</v>
      </c>
      <c r="M1771" s="11">
        <v>2016</v>
      </c>
      <c r="N1771" s="16"/>
      <c r="O1771" s="15"/>
      <c r="P1771" s="9">
        <v>44122</v>
      </c>
      <c r="Q1771" s="9"/>
      <c r="R1771" s="9"/>
      <c r="S1771" s="9"/>
      <c r="T1771" s="9"/>
      <c r="U1771" s="9"/>
      <c r="V1771" s="9"/>
      <c r="W1771" s="9"/>
      <c r="X1771" s="9"/>
      <c r="Y1771" s="9"/>
      <c r="Z1771" s="9"/>
      <c r="AA1771" s="9"/>
      <c r="AB1771" s="9"/>
      <c r="AC1771" s="9"/>
      <c r="AD1771" s="9"/>
      <c r="AE1771" s="9"/>
      <c r="AF1771" s="9"/>
      <c r="AG1771" s="9"/>
      <c r="AH1771" s="9"/>
      <c r="AI1771" s="9"/>
      <c r="AJ1771" s="9"/>
      <c r="AK1771" s="9"/>
      <c r="AL1771" s="9"/>
      <c r="AM1771" s="9"/>
      <c r="AN1771" s="9"/>
      <c r="AO1771" s="9"/>
      <c r="AP1771" s="9"/>
      <c r="AQ1771" s="9"/>
      <c r="AR1771" s="9"/>
      <c r="AS1771" s="9"/>
      <c r="AT1771" s="9"/>
      <c r="AU1771" s="9"/>
      <c r="AV1771" s="9"/>
      <c r="AW1771" s="9"/>
      <c r="AX1771" s="4" t="s">
        <v>38</v>
      </c>
      <c r="AY1771" s="5" t="s">
        <v>7785</v>
      </c>
      <c r="AZ1771" s="5" t="s">
        <v>38</v>
      </c>
      <c r="BA1771" s="12"/>
      <c r="BB1771" s="12"/>
      <c r="BC1771" s="12"/>
      <c r="BD1771" s="11">
        <v>0</v>
      </c>
      <c r="BE1771" s="11">
        <v>0</v>
      </c>
    </row>
    <row x14ac:dyDescent="0.25" r="1772" customHeight="1" ht="17.25">
      <c r="A1772" s="11">
        <v>1038873</v>
      </c>
      <c r="B1772" s="4" t="s">
        <v>7786</v>
      </c>
      <c r="C1772" s="5" t="s">
        <v>4727</v>
      </c>
      <c r="D1772" s="5" t="s">
        <v>4728</v>
      </c>
      <c r="E1772" s="12"/>
      <c r="F1772" s="13">
        <f>"0192100246"</f>
      </c>
      <c r="G1772" s="13">
        <f>"9780192100245"</f>
      </c>
      <c r="H1772" s="11">
        <v>0</v>
      </c>
      <c r="I1772" s="14">
        <v>3.75</v>
      </c>
      <c r="J1772" s="7" t="s">
        <v>1215</v>
      </c>
      <c r="K1772" s="5" t="s">
        <v>72</v>
      </c>
      <c r="L1772" s="11">
        <v>296</v>
      </c>
      <c r="M1772" s="11">
        <v>1999</v>
      </c>
      <c r="N1772" s="11">
        <v>1999</v>
      </c>
      <c r="O1772" s="15"/>
      <c r="P1772" s="8">
        <v>44206</v>
      </c>
      <c r="Q1772" s="8"/>
      <c r="R1772" s="8"/>
      <c r="S1772" s="8"/>
      <c r="T1772" s="8"/>
      <c r="U1772" s="8"/>
      <c r="V1772" s="8"/>
      <c r="W1772" s="8"/>
      <c r="X1772" s="8"/>
      <c r="Y1772" s="8"/>
      <c r="Z1772" s="8"/>
      <c r="AA1772" s="8"/>
      <c r="AB1772" s="8"/>
      <c r="AC1772" s="8"/>
      <c r="AD1772" s="8"/>
      <c r="AE1772" s="8"/>
      <c r="AF1772" s="8"/>
      <c r="AG1772" s="8"/>
      <c r="AH1772" s="8"/>
      <c r="AI1772" s="8"/>
      <c r="AJ1772" s="8"/>
      <c r="AK1772" s="8"/>
      <c r="AL1772" s="8"/>
      <c r="AM1772" s="8"/>
      <c r="AN1772" s="8"/>
      <c r="AO1772" s="8"/>
      <c r="AP1772" s="8"/>
      <c r="AQ1772" s="8"/>
      <c r="AR1772" s="8"/>
      <c r="AS1772" s="8"/>
      <c r="AT1772" s="8"/>
      <c r="AU1772" s="8"/>
      <c r="AV1772" s="8"/>
      <c r="AW1772" s="8"/>
      <c r="AX1772" s="4" t="s">
        <v>38</v>
      </c>
      <c r="AY1772" s="5" t="s">
        <v>7787</v>
      </c>
      <c r="AZ1772" s="5" t="s">
        <v>38</v>
      </c>
      <c r="BA1772" s="12"/>
      <c r="BB1772" s="12"/>
      <c r="BC1772" s="12"/>
      <c r="BD1772" s="11">
        <v>0</v>
      </c>
      <c r="BE1772" s="11">
        <v>0</v>
      </c>
    </row>
    <row x14ac:dyDescent="0.25" r="1773" customHeight="1" ht="17.25">
      <c r="A1773" s="11">
        <v>18006759</v>
      </c>
      <c r="B1773" s="4" t="s">
        <v>7788</v>
      </c>
      <c r="C1773" s="5" t="s">
        <v>7789</v>
      </c>
      <c r="D1773" s="5" t="s">
        <v>7790</v>
      </c>
      <c r="E1773" s="5" t="s">
        <v>7791</v>
      </c>
      <c r="F1773" s="13">
        <f>"0984649786"</f>
      </c>
      <c r="G1773" s="13">
        <f>"9780984649785"</f>
      </c>
      <c r="H1773" s="11">
        <v>0</v>
      </c>
      <c r="I1773" s="11">
        <v>0</v>
      </c>
      <c r="J1773" s="7" t="s">
        <v>7792</v>
      </c>
      <c r="K1773" s="5" t="s">
        <v>60</v>
      </c>
      <c r="L1773" s="11">
        <v>144</v>
      </c>
      <c r="M1773" s="11">
        <v>2014</v>
      </c>
      <c r="N1773" s="11">
        <v>2014</v>
      </c>
      <c r="O1773" s="15"/>
      <c r="P1773" s="8">
        <v>44205</v>
      </c>
      <c r="Q1773" s="8"/>
      <c r="R1773" s="8"/>
      <c r="S1773" s="8"/>
      <c r="T1773" s="8"/>
      <c r="U1773" s="8"/>
      <c r="V1773" s="8"/>
      <c r="W1773" s="8"/>
      <c r="X1773" s="8"/>
      <c r="Y1773" s="8"/>
      <c r="Z1773" s="8"/>
      <c r="AA1773" s="8"/>
      <c r="AB1773" s="8"/>
      <c r="AC1773" s="8"/>
      <c r="AD1773" s="8"/>
      <c r="AE1773" s="8"/>
      <c r="AF1773" s="8"/>
      <c r="AG1773" s="8"/>
      <c r="AH1773" s="8"/>
      <c r="AI1773" s="8"/>
      <c r="AJ1773" s="8"/>
      <c r="AK1773" s="8"/>
      <c r="AL1773" s="8"/>
      <c r="AM1773" s="8"/>
      <c r="AN1773" s="8"/>
      <c r="AO1773" s="8"/>
      <c r="AP1773" s="8"/>
      <c r="AQ1773" s="8"/>
      <c r="AR1773" s="8"/>
      <c r="AS1773" s="8"/>
      <c r="AT1773" s="8"/>
      <c r="AU1773" s="8"/>
      <c r="AV1773" s="8"/>
      <c r="AW1773" s="8"/>
      <c r="AX1773" s="4" t="s">
        <v>38</v>
      </c>
      <c r="AY1773" s="5" t="s">
        <v>7793</v>
      </c>
      <c r="AZ1773" s="5" t="s">
        <v>38</v>
      </c>
      <c r="BA1773" s="12"/>
      <c r="BB1773" s="12"/>
      <c r="BC1773" s="12"/>
      <c r="BD1773" s="11">
        <v>0</v>
      </c>
      <c r="BE1773" s="11">
        <v>0</v>
      </c>
    </row>
    <row x14ac:dyDescent="0.25" r="1774" customHeight="1" ht="17.25">
      <c r="A1774" s="11">
        <v>3281454</v>
      </c>
      <c r="B1774" s="4" t="s">
        <v>7794</v>
      </c>
      <c r="C1774" s="5" t="s">
        <v>7795</v>
      </c>
      <c r="D1774" s="5" t="s">
        <v>7796</v>
      </c>
      <c r="E1774" s="5" t="s">
        <v>7797</v>
      </c>
      <c r="F1774" s="13">
        <f>"9586553469"</f>
      </c>
      <c r="G1774" s="13">
        <f>"9789586553469"</f>
      </c>
      <c r="H1774" s="11">
        <v>0</v>
      </c>
      <c r="I1774" s="14">
        <v>4.2</v>
      </c>
      <c r="J1774" s="7" t="s">
        <v>7798</v>
      </c>
      <c r="K1774" s="1"/>
      <c r="L1774" s="16"/>
      <c r="M1774" s="16"/>
      <c r="N1774" s="11">
        <v>1976</v>
      </c>
      <c r="O1774" s="15"/>
      <c r="P1774" s="8">
        <v>43976</v>
      </c>
      <c r="Q1774" s="8"/>
      <c r="R1774" s="8"/>
      <c r="S1774" s="8"/>
      <c r="T1774" s="8"/>
      <c r="U1774" s="8"/>
      <c r="V1774" s="8"/>
      <c r="W1774" s="8"/>
      <c r="X1774" s="8"/>
      <c r="Y1774" s="8"/>
      <c r="Z1774" s="8"/>
      <c r="AA1774" s="8"/>
      <c r="AB1774" s="8"/>
      <c r="AC1774" s="8"/>
      <c r="AD1774" s="8"/>
      <c r="AE1774" s="8"/>
      <c r="AF1774" s="8"/>
      <c r="AG1774" s="8"/>
      <c r="AH1774" s="8"/>
      <c r="AI1774" s="8"/>
      <c r="AJ1774" s="8"/>
      <c r="AK1774" s="8"/>
      <c r="AL1774" s="8"/>
      <c r="AM1774" s="8"/>
      <c r="AN1774" s="8"/>
      <c r="AO1774" s="8"/>
      <c r="AP1774" s="8"/>
      <c r="AQ1774" s="8"/>
      <c r="AR1774" s="8"/>
      <c r="AS1774" s="8"/>
      <c r="AT1774" s="8"/>
      <c r="AU1774" s="8"/>
      <c r="AV1774" s="8"/>
      <c r="AW1774" s="8"/>
      <c r="AX1774" s="4" t="s">
        <v>38</v>
      </c>
      <c r="AY1774" s="5" t="s">
        <v>7799</v>
      </c>
      <c r="AZ1774" s="5" t="s">
        <v>38</v>
      </c>
      <c r="BA1774" s="12"/>
      <c r="BB1774" s="12"/>
      <c r="BC1774" s="12"/>
      <c r="BD1774" s="11">
        <v>0</v>
      </c>
      <c r="BE1774" s="11">
        <v>0</v>
      </c>
    </row>
    <row x14ac:dyDescent="0.25" r="1775" customHeight="1" ht="17.25">
      <c r="A1775" s="11">
        <v>17573647</v>
      </c>
      <c r="B1775" s="4" t="s">
        <v>7800</v>
      </c>
      <c r="C1775" s="5" t="s">
        <v>7801</v>
      </c>
      <c r="D1775" s="5" t="s">
        <v>7802</v>
      </c>
      <c r="E1775" s="12"/>
      <c r="F1775" s="13">
        <f>"0393064425"</f>
      </c>
      <c r="G1775" s="13">
        <f>"9780393064421"</f>
      </c>
      <c r="H1775" s="11">
        <v>0</v>
      </c>
      <c r="I1775" s="14">
        <v>3.96</v>
      </c>
      <c r="J1775" s="7" t="s">
        <v>144</v>
      </c>
      <c r="K1775" s="5" t="s">
        <v>72</v>
      </c>
      <c r="L1775" s="11">
        <v>352</v>
      </c>
      <c r="M1775" s="11">
        <v>2013</v>
      </c>
      <c r="N1775" s="11">
        <v>2013</v>
      </c>
      <c r="O1775" s="15"/>
      <c r="P1775" s="8">
        <v>44205</v>
      </c>
      <c r="Q1775" s="8"/>
      <c r="R1775" s="8"/>
      <c r="S1775" s="8"/>
      <c r="T1775" s="8"/>
      <c r="U1775" s="8"/>
      <c r="V1775" s="8"/>
      <c r="W1775" s="8"/>
      <c r="X1775" s="8"/>
      <c r="Y1775" s="8"/>
      <c r="Z1775" s="8"/>
      <c r="AA1775" s="8"/>
      <c r="AB1775" s="8"/>
      <c r="AC1775" s="8"/>
      <c r="AD1775" s="8"/>
      <c r="AE1775" s="8"/>
      <c r="AF1775" s="8"/>
      <c r="AG1775" s="8"/>
      <c r="AH1775" s="8"/>
      <c r="AI1775" s="8"/>
      <c r="AJ1775" s="8"/>
      <c r="AK1775" s="8"/>
      <c r="AL1775" s="8"/>
      <c r="AM1775" s="8"/>
      <c r="AN1775" s="8"/>
      <c r="AO1775" s="8"/>
      <c r="AP1775" s="8"/>
      <c r="AQ1775" s="8"/>
      <c r="AR1775" s="8"/>
      <c r="AS1775" s="8"/>
      <c r="AT1775" s="8"/>
      <c r="AU1775" s="8"/>
      <c r="AV1775" s="8"/>
      <c r="AW1775" s="8"/>
      <c r="AX1775" s="4" t="s">
        <v>38</v>
      </c>
      <c r="AY1775" s="5" t="s">
        <v>7803</v>
      </c>
      <c r="AZ1775" s="5" t="s">
        <v>38</v>
      </c>
      <c r="BA1775" s="12"/>
      <c r="BB1775" s="12"/>
      <c r="BC1775" s="12"/>
      <c r="BD1775" s="11">
        <v>0</v>
      </c>
      <c r="BE1775" s="11">
        <v>0</v>
      </c>
    </row>
    <row x14ac:dyDescent="0.25" r="1776" customHeight="1" ht="17.25">
      <c r="A1776" s="11">
        <v>329336</v>
      </c>
      <c r="B1776" s="4" t="s">
        <v>7804</v>
      </c>
      <c r="C1776" s="5" t="s">
        <v>7805</v>
      </c>
      <c r="D1776" s="5" t="s">
        <v>7806</v>
      </c>
      <c r="E1776" s="12"/>
      <c r="F1776" s="13">
        <f>"0140296476"</f>
      </c>
      <c r="G1776" s="13">
        <f>"9780140296471"</f>
      </c>
      <c r="H1776" s="11">
        <v>0</v>
      </c>
      <c r="I1776" s="14">
        <v>3.97</v>
      </c>
      <c r="J1776" s="7" t="s">
        <v>182</v>
      </c>
      <c r="K1776" s="5" t="s">
        <v>60</v>
      </c>
      <c r="L1776" s="11">
        <v>248</v>
      </c>
      <c r="M1776" s="11">
        <v>2000</v>
      </c>
      <c r="N1776" s="11">
        <v>2000</v>
      </c>
      <c r="O1776" s="15"/>
      <c r="P1776" s="8">
        <v>44205</v>
      </c>
      <c r="Q1776" s="8"/>
      <c r="R1776" s="8"/>
      <c r="S1776" s="8"/>
      <c r="T1776" s="8"/>
      <c r="U1776" s="8"/>
      <c r="V1776" s="8"/>
      <c r="W1776" s="8"/>
      <c r="X1776" s="8"/>
      <c r="Y1776" s="8"/>
      <c r="Z1776" s="8"/>
      <c r="AA1776" s="8"/>
      <c r="AB1776" s="8"/>
      <c r="AC1776" s="8"/>
      <c r="AD1776" s="8"/>
      <c r="AE1776" s="8"/>
      <c r="AF1776" s="8"/>
      <c r="AG1776" s="8"/>
      <c r="AH1776" s="8"/>
      <c r="AI1776" s="8"/>
      <c r="AJ1776" s="8"/>
      <c r="AK1776" s="8"/>
      <c r="AL1776" s="8"/>
      <c r="AM1776" s="8"/>
      <c r="AN1776" s="8"/>
      <c r="AO1776" s="8"/>
      <c r="AP1776" s="8"/>
      <c r="AQ1776" s="8"/>
      <c r="AR1776" s="8"/>
      <c r="AS1776" s="8"/>
      <c r="AT1776" s="8"/>
      <c r="AU1776" s="8"/>
      <c r="AV1776" s="8"/>
      <c r="AW1776" s="8"/>
      <c r="AX1776" s="4" t="s">
        <v>38</v>
      </c>
      <c r="AY1776" s="5" t="s">
        <v>7807</v>
      </c>
      <c r="AZ1776" s="5" t="s">
        <v>38</v>
      </c>
      <c r="BA1776" s="12"/>
      <c r="BB1776" s="12"/>
      <c r="BC1776" s="12"/>
      <c r="BD1776" s="11">
        <v>0</v>
      </c>
      <c r="BE1776" s="11">
        <v>0</v>
      </c>
    </row>
    <row x14ac:dyDescent="0.25" r="1777" customHeight="1" ht="17.25">
      <c r="A1777" s="11">
        <v>19596</v>
      </c>
      <c r="B1777" s="4" t="s">
        <v>7808</v>
      </c>
      <c r="C1777" s="5" t="s">
        <v>7809</v>
      </c>
      <c r="D1777" s="5" t="s">
        <v>7810</v>
      </c>
      <c r="E1777" s="12"/>
      <c r="F1777" s="13">
        <f>"0812971426"</f>
      </c>
      <c r="G1777" s="13">
        <f>"9780812971422"</f>
      </c>
      <c r="H1777" s="11">
        <v>0</v>
      </c>
      <c r="I1777" s="14">
        <v>3.81</v>
      </c>
      <c r="J1777" s="7" t="s">
        <v>2132</v>
      </c>
      <c r="K1777" s="5" t="s">
        <v>60</v>
      </c>
      <c r="L1777" s="11">
        <v>448</v>
      </c>
      <c r="M1777" s="11">
        <v>2004</v>
      </c>
      <c r="N1777" s="11">
        <v>2003</v>
      </c>
      <c r="O1777" s="15"/>
      <c r="P1777" s="8">
        <v>44205</v>
      </c>
      <c r="Q1777" s="8"/>
      <c r="R1777" s="8"/>
      <c r="S1777" s="8"/>
      <c r="T1777" s="8"/>
      <c r="U1777" s="8"/>
      <c r="V1777" s="8"/>
      <c r="W1777" s="8"/>
      <c r="X1777" s="8"/>
      <c r="Y1777" s="8"/>
      <c r="Z1777" s="8"/>
      <c r="AA1777" s="8"/>
      <c r="AB1777" s="8"/>
      <c r="AC1777" s="8"/>
      <c r="AD1777" s="8"/>
      <c r="AE1777" s="8"/>
      <c r="AF1777" s="8"/>
      <c r="AG1777" s="8"/>
      <c r="AH1777" s="8"/>
      <c r="AI1777" s="8"/>
      <c r="AJ1777" s="8"/>
      <c r="AK1777" s="8"/>
      <c r="AL1777" s="8"/>
      <c r="AM1777" s="8"/>
      <c r="AN1777" s="8"/>
      <c r="AO1777" s="8"/>
      <c r="AP1777" s="8"/>
      <c r="AQ1777" s="8"/>
      <c r="AR1777" s="8"/>
      <c r="AS1777" s="8"/>
      <c r="AT1777" s="8"/>
      <c r="AU1777" s="8"/>
      <c r="AV1777" s="8"/>
      <c r="AW1777" s="8"/>
      <c r="AX1777" s="4" t="s">
        <v>38</v>
      </c>
      <c r="AY1777" s="5" t="s">
        <v>7811</v>
      </c>
      <c r="AZ1777" s="5" t="s">
        <v>38</v>
      </c>
      <c r="BA1777" s="12"/>
      <c r="BB1777" s="12"/>
      <c r="BC1777" s="12"/>
      <c r="BD1777" s="11">
        <v>0</v>
      </c>
      <c r="BE1777" s="11">
        <v>0</v>
      </c>
    </row>
    <row x14ac:dyDescent="0.25" r="1778" customHeight="1" ht="17.25">
      <c r="A1778" s="11">
        <v>38212121</v>
      </c>
      <c r="B1778" s="4" t="s">
        <v>7812</v>
      </c>
      <c r="C1778" s="5" t="s">
        <v>7813</v>
      </c>
      <c r="D1778" s="5" t="s">
        <v>7814</v>
      </c>
      <c r="E1778" s="5" t="s">
        <v>7815</v>
      </c>
      <c r="F1778" s="13">
        <f>"0393356280"</f>
      </c>
      <c r="G1778" s="13">
        <f>"9780393356281"</f>
      </c>
      <c r="H1778" s="11">
        <v>0</v>
      </c>
      <c r="I1778" s="14">
        <v>4.3</v>
      </c>
      <c r="J1778" s="7" t="s">
        <v>7816</v>
      </c>
      <c r="K1778" s="5" t="s">
        <v>60</v>
      </c>
      <c r="L1778" s="11">
        <v>256</v>
      </c>
      <c r="M1778" s="11">
        <v>2018</v>
      </c>
      <c r="N1778" s="11">
        <v>2017</v>
      </c>
      <c r="O1778" s="15"/>
      <c r="P1778" s="8">
        <v>44205</v>
      </c>
      <c r="Q1778" s="8"/>
      <c r="R1778" s="8"/>
      <c r="S1778" s="8"/>
      <c r="T1778" s="8"/>
      <c r="U1778" s="8"/>
      <c r="V1778" s="8"/>
      <c r="W1778" s="8"/>
      <c r="X1778" s="8"/>
      <c r="Y1778" s="8"/>
      <c r="Z1778" s="8"/>
      <c r="AA1778" s="8"/>
      <c r="AB1778" s="8"/>
      <c r="AC1778" s="8"/>
      <c r="AD1778" s="8"/>
      <c r="AE1778" s="8"/>
      <c r="AF1778" s="8"/>
      <c r="AG1778" s="8"/>
      <c r="AH1778" s="8"/>
      <c r="AI1778" s="8"/>
      <c r="AJ1778" s="8"/>
      <c r="AK1778" s="8"/>
      <c r="AL1778" s="8"/>
      <c r="AM1778" s="8"/>
      <c r="AN1778" s="8"/>
      <c r="AO1778" s="8"/>
      <c r="AP1778" s="8"/>
      <c r="AQ1778" s="8"/>
      <c r="AR1778" s="8"/>
      <c r="AS1778" s="8"/>
      <c r="AT1778" s="8"/>
      <c r="AU1778" s="8"/>
      <c r="AV1778" s="8"/>
      <c r="AW1778" s="8"/>
      <c r="AX1778" s="4" t="s">
        <v>38</v>
      </c>
      <c r="AY1778" s="5" t="s">
        <v>7817</v>
      </c>
      <c r="AZ1778" s="5" t="s">
        <v>38</v>
      </c>
      <c r="BA1778" s="12"/>
      <c r="BB1778" s="12"/>
      <c r="BC1778" s="12"/>
      <c r="BD1778" s="11">
        <v>0</v>
      </c>
      <c r="BE1778" s="11">
        <v>0</v>
      </c>
    </row>
    <row x14ac:dyDescent="0.25" r="1779" customHeight="1" ht="17.25">
      <c r="A1779" s="11">
        <v>2183</v>
      </c>
      <c r="B1779" s="4" t="s">
        <v>7818</v>
      </c>
      <c r="C1779" s="5" t="s">
        <v>7518</v>
      </c>
      <c r="D1779" s="5" t="s">
        <v>7519</v>
      </c>
      <c r="E1779" s="5" t="s">
        <v>7819</v>
      </c>
      <c r="F1779" s="13">
        <f>"0140447970"</f>
      </c>
      <c r="G1779" s="13">
        <f>"9780140447972"</f>
      </c>
      <c r="H1779" s="11">
        <v>0</v>
      </c>
      <c r="I1779" s="14">
        <v>3.81</v>
      </c>
      <c r="J1779" s="7" t="s">
        <v>7820</v>
      </c>
      <c r="K1779" s="5" t="s">
        <v>60</v>
      </c>
      <c r="L1779" s="11">
        <v>460</v>
      </c>
      <c r="M1779" s="11">
        <v>2004</v>
      </c>
      <c r="N1779" s="11">
        <v>1869</v>
      </c>
      <c r="O1779" s="15"/>
      <c r="P1779" s="8">
        <v>44205</v>
      </c>
      <c r="Q1779" s="8"/>
      <c r="R1779" s="8"/>
      <c r="S1779" s="8"/>
      <c r="T1779" s="8"/>
      <c r="U1779" s="8"/>
      <c r="V1779" s="8"/>
      <c r="W1779" s="8"/>
      <c r="X1779" s="8"/>
      <c r="Y1779" s="8"/>
      <c r="Z1779" s="8"/>
      <c r="AA1779" s="8"/>
      <c r="AB1779" s="8"/>
      <c r="AC1779" s="8"/>
      <c r="AD1779" s="8"/>
      <c r="AE1779" s="8"/>
      <c r="AF1779" s="8"/>
      <c r="AG1779" s="8"/>
      <c r="AH1779" s="8"/>
      <c r="AI1779" s="8"/>
      <c r="AJ1779" s="8"/>
      <c r="AK1779" s="8"/>
      <c r="AL1779" s="8"/>
      <c r="AM1779" s="8"/>
      <c r="AN1779" s="8"/>
      <c r="AO1779" s="8"/>
      <c r="AP1779" s="8"/>
      <c r="AQ1779" s="8"/>
      <c r="AR1779" s="8"/>
      <c r="AS1779" s="8"/>
      <c r="AT1779" s="8"/>
      <c r="AU1779" s="8"/>
      <c r="AV1779" s="8"/>
      <c r="AW1779" s="8"/>
      <c r="AX1779" s="4" t="s">
        <v>38</v>
      </c>
      <c r="AY1779" s="5" t="s">
        <v>7821</v>
      </c>
      <c r="AZ1779" s="5" t="s">
        <v>38</v>
      </c>
      <c r="BA1779" s="12"/>
      <c r="BB1779" s="12"/>
      <c r="BC1779" s="12"/>
      <c r="BD1779" s="11">
        <v>0</v>
      </c>
      <c r="BE1779" s="11">
        <v>0</v>
      </c>
    </row>
    <row x14ac:dyDescent="0.25" r="1780" customHeight="1" ht="17.25">
      <c r="A1780" s="11">
        <v>92570</v>
      </c>
      <c r="B1780" s="4" t="s">
        <v>7822</v>
      </c>
      <c r="C1780" s="5" t="s">
        <v>7823</v>
      </c>
      <c r="D1780" s="5" t="s">
        <v>7824</v>
      </c>
      <c r="E1780" s="5" t="s">
        <v>7825</v>
      </c>
      <c r="F1780" s="13">
        <f>"1400077540"</f>
      </c>
      <c r="G1780" s="13">
        <f>"9781400077540"</f>
      </c>
      <c r="H1780" s="11">
        <v>0</v>
      </c>
      <c r="I1780" s="14">
        <v>4.04</v>
      </c>
      <c r="J1780" s="7" t="s">
        <v>114</v>
      </c>
      <c r="K1780" s="5" t="s">
        <v>60</v>
      </c>
      <c r="L1780" s="11">
        <v>208</v>
      </c>
      <c r="M1780" s="11">
        <v>2006</v>
      </c>
      <c r="N1780" s="11">
        <v>1983</v>
      </c>
      <c r="O1780" s="15"/>
      <c r="P1780" s="8">
        <v>44204</v>
      </c>
      <c r="Q1780" s="8"/>
      <c r="R1780" s="8"/>
      <c r="S1780" s="8"/>
      <c r="T1780" s="8"/>
      <c r="U1780" s="8"/>
      <c r="V1780" s="8"/>
      <c r="W1780" s="8"/>
      <c r="X1780" s="8"/>
      <c r="Y1780" s="8"/>
      <c r="Z1780" s="8"/>
      <c r="AA1780" s="8"/>
      <c r="AB1780" s="8"/>
      <c r="AC1780" s="8"/>
      <c r="AD1780" s="8"/>
      <c r="AE1780" s="8"/>
      <c r="AF1780" s="8"/>
      <c r="AG1780" s="8"/>
      <c r="AH1780" s="8"/>
      <c r="AI1780" s="8"/>
      <c r="AJ1780" s="8"/>
      <c r="AK1780" s="8"/>
      <c r="AL1780" s="8"/>
      <c r="AM1780" s="8"/>
      <c r="AN1780" s="8"/>
      <c r="AO1780" s="8"/>
      <c r="AP1780" s="8"/>
      <c r="AQ1780" s="8"/>
      <c r="AR1780" s="8"/>
      <c r="AS1780" s="8"/>
      <c r="AT1780" s="8"/>
      <c r="AU1780" s="8"/>
      <c r="AV1780" s="8"/>
      <c r="AW1780" s="8"/>
      <c r="AX1780" s="4" t="s">
        <v>38</v>
      </c>
      <c r="AY1780" s="5" t="s">
        <v>7826</v>
      </c>
      <c r="AZ1780" s="5" t="s">
        <v>38</v>
      </c>
      <c r="BA1780" s="12"/>
      <c r="BB1780" s="12"/>
      <c r="BC1780" s="12"/>
      <c r="BD1780" s="11">
        <v>0</v>
      </c>
      <c r="BE1780" s="11">
        <v>0</v>
      </c>
    </row>
    <row x14ac:dyDescent="0.25" r="1781" customHeight="1" ht="17.25">
      <c r="A1781" s="11">
        <v>919661</v>
      </c>
      <c r="B1781" s="4" t="s">
        <v>7827</v>
      </c>
      <c r="C1781" s="5" t="s">
        <v>7828</v>
      </c>
      <c r="D1781" s="5" t="s">
        <v>7829</v>
      </c>
      <c r="E1781" s="5" t="s">
        <v>7830</v>
      </c>
      <c r="F1781" s="13">
        <f>"189095182X"</f>
      </c>
      <c r="G1781" s="13">
        <f>"9781890951825"</f>
      </c>
      <c r="H1781" s="11">
        <v>0</v>
      </c>
      <c r="I1781" s="14">
        <v>4.08</v>
      </c>
      <c r="J1781" s="7" t="s">
        <v>2867</v>
      </c>
      <c r="K1781" s="5" t="s">
        <v>72</v>
      </c>
      <c r="L1781" s="11">
        <v>102</v>
      </c>
      <c r="M1781" s="11">
        <v>2007</v>
      </c>
      <c r="N1781" s="11">
        <v>2005</v>
      </c>
      <c r="O1781" s="15"/>
      <c r="P1781" s="8">
        <v>44204</v>
      </c>
      <c r="Q1781" s="8"/>
      <c r="R1781" s="8"/>
      <c r="S1781" s="8"/>
      <c r="T1781" s="8"/>
      <c r="U1781" s="8"/>
      <c r="V1781" s="8"/>
      <c r="W1781" s="8"/>
      <c r="X1781" s="8"/>
      <c r="Y1781" s="8"/>
      <c r="Z1781" s="8"/>
      <c r="AA1781" s="8"/>
      <c r="AB1781" s="8"/>
      <c r="AC1781" s="8"/>
      <c r="AD1781" s="8"/>
      <c r="AE1781" s="8"/>
      <c r="AF1781" s="8"/>
      <c r="AG1781" s="8"/>
      <c r="AH1781" s="8"/>
      <c r="AI1781" s="8"/>
      <c r="AJ1781" s="8"/>
      <c r="AK1781" s="8"/>
      <c r="AL1781" s="8"/>
      <c r="AM1781" s="8"/>
      <c r="AN1781" s="8"/>
      <c r="AO1781" s="8"/>
      <c r="AP1781" s="8"/>
      <c r="AQ1781" s="8"/>
      <c r="AR1781" s="8"/>
      <c r="AS1781" s="8"/>
      <c r="AT1781" s="8"/>
      <c r="AU1781" s="8"/>
      <c r="AV1781" s="8"/>
      <c r="AW1781" s="8"/>
      <c r="AX1781" s="4" t="s">
        <v>38</v>
      </c>
      <c r="AY1781" s="5" t="s">
        <v>7831</v>
      </c>
      <c r="AZ1781" s="5" t="s">
        <v>38</v>
      </c>
      <c r="BA1781" s="12"/>
      <c r="BB1781" s="12"/>
      <c r="BC1781" s="12"/>
      <c r="BD1781" s="11">
        <v>0</v>
      </c>
      <c r="BE1781" s="11">
        <v>0</v>
      </c>
    </row>
    <row x14ac:dyDescent="0.25" r="1782" customHeight="1" ht="17.25">
      <c r="A1782" s="11">
        <v>44179431</v>
      </c>
      <c r="B1782" s="4" t="s">
        <v>7832</v>
      </c>
      <c r="C1782" s="5" t="s">
        <v>7833</v>
      </c>
      <c r="D1782" s="5" t="s">
        <v>7834</v>
      </c>
      <c r="E1782" s="12"/>
      <c r="F1782" s="13">
        <f>"022647626X"</f>
      </c>
      <c r="G1782" s="13">
        <f>"9780226476261"</f>
      </c>
      <c r="H1782" s="11">
        <v>0</v>
      </c>
      <c r="I1782" s="14">
        <v>3.66</v>
      </c>
      <c r="J1782" s="7" t="s">
        <v>255</v>
      </c>
      <c r="K1782" s="5" t="s">
        <v>72</v>
      </c>
      <c r="L1782" s="11">
        <v>320</v>
      </c>
      <c r="M1782" s="11">
        <v>2019</v>
      </c>
      <c r="N1782" s="16"/>
      <c r="O1782" s="15"/>
      <c r="P1782" s="8">
        <v>44204</v>
      </c>
      <c r="Q1782" s="8"/>
      <c r="R1782" s="8"/>
      <c r="S1782" s="8"/>
      <c r="T1782" s="8"/>
      <c r="U1782" s="8"/>
      <c r="V1782" s="8"/>
      <c r="W1782" s="8"/>
      <c r="X1782" s="8"/>
      <c r="Y1782" s="8"/>
      <c r="Z1782" s="8"/>
      <c r="AA1782" s="8"/>
      <c r="AB1782" s="8"/>
      <c r="AC1782" s="8"/>
      <c r="AD1782" s="8"/>
      <c r="AE1782" s="8"/>
      <c r="AF1782" s="8"/>
      <c r="AG1782" s="8"/>
      <c r="AH1782" s="8"/>
      <c r="AI1782" s="8"/>
      <c r="AJ1782" s="8"/>
      <c r="AK1782" s="8"/>
      <c r="AL1782" s="8"/>
      <c r="AM1782" s="8"/>
      <c r="AN1782" s="8"/>
      <c r="AO1782" s="8"/>
      <c r="AP1782" s="8"/>
      <c r="AQ1782" s="8"/>
      <c r="AR1782" s="8"/>
      <c r="AS1782" s="8"/>
      <c r="AT1782" s="8"/>
      <c r="AU1782" s="8"/>
      <c r="AV1782" s="8"/>
      <c r="AW1782" s="8"/>
      <c r="AX1782" s="4" t="s">
        <v>38</v>
      </c>
      <c r="AY1782" s="5" t="s">
        <v>7835</v>
      </c>
      <c r="AZ1782" s="5" t="s">
        <v>38</v>
      </c>
      <c r="BA1782" s="12"/>
      <c r="BB1782" s="12"/>
      <c r="BC1782" s="12"/>
      <c r="BD1782" s="11">
        <v>0</v>
      </c>
      <c r="BE1782" s="11">
        <v>0</v>
      </c>
    </row>
    <row x14ac:dyDescent="0.25" r="1783" customHeight="1" ht="17.25">
      <c r="A1783" s="11">
        <v>40363341</v>
      </c>
      <c r="B1783" s="4" t="s">
        <v>7836</v>
      </c>
      <c r="C1783" s="5" t="s">
        <v>7837</v>
      </c>
      <c r="D1783" s="5" t="s">
        <v>7838</v>
      </c>
      <c r="E1783" s="12"/>
      <c r="F1783" s="13">
        <f>"1786636395"</f>
      </c>
      <c r="G1783" s="13">
        <f>"9781786636393"</f>
      </c>
      <c r="H1783" s="11">
        <v>0</v>
      </c>
      <c r="I1783" s="14">
        <v>3.96</v>
      </c>
      <c r="J1783" s="7" t="s">
        <v>2001</v>
      </c>
      <c r="K1783" s="5" t="s">
        <v>60</v>
      </c>
      <c r="L1783" s="11">
        <v>202</v>
      </c>
      <c r="M1783" s="11">
        <v>2019</v>
      </c>
      <c r="N1783" s="11">
        <v>2019</v>
      </c>
      <c r="O1783" s="15"/>
      <c r="P1783" s="8">
        <v>44204</v>
      </c>
      <c r="Q1783" s="8"/>
      <c r="R1783" s="8"/>
      <c r="S1783" s="8"/>
      <c r="T1783" s="8"/>
      <c r="U1783" s="8"/>
      <c r="V1783" s="8"/>
      <c r="W1783" s="8"/>
      <c r="X1783" s="8"/>
      <c r="Y1783" s="8"/>
      <c r="Z1783" s="8"/>
      <c r="AA1783" s="8"/>
      <c r="AB1783" s="8"/>
      <c r="AC1783" s="8"/>
      <c r="AD1783" s="8"/>
      <c r="AE1783" s="8"/>
      <c r="AF1783" s="8"/>
      <c r="AG1783" s="8"/>
      <c r="AH1783" s="8"/>
      <c r="AI1783" s="8"/>
      <c r="AJ1783" s="8"/>
      <c r="AK1783" s="8"/>
      <c r="AL1783" s="8"/>
      <c r="AM1783" s="8"/>
      <c r="AN1783" s="8"/>
      <c r="AO1783" s="8"/>
      <c r="AP1783" s="8"/>
      <c r="AQ1783" s="8"/>
      <c r="AR1783" s="8"/>
      <c r="AS1783" s="8"/>
      <c r="AT1783" s="8"/>
      <c r="AU1783" s="8"/>
      <c r="AV1783" s="8"/>
      <c r="AW1783" s="8"/>
      <c r="AX1783" s="4" t="s">
        <v>38</v>
      </c>
      <c r="AY1783" s="5" t="s">
        <v>7839</v>
      </c>
      <c r="AZ1783" s="5" t="s">
        <v>38</v>
      </c>
      <c r="BA1783" s="12"/>
      <c r="BB1783" s="12"/>
      <c r="BC1783" s="12"/>
      <c r="BD1783" s="11">
        <v>0</v>
      </c>
      <c r="BE1783" s="11">
        <v>0</v>
      </c>
    </row>
    <row x14ac:dyDescent="0.25" r="1784" customHeight="1" ht="17.25">
      <c r="A1784" s="11">
        <v>32660819</v>
      </c>
      <c r="B1784" s="4" t="s">
        <v>7840</v>
      </c>
      <c r="C1784" s="5" t="s">
        <v>7841</v>
      </c>
      <c r="D1784" s="5" t="s">
        <v>7842</v>
      </c>
      <c r="E1784" s="5" t="s">
        <v>7843</v>
      </c>
      <c r="F1784" s="13">
        <f>"1442650451"</f>
      </c>
      <c r="G1784" s="13">
        <f>"9781442650459"</f>
      </c>
      <c r="H1784" s="11">
        <v>0</v>
      </c>
      <c r="I1784" s="14">
        <v>3.65</v>
      </c>
      <c r="J1784" s="7" t="s">
        <v>7844</v>
      </c>
      <c r="K1784" s="5" t="s">
        <v>72</v>
      </c>
      <c r="L1784" s="11">
        <v>256</v>
      </c>
      <c r="M1784" s="11">
        <v>2017</v>
      </c>
      <c r="N1784" s="16"/>
      <c r="O1784" s="15"/>
      <c r="P1784" s="8">
        <v>44204</v>
      </c>
      <c r="Q1784" s="8"/>
      <c r="R1784" s="8"/>
      <c r="S1784" s="8"/>
      <c r="T1784" s="8"/>
      <c r="U1784" s="8"/>
      <c r="V1784" s="8"/>
      <c r="W1784" s="8"/>
      <c r="X1784" s="8"/>
      <c r="Y1784" s="8"/>
      <c r="Z1784" s="8"/>
      <c r="AA1784" s="8"/>
      <c r="AB1784" s="8"/>
      <c r="AC1784" s="8"/>
      <c r="AD1784" s="8"/>
      <c r="AE1784" s="8"/>
      <c r="AF1784" s="8"/>
      <c r="AG1784" s="8"/>
      <c r="AH1784" s="8"/>
      <c r="AI1784" s="8"/>
      <c r="AJ1784" s="8"/>
      <c r="AK1784" s="8"/>
      <c r="AL1784" s="8"/>
      <c r="AM1784" s="8"/>
      <c r="AN1784" s="8"/>
      <c r="AO1784" s="8"/>
      <c r="AP1784" s="8"/>
      <c r="AQ1784" s="8"/>
      <c r="AR1784" s="8"/>
      <c r="AS1784" s="8"/>
      <c r="AT1784" s="8"/>
      <c r="AU1784" s="8"/>
      <c r="AV1784" s="8"/>
      <c r="AW1784" s="8"/>
      <c r="AX1784" s="4" t="s">
        <v>38</v>
      </c>
      <c r="AY1784" s="5" t="s">
        <v>7845</v>
      </c>
      <c r="AZ1784" s="5" t="s">
        <v>38</v>
      </c>
      <c r="BA1784" s="12"/>
      <c r="BB1784" s="12"/>
      <c r="BC1784" s="12"/>
      <c r="BD1784" s="11">
        <v>0</v>
      </c>
      <c r="BE1784" s="11">
        <v>0</v>
      </c>
    </row>
    <row x14ac:dyDescent="0.25" r="1785" customHeight="1" ht="17.25">
      <c r="A1785" s="11">
        <v>403120</v>
      </c>
      <c r="B1785" s="4" t="s">
        <v>7846</v>
      </c>
      <c r="C1785" s="5" t="s">
        <v>7847</v>
      </c>
      <c r="D1785" s="5" t="s">
        <v>7848</v>
      </c>
      <c r="E1785" s="12"/>
      <c r="F1785" s="13">
        <f>"0898706041"</f>
      </c>
      <c r="G1785" s="13">
        <f>"9780898706048"</f>
      </c>
      <c r="H1785" s="11">
        <v>0</v>
      </c>
      <c r="I1785" s="14">
        <v>4.37</v>
      </c>
      <c r="J1785" s="7" t="s">
        <v>6058</v>
      </c>
      <c r="K1785" s="5" t="s">
        <v>60</v>
      </c>
      <c r="L1785" s="11">
        <v>401</v>
      </c>
      <c r="M1785" s="11">
        <v>1998</v>
      </c>
      <c r="N1785" s="11">
        <v>1955</v>
      </c>
      <c r="O1785" s="15"/>
      <c r="P1785" s="8">
        <v>44200</v>
      </c>
      <c r="Q1785" s="8"/>
      <c r="R1785" s="8"/>
      <c r="S1785" s="8"/>
      <c r="T1785" s="8"/>
      <c r="U1785" s="8"/>
      <c r="V1785" s="8"/>
      <c r="W1785" s="8"/>
      <c r="X1785" s="8"/>
      <c r="Y1785" s="8"/>
      <c r="Z1785" s="8"/>
      <c r="AA1785" s="8"/>
      <c r="AB1785" s="8"/>
      <c r="AC1785" s="8"/>
      <c r="AD1785" s="8"/>
      <c r="AE1785" s="8"/>
      <c r="AF1785" s="8"/>
      <c r="AG1785" s="8"/>
      <c r="AH1785" s="8"/>
      <c r="AI1785" s="8"/>
      <c r="AJ1785" s="8"/>
      <c r="AK1785" s="8"/>
      <c r="AL1785" s="8"/>
      <c r="AM1785" s="8"/>
      <c r="AN1785" s="8"/>
      <c r="AO1785" s="8"/>
      <c r="AP1785" s="8"/>
      <c r="AQ1785" s="8"/>
      <c r="AR1785" s="8"/>
      <c r="AS1785" s="8"/>
      <c r="AT1785" s="8"/>
      <c r="AU1785" s="8"/>
      <c r="AV1785" s="8"/>
      <c r="AW1785" s="8"/>
      <c r="AX1785" s="4" t="s">
        <v>38</v>
      </c>
      <c r="AY1785" s="5" t="s">
        <v>7849</v>
      </c>
      <c r="AZ1785" s="5" t="s">
        <v>38</v>
      </c>
      <c r="BA1785" s="12"/>
      <c r="BB1785" s="12"/>
      <c r="BC1785" s="12"/>
      <c r="BD1785" s="11">
        <v>0</v>
      </c>
      <c r="BE1785" s="11">
        <v>0</v>
      </c>
    </row>
    <row x14ac:dyDescent="0.25" r="1786" customHeight="1" ht="17.25">
      <c r="A1786" s="11">
        <v>45892264</v>
      </c>
      <c r="B1786" s="4" t="s">
        <v>7850</v>
      </c>
      <c r="C1786" s="5" t="s">
        <v>7151</v>
      </c>
      <c r="D1786" s="5" t="s">
        <v>7152</v>
      </c>
      <c r="E1786" s="12"/>
      <c r="F1786" s="13">
        <f>"0374282153"</f>
      </c>
      <c r="G1786" s="13">
        <f>"9780374282158"</f>
      </c>
      <c r="H1786" s="11">
        <v>0</v>
      </c>
      <c r="I1786" s="14">
        <v>3.73</v>
      </c>
      <c r="J1786" s="7" t="s">
        <v>120</v>
      </c>
      <c r="K1786" s="5" t="s">
        <v>72</v>
      </c>
      <c r="L1786" s="11">
        <v>176</v>
      </c>
      <c r="M1786" s="11">
        <v>2020</v>
      </c>
      <c r="N1786" s="11">
        <v>2020</v>
      </c>
      <c r="O1786" s="15"/>
      <c r="P1786" s="8">
        <v>44199</v>
      </c>
      <c r="Q1786" s="8"/>
      <c r="R1786" s="8"/>
      <c r="S1786" s="8"/>
      <c r="T1786" s="8"/>
      <c r="U1786" s="8"/>
      <c r="V1786" s="8"/>
      <c r="W1786" s="8"/>
      <c r="X1786" s="8"/>
      <c r="Y1786" s="8"/>
      <c r="Z1786" s="8"/>
      <c r="AA1786" s="8"/>
      <c r="AB1786" s="8"/>
      <c r="AC1786" s="8"/>
      <c r="AD1786" s="8"/>
      <c r="AE1786" s="8"/>
      <c r="AF1786" s="8"/>
      <c r="AG1786" s="8"/>
      <c r="AH1786" s="8"/>
      <c r="AI1786" s="8"/>
      <c r="AJ1786" s="8"/>
      <c r="AK1786" s="8"/>
      <c r="AL1786" s="8"/>
      <c r="AM1786" s="8"/>
      <c r="AN1786" s="8"/>
      <c r="AO1786" s="8"/>
      <c r="AP1786" s="8"/>
      <c r="AQ1786" s="8"/>
      <c r="AR1786" s="8"/>
      <c r="AS1786" s="8"/>
      <c r="AT1786" s="8"/>
      <c r="AU1786" s="8"/>
      <c r="AV1786" s="8"/>
      <c r="AW1786" s="8"/>
      <c r="AX1786" s="4" t="s">
        <v>38</v>
      </c>
      <c r="AY1786" s="5" t="s">
        <v>7851</v>
      </c>
      <c r="AZ1786" s="5" t="s">
        <v>38</v>
      </c>
      <c r="BA1786" s="12"/>
      <c r="BB1786" s="12"/>
      <c r="BC1786" s="12"/>
      <c r="BD1786" s="11">
        <v>0</v>
      </c>
      <c r="BE1786" s="11">
        <v>0</v>
      </c>
    </row>
    <row x14ac:dyDescent="0.25" r="1787" customHeight="1" ht="17.25">
      <c r="A1787" s="11">
        <v>36422677</v>
      </c>
      <c r="B1787" s="4" t="s">
        <v>7852</v>
      </c>
      <c r="C1787" s="5" t="s">
        <v>7853</v>
      </c>
      <c r="D1787" s="5" t="s">
        <v>7854</v>
      </c>
      <c r="E1787" s="12"/>
      <c r="F1787" s="13">
        <f>""</f>
      </c>
      <c r="G1787" s="13">
        <f>""</f>
      </c>
      <c r="H1787" s="11">
        <v>0</v>
      </c>
      <c r="I1787" s="14">
        <v>4.4</v>
      </c>
      <c r="J1787" s="7" t="s">
        <v>636</v>
      </c>
      <c r="K1787" s="5" t="s">
        <v>90</v>
      </c>
      <c r="L1787" s="11">
        <v>274</v>
      </c>
      <c r="M1787" s="11">
        <v>2017</v>
      </c>
      <c r="N1787" s="16"/>
      <c r="O1787" s="15"/>
      <c r="P1787" s="8">
        <v>44199</v>
      </c>
      <c r="Q1787" s="8"/>
      <c r="R1787" s="8"/>
      <c r="S1787" s="8"/>
      <c r="T1787" s="8"/>
      <c r="U1787" s="8"/>
      <c r="V1787" s="8"/>
      <c r="W1787" s="8"/>
      <c r="X1787" s="8"/>
      <c r="Y1787" s="8"/>
      <c r="Z1787" s="8"/>
      <c r="AA1787" s="8"/>
      <c r="AB1787" s="8"/>
      <c r="AC1787" s="8"/>
      <c r="AD1787" s="8"/>
      <c r="AE1787" s="8"/>
      <c r="AF1787" s="8"/>
      <c r="AG1787" s="8"/>
      <c r="AH1787" s="8"/>
      <c r="AI1787" s="8"/>
      <c r="AJ1787" s="8"/>
      <c r="AK1787" s="8"/>
      <c r="AL1787" s="8"/>
      <c r="AM1787" s="8"/>
      <c r="AN1787" s="8"/>
      <c r="AO1787" s="8"/>
      <c r="AP1787" s="8"/>
      <c r="AQ1787" s="8"/>
      <c r="AR1787" s="8"/>
      <c r="AS1787" s="8"/>
      <c r="AT1787" s="8"/>
      <c r="AU1787" s="8"/>
      <c r="AV1787" s="8"/>
      <c r="AW1787" s="8"/>
      <c r="AX1787" s="4" t="s">
        <v>38</v>
      </c>
      <c r="AY1787" s="5" t="s">
        <v>7855</v>
      </c>
      <c r="AZ1787" s="5" t="s">
        <v>38</v>
      </c>
      <c r="BA1787" s="12"/>
      <c r="BB1787" s="12"/>
      <c r="BC1787" s="12"/>
      <c r="BD1787" s="11">
        <v>0</v>
      </c>
      <c r="BE1787" s="11">
        <v>0</v>
      </c>
    </row>
    <row x14ac:dyDescent="0.25" r="1788" customHeight="1" ht="17.25">
      <c r="A1788" s="11">
        <v>34706146</v>
      </c>
      <c r="B1788" s="4" t="s">
        <v>7856</v>
      </c>
      <c r="C1788" s="5" t="s">
        <v>7857</v>
      </c>
      <c r="D1788" s="5" t="s">
        <v>7858</v>
      </c>
      <c r="E1788" s="12"/>
      <c r="F1788" s="13">
        <f>""</f>
      </c>
      <c r="G1788" s="13">
        <f>""</f>
      </c>
      <c r="H1788" s="11">
        <v>0</v>
      </c>
      <c r="I1788" s="11">
        <v>4</v>
      </c>
      <c r="J1788" s="7" t="s">
        <v>2638</v>
      </c>
      <c r="K1788" s="5" t="s">
        <v>90</v>
      </c>
      <c r="L1788" s="11">
        <v>292</v>
      </c>
      <c r="M1788" s="11">
        <v>2015</v>
      </c>
      <c r="N1788" s="16"/>
      <c r="O1788" s="15"/>
      <c r="P1788" s="8">
        <v>44199</v>
      </c>
      <c r="Q1788" s="8"/>
      <c r="R1788" s="8"/>
      <c r="S1788" s="8"/>
      <c r="T1788" s="8"/>
      <c r="U1788" s="8"/>
      <c r="V1788" s="8"/>
      <c r="W1788" s="8"/>
      <c r="X1788" s="8"/>
      <c r="Y1788" s="8"/>
      <c r="Z1788" s="8"/>
      <c r="AA1788" s="8"/>
      <c r="AB1788" s="8"/>
      <c r="AC1788" s="8"/>
      <c r="AD1788" s="8"/>
      <c r="AE1788" s="8"/>
      <c r="AF1788" s="8"/>
      <c r="AG1788" s="8"/>
      <c r="AH1788" s="8"/>
      <c r="AI1788" s="8"/>
      <c r="AJ1788" s="8"/>
      <c r="AK1788" s="8"/>
      <c r="AL1788" s="8"/>
      <c r="AM1788" s="8"/>
      <c r="AN1788" s="8"/>
      <c r="AO1788" s="8"/>
      <c r="AP1788" s="8"/>
      <c r="AQ1788" s="8"/>
      <c r="AR1788" s="8"/>
      <c r="AS1788" s="8"/>
      <c r="AT1788" s="8"/>
      <c r="AU1788" s="8"/>
      <c r="AV1788" s="8"/>
      <c r="AW1788" s="8"/>
      <c r="AX1788" s="4" t="s">
        <v>38</v>
      </c>
      <c r="AY1788" s="5" t="s">
        <v>7859</v>
      </c>
      <c r="AZ1788" s="5" t="s">
        <v>38</v>
      </c>
      <c r="BA1788" s="12"/>
      <c r="BB1788" s="12"/>
      <c r="BC1788" s="12"/>
      <c r="BD1788" s="11">
        <v>0</v>
      </c>
      <c r="BE1788" s="11">
        <v>0</v>
      </c>
    </row>
    <row x14ac:dyDescent="0.25" r="1789" customHeight="1" ht="17.25">
      <c r="A1789" s="11">
        <v>12381053</v>
      </c>
      <c r="B1789" s="4" t="s">
        <v>7860</v>
      </c>
      <c r="C1789" s="5" t="s">
        <v>7861</v>
      </c>
      <c r="D1789" s="5" t="s">
        <v>7862</v>
      </c>
      <c r="E1789" s="5" t="s">
        <v>7863</v>
      </c>
      <c r="F1789" s="13">
        <f>"1118114957"</f>
      </c>
      <c r="G1789" s="13">
        <f>"9781118114957"</f>
      </c>
      <c r="H1789" s="11">
        <v>0</v>
      </c>
      <c r="I1789" s="14">
        <v>3.5</v>
      </c>
      <c r="J1789" s="7" t="s">
        <v>2644</v>
      </c>
      <c r="K1789" s="5" t="s">
        <v>72</v>
      </c>
      <c r="L1789" s="11">
        <v>208</v>
      </c>
      <c r="M1789" s="11">
        <v>2011</v>
      </c>
      <c r="N1789" s="11">
        <v>2011</v>
      </c>
      <c r="O1789" s="15"/>
      <c r="P1789" s="8">
        <v>44199</v>
      </c>
      <c r="Q1789" s="8"/>
      <c r="R1789" s="8"/>
      <c r="S1789" s="8"/>
      <c r="T1789" s="8"/>
      <c r="U1789" s="8"/>
      <c r="V1789" s="8"/>
      <c r="W1789" s="8"/>
      <c r="X1789" s="8"/>
      <c r="Y1789" s="8"/>
      <c r="Z1789" s="8"/>
      <c r="AA1789" s="8"/>
      <c r="AB1789" s="8"/>
      <c r="AC1789" s="8"/>
      <c r="AD1789" s="8"/>
      <c r="AE1789" s="8"/>
      <c r="AF1789" s="8"/>
      <c r="AG1789" s="8"/>
      <c r="AH1789" s="8"/>
      <c r="AI1789" s="8"/>
      <c r="AJ1789" s="8"/>
      <c r="AK1789" s="8"/>
      <c r="AL1789" s="8"/>
      <c r="AM1789" s="8"/>
      <c r="AN1789" s="8"/>
      <c r="AO1789" s="8"/>
      <c r="AP1789" s="8"/>
      <c r="AQ1789" s="8"/>
      <c r="AR1789" s="8"/>
      <c r="AS1789" s="8"/>
      <c r="AT1789" s="8"/>
      <c r="AU1789" s="8"/>
      <c r="AV1789" s="8"/>
      <c r="AW1789" s="8"/>
      <c r="AX1789" s="4" t="s">
        <v>38</v>
      </c>
      <c r="AY1789" s="5" t="s">
        <v>7864</v>
      </c>
      <c r="AZ1789" s="5" t="s">
        <v>38</v>
      </c>
      <c r="BA1789" s="12"/>
      <c r="BB1789" s="12"/>
      <c r="BC1789" s="12"/>
      <c r="BD1789" s="11">
        <v>0</v>
      </c>
      <c r="BE1789" s="11">
        <v>0</v>
      </c>
    </row>
    <row x14ac:dyDescent="0.25" r="1790" customHeight="1" ht="17.25">
      <c r="A1790" s="11">
        <v>18377995</v>
      </c>
      <c r="B1790" s="4" t="s">
        <v>7865</v>
      </c>
      <c r="C1790" s="5" t="s">
        <v>7866</v>
      </c>
      <c r="D1790" s="5" t="s">
        <v>7867</v>
      </c>
      <c r="E1790" s="12"/>
      <c r="F1790" s="13">
        <f>"0393243370"</f>
      </c>
      <c r="G1790" s="13">
        <f>"9780393243376"</f>
      </c>
      <c r="H1790" s="11">
        <v>0</v>
      </c>
      <c r="I1790" s="14">
        <v>3.75</v>
      </c>
      <c r="J1790" s="7" t="s">
        <v>144</v>
      </c>
      <c r="K1790" s="5" t="s">
        <v>72</v>
      </c>
      <c r="L1790" s="11">
        <v>288</v>
      </c>
      <c r="M1790" s="11">
        <v>2014</v>
      </c>
      <c r="N1790" s="11">
        <v>2014</v>
      </c>
      <c r="O1790" s="15"/>
      <c r="P1790" s="8">
        <v>44199</v>
      </c>
      <c r="Q1790" s="8"/>
      <c r="R1790" s="8"/>
      <c r="S1790" s="8"/>
      <c r="T1790" s="8"/>
      <c r="U1790" s="8"/>
      <c r="V1790" s="8"/>
      <c r="W1790" s="8"/>
      <c r="X1790" s="8"/>
      <c r="Y1790" s="8"/>
      <c r="Z1790" s="8"/>
      <c r="AA1790" s="8"/>
      <c r="AB1790" s="8"/>
      <c r="AC1790" s="8"/>
      <c r="AD1790" s="8"/>
      <c r="AE1790" s="8"/>
      <c r="AF1790" s="8"/>
      <c r="AG1790" s="8"/>
      <c r="AH1790" s="8"/>
      <c r="AI1790" s="8"/>
      <c r="AJ1790" s="8"/>
      <c r="AK1790" s="8"/>
      <c r="AL1790" s="8"/>
      <c r="AM1790" s="8"/>
      <c r="AN1790" s="8"/>
      <c r="AO1790" s="8"/>
      <c r="AP1790" s="8"/>
      <c r="AQ1790" s="8"/>
      <c r="AR1790" s="8"/>
      <c r="AS1790" s="8"/>
      <c r="AT1790" s="8"/>
      <c r="AU1790" s="8"/>
      <c r="AV1790" s="8"/>
      <c r="AW1790" s="8"/>
      <c r="AX1790" s="4" t="s">
        <v>38</v>
      </c>
      <c r="AY1790" s="5" t="s">
        <v>7868</v>
      </c>
      <c r="AZ1790" s="5" t="s">
        <v>38</v>
      </c>
      <c r="BA1790" s="12"/>
      <c r="BB1790" s="12"/>
      <c r="BC1790" s="12"/>
      <c r="BD1790" s="11">
        <v>0</v>
      </c>
      <c r="BE1790" s="11">
        <v>0</v>
      </c>
    </row>
    <row x14ac:dyDescent="0.25" r="1791" customHeight="1" ht="17.25">
      <c r="A1791" s="11">
        <v>394616</v>
      </c>
      <c r="B1791" s="4" t="s">
        <v>7869</v>
      </c>
      <c r="C1791" s="5" t="s">
        <v>7870</v>
      </c>
      <c r="D1791" s="5" t="s">
        <v>7871</v>
      </c>
      <c r="E1791" s="12"/>
      <c r="F1791" s="13">
        <f>"0060932236"</f>
      </c>
      <c r="G1791" s="13">
        <f>"9780060932237"</f>
      </c>
      <c r="H1791" s="11">
        <v>0</v>
      </c>
      <c r="I1791" s="14">
        <v>4.31</v>
      </c>
      <c r="J1791" s="7" t="s">
        <v>1061</v>
      </c>
      <c r="K1791" s="5" t="s">
        <v>60</v>
      </c>
      <c r="L1791" s="11">
        <v>384</v>
      </c>
      <c r="M1791" s="11">
        <v>2006</v>
      </c>
      <c r="N1791" s="11">
        <v>1936</v>
      </c>
      <c r="O1791" s="15"/>
      <c r="P1791" s="8">
        <v>44198</v>
      </c>
      <c r="Q1791" s="8"/>
      <c r="R1791" s="8"/>
      <c r="S1791" s="8"/>
      <c r="T1791" s="8"/>
      <c r="U1791" s="8"/>
      <c r="V1791" s="8"/>
      <c r="W1791" s="8"/>
      <c r="X1791" s="8"/>
      <c r="Y1791" s="8"/>
      <c r="Z1791" s="8"/>
      <c r="AA1791" s="8"/>
      <c r="AB1791" s="8"/>
      <c r="AC1791" s="8"/>
      <c r="AD1791" s="8"/>
      <c r="AE1791" s="8"/>
      <c r="AF1791" s="8"/>
      <c r="AG1791" s="8"/>
      <c r="AH1791" s="8"/>
      <c r="AI1791" s="8"/>
      <c r="AJ1791" s="8"/>
      <c r="AK1791" s="8"/>
      <c r="AL1791" s="8"/>
      <c r="AM1791" s="8"/>
      <c r="AN1791" s="8"/>
      <c r="AO1791" s="8"/>
      <c r="AP1791" s="8"/>
      <c r="AQ1791" s="8"/>
      <c r="AR1791" s="8"/>
      <c r="AS1791" s="8"/>
      <c r="AT1791" s="8"/>
      <c r="AU1791" s="8"/>
      <c r="AV1791" s="8"/>
      <c r="AW1791" s="8"/>
      <c r="AX1791" s="4" t="s">
        <v>38</v>
      </c>
      <c r="AY1791" s="5" t="s">
        <v>7872</v>
      </c>
      <c r="AZ1791" s="5" t="s">
        <v>38</v>
      </c>
      <c r="BA1791" s="12"/>
      <c r="BB1791" s="12"/>
      <c r="BC1791" s="12"/>
      <c r="BD1791" s="11">
        <v>0</v>
      </c>
      <c r="BE1791" s="11">
        <v>0</v>
      </c>
    </row>
    <row x14ac:dyDescent="0.25" r="1792" customHeight="1" ht="17.25">
      <c r="A1792" s="11">
        <v>53066001</v>
      </c>
      <c r="B1792" s="4" t="s">
        <v>7873</v>
      </c>
      <c r="C1792" s="5" t="s">
        <v>7874</v>
      </c>
      <c r="D1792" s="5" t="s">
        <v>7875</v>
      </c>
      <c r="E1792" s="5" t="s">
        <v>7876</v>
      </c>
      <c r="F1792" s="13">
        <f>""</f>
      </c>
      <c r="G1792" s="13">
        <f>""</f>
      </c>
      <c r="H1792" s="11">
        <v>0</v>
      </c>
      <c r="I1792" s="14">
        <v>4.22</v>
      </c>
      <c r="J1792" s="7" t="s">
        <v>7877</v>
      </c>
      <c r="K1792" s="5" t="s">
        <v>90</v>
      </c>
      <c r="L1792" s="11">
        <v>207</v>
      </c>
      <c r="M1792" s="11">
        <v>2020</v>
      </c>
      <c r="N1792" s="16"/>
      <c r="O1792" s="15"/>
      <c r="P1792" s="8">
        <v>44198</v>
      </c>
      <c r="Q1792" s="8"/>
      <c r="R1792" s="8"/>
      <c r="S1792" s="8"/>
      <c r="T1792" s="8"/>
      <c r="U1792" s="8"/>
      <c r="V1792" s="8"/>
      <c r="W1792" s="8"/>
      <c r="X1792" s="8"/>
      <c r="Y1792" s="8"/>
      <c r="Z1792" s="8"/>
      <c r="AA1792" s="8"/>
      <c r="AB1792" s="8"/>
      <c r="AC1792" s="8"/>
      <c r="AD1792" s="8"/>
      <c r="AE1792" s="8"/>
      <c r="AF1792" s="8"/>
      <c r="AG1792" s="8"/>
      <c r="AH1792" s="8"/>
      <c r="AI1792" s="8"/>
      <c r="AJ1792" s="8"/>
      <c r="AK1792" s="8"/>
      <c r="AL1792" s="8"/>
      <c r="AM1792" s="8"/>
      <c r="AN1792" s="8"/>
      <c r="AO1792" s="8"/>
      <c r="AP1792" s="8"/>
      <c r="AQ1792" s="8"/>
      <c r="AR1792" s="8"/>
      <c r="AS1792" s="8"/>
      <c r="AT1792" s="8"/>
      <c r="AU1792" s="8"/>
      <c r="AV1792" s="8"/>
      <c r="AW1792" s="8"/>
      <c r="AX1792" s="4" t="s">
        <v>38</v>
      </c>
      <c r="AY1792" s="5" t="s">
        <v>7878</v>
      </c>
      <c r="AZ1792" s="5" t="s">
        <v>38</v>
      </c>
      <c r="BA1792" s="12"/>
      <c r="BB1792" s="12"/>
      <c r="BC1792" s="12"/>
      <c r="BD1792" s="11">
        <v>0</v>
      </c>
      <c r="BE1792" s="11">
        <v>0</v>
      </c>
    </row>
    <row x14ac:dyDescent="0.25" r="1793" customHeight="1" ht="17.25">
      <c r="A1793" s="11">
        <v>50695164</v>
      </c>
      <c r="B1793" s="4" t="s">
        <v>7879</v>
      </c>
      <c r="C1793" s="5" t="s">
        <v>7880</v>
      </c>
      <c r="D1793" s="5" t="s">
        <v>7881</v>
      </c>
      <c r="E1793" s="12"/>
      <c r="F1793" s="13">
        <f>"0593188934"</f>
      </c>
      <c r="G1793" s="13">
        <f>"9780593188934"</f>
      </c>
      <c r="H1793" s="11">
        <v>0</v>
      </c>
      <c r="I1793" s="14">
        <v>4.16</v>
      </c>
      <c r="J1793" s="7" t="s">
        <v>418</v>
      </c>
      <c r="K1793" s="5" t="s">
        <v>72</v>
      </c>
      <c r="L1793" s="11">
        <v>288</v>
      </c>
      <c r="M1793" s="11">
        <v>2020</v>
      </c>
      <c r="N1793" s="11">
        <v>2020</v>
      </c>
      <c r="O1793" s="15"/>
      <c r="P1793" s="9">
        <v>44196</v>
      </c>
      <c r="Q1793" s="9"/>
      <c r="R1793" s="9"/>
      <c r="S1793" s="9"/>
      <c r="T1793" s="9"/>
      <c r="U1793" s="9"/>
      <c r="V1793" s="9"/>
      <c r="W1793" s="9"/>
      <c r="X1793" s="9"/>
      <c r="Y1793" s="9"/>
      <c r="Z1793" s="9"/>
      <c r="AA1793" s="9"/>
      <c r="AB1793" s="9"/>
      <c r="AC1793" s="9"/>
      <c r="AD1793" s="9"/>
      <c r="AE1793" s="9"/>
      <c r="AF1793" s="9"/>
      <c r="AG1793" s="9"/>
      <c r="AH1793" s="9"/>
      <c r="AI1793" s="9"/>
      <c r="AJ1793" s="9"/>
      <c r="AK1793" s="9"/>
      <c r="AL1793" s="9"/>
      <c r="AM1793" s="9"/>
      <c r="AN1793" s="9"/>
      <c r="AO1793" s="9"/>
      <c r="AP1793" s="9"/>
      <c r="AQ1793" s="9"/>
      <c r="AR1793" s="9"/>
      <c r="AS1793" s="9"/>
      <c r="AT1793" s="9"/>
      <c r="AU1793" s="9"/>
      <c r="AV1793" s="9"/>
      <c r="AW1793" s="9"/>
      <c r="AX1793" s="4" t="s">
        <v>38</v>
      </c>
      <c r="AY1793" s="5" t="s">
        <v>7882</v>
      </c>
      <c r="AZ1793" s="5" t="s">
        <v>38</v>
      </c>
      <c r="BA1793" s="12"/>
      <c r="BB1793" s="12"/>
      <c r="BC1793" s="12"/>
      <c r="BD1793" s="11">
        <v>0</v>
      </c>
      <c r="BE1793" s="11">
        <v>0</v>
      </c>
    </row>
    <row x14ac:dyDescent="0.25" r="1794" customHeight="1" ht="17.25">
      <c r="A1794" s="11">
        <v>24453883</v>
      </c>
      <c r="B1794" s="4" t="s">
        <v>7883</v>
      </c>
      <c r="C1794" s="5" t="s">
        <v>7667</v>
      </c>
      <c r="D1794" s="5" t="s">
        <v>7668</v>
      </c>
      <c r="E1794" s="12"/>
      <c r="F1794" s="13">
        <f>"0472052535"</f>
      </c>
      <c r="G1794" s="13">
        <f>"9780472052530"</f>
      </c>
      <c r="H1794" s="11">
        <v>0</v>
      </c>
      <c r="I1794" s="14">
        <v>4.18</v>
      </c>
      <c r="J1794" s="7" t="s">
        <v>5197</v>
      </c>
      <c r="K1794" s="5" t="s">
        <v>60</v>
      </c>
      <c r="L1794" s="11">
        <v>240</v>
      </c>
      <c r="M1794" s="11">
        <v>2015</v>
      </c>
      <c r="N1794" s="11">
        <v>2015</v>
      </c>
      <c r="O1794" s="15"/>
      <c r="P1794" s="9">
        <v>44194</v>
      </c>
      <c r="Q1794" s="9"/>
      <c r="R1794" s="9"/>
      <c r="S1794" s="9"/>
      <c r="T1794" s="9"/>
      <c r="U1794" s="9"/>
      <c r="V1794" s="9"/>
      <c r="W1794" s="9"/>
      <c r="X1794" s="9"/>
      <c r="Y1794" s="9"/>
      <c r="Z1794" s="9"/>
      <c r="AA1794" s="9"/>
      <c r="AB1794" s="9"/>
      <c r="AC1794" s="9"/>
      <c r="AD1794" s="9"/>
      <c r="AE1794" s="9"/>
      <c r="AF1794" s="9"/>
      <c r="AG1794" s="9"/>
      <c r="AH1794" s="9"/>
      <c r="AI1794" s="9"/>
      <c r="AJ1794" s="9"/>
      <c r="AK1794" s="9"/>
      <c r="AL1794" s="9"/>
      <c r="AM1794" s="9"/>
      <c r="AN1794" s="9"/>
      <c r="AO1794" s="9"/>
      <c r="AP1794" s="9"/>
      <c r="AQ1794" s="9"/>
      <c r="AR1794" s="9"/>
      <c r="AS1794" s="9"/>
      <c r="AT1794" s="9"/>
      <c r="AU1794" s="9"/>
      <c r="AV1794" s="9"/>
      <c r="AW1794" s="9"/>
      <c r="AX1794" s="4" t="s">
        <v>38</v>
      </c>
      <c r="AY1794" s="5" t="s">
        <v>7884</v>
      </c>
      <c r="AZ1794" s="5" t="s">
        <v>38</v>
      </c>
      <c r="BA1794" s="12"/>
      <c r="BB1794" s="12"/>
      <c r="BC1794" s="12"/>
      <c r="BD1794" s="11">
        <v>0</v>
      </c>
      <c r="BE1794" s="11">
        <v>0</v>
      </c>
    </row>
    <row x14ac:dyDescent="0.25" r="1795" customHeight="1" ht="17.25">
      <c r="A1795" s="11">
        <v>2388828</v>
      </c>
      <c r="B1795" s="4" t="s">
        <v>7885</v>
      </c>
      <c r="C1795" s="5" t="s">
        <v>7886</v>
      </c>
      <c r="D1795" s="5" t="s">
        <v>7887</v>
      </c>
      <c r="E1795" s="12"/>
      <c r="F1795" s="13">
        <f>"0262523191"</f>
      </c>
      <c r="G1795" s="13">
        <f>"9780262523196"</f>
      </c>
      <c r="H1795" s="11">
        <v>0</v>
      </c>
      <c r="I1795" s="14">
        <v>3.76</v>
      </c>
      <c r="J1795" s="7" t="s">
        <v>5371</v>
      </c>
      <c r="K1795" s="5" t="s">
        <v>60</v>
      </c>
      <c r="L1795" s="11">
        <v>640</v>
      </c>
      <c r="M1795" s="11">
        <v>2001</v>
      </c>
      <c r="N1795" s="11">
        <v>2000</v>
      </c>
      <c r="O1795" s="15"/>
      <c r="P1795" s="9">
        <v>44192</v>
      </c>
      <c r="Q1795" s="9"/>
      <c r="R1795" s="9"/>
      <c r="S1795" s="9"/>
      <c r="T1795" s="9"/>
      <c r="U1795" s="9"/>
      <c r="V1795" s="9"/>
      <c r="W1795" s="9"/>
      <c r="X1795" s="9"/>
      <c r="Y1795" s="9"/>
      <c r="Z1795" s="9"/>
      <c r="AA1795" s="9"/>
      <c r="AB1795" s="9"/>
      <c r="AC1795" s="9"/>
      <c r="AD1795" s="9"/>
      <c r="AE1795" s="9"/>
      <c r="AF1795" s="9"/>
      <c r="AG1795" s="9"/>
      <c r="AH1795" s="9"/>
      <c r="AI1795" s="9"/>
      <c r="AJ1795" s="9"/>
      <c r="AK1795" s="9"/>
      <c r="AL1795" s="9"/>
      <c r="AM1795" s="9"/>
      <c r="AN1795" s="9"/>
      <c r="AO1795" s="9"/>
      <c r="AP1795" s="9"/>
      <c r="AQ1795" s="9"/>
      <c r="AR1795" s="9"/>
      <c r="AS1795" s="9"/>
      <c r="AT1795" s="9"/>
      <c r="AU1795" s="9"/>
      <c r="AV1795" s="9"/>
      <c r="AW1795" s="9"/>
      <c r="AX1795" s="4" t="s">
        <v>38</v>
      </c>
      <c r="AY1795" s="5" t="s">
        <v>7888</v>
      </c>
      <c r="AZ1795" s="5" t="s">
        <v>38</v>
      </c>
      <c r="BA1795" s="12"/>
      <c r="BB1795" s="12"/>
      <c r="BC1795" s="12"/>
      <c r="BD1795" s="11">
        <v>0</v>
      </c>
      <c r="BE1795" s="11">
        <v>0</v>
      </c>
    </row>
    <row x14ac:dyDescent="0.25" r="1796" customHeight="1" ht="17.25">
      <c r="A1796" s="11">
        <v>51285194</v>
      </c>
      <c r="B1796" s="4" t="s">
        <v>7889</v>
      </c>
      <c r="C1796" s="5" t="s">
        <v>7886</v>
      </c>
      <c r="D1796" s="5" t="s">
        <v>7887</v>
      </c>
      <c r="E1796" s="12"/>
      <c r="F1796" s="13">
        <f>""</f>
      </c>
      <c r="G1796" s="13">
        <f>""</f>
      </c>
      <c r="H1796" s="11">
        <v>0</v>
      </c>
      <c r="I1796" s="14">
        <v>3.38</v>
      </c>
      <c r="J1796" s="7" t="s">
        <v>255</v>
      </c>
      <c r="K1796" s="5" t="s">
        <v>90</v>
      </c>
      <c r="L1796" s="11">
        <v>278</v>
      </c>
      <c r="M1796" s="11">
        <v>2019</v>
      </c>
      <c r="N1796" s="16"/>
      <c r="O1796" s="15"/>
      <c r="P1796" s="9">
        <v>44192</v>
      </c>
      <c r="Q1796" s="9"/>
      <c r="R1796" s="9"/>
      <c r="S1796" s="9"/>
      <c r="T1796" s="9"/>
      <c r="U1796" s="9"/>
      <c r="V1796" s="9"/>
      <c r="W1796" s="9"/>
      <c r="X1796" s="9"/>
      <c r="Y1796" s="9"/>
      <c r="Z1796" s="9"/>
      <c r="AA1796" s="9"/>
      <c r="AB1796" s="9"/>
      <c r="AC1796" s="9"/>
      <c r="AD1796" s="9"/>
      <c r="AE1796" s="9"/>
      <c r="AF1796" s="9"/>
      <c r="AG1796" s="9"/>
      <c r="AH1796" s="9"/>
      <c r="AI1796" s="9"/>
      <c r="AJ1796" s="9"/>
      <c r="AK1796" s="9"/>
      <c r="AL1796" s="9"/>
      <c r="AM1796" s="9"/>
      <c r="AN1796" s="9"/>
      <c r="AO1796" s="9"/>
      <c r="AP1796" s="9"/>
      <c r="AQ1796" s="9"/>
      <c r="AR1796" s="9"/>
      <c r="AS1796" s="9"/>
      <c r="AT1796" s="9"/>
      <c r="AU1796" s="9"/>
      <c r="AV1796" s="9"/>
      <c r="AW1796" s="9"/>
      <c r="AX1796" s="4" t="s">
        <v>38</v>
      </c>
      <c r="AY1796" s="5" t="s">
        <v>7890</v>
      </c>
      <c r="AZ1796" s="5" t="s">
        <v>38</v>
      </c>
      <c r="BA1796" s="12"/>
      <c r="BB1796" s="12"/>
      <c r="BC1796" s="12"/>
      <c r="BD1796" s="11">
        <v>0</v>
      </c>
      <c r="BE1796" s="11">
        <v>0</v>
      </c>
    </row>
    <row x14ac:dyDescent="0.25" r="1797" customHeight="1" ht="17.25">
      <c r="A1797" s="11">
        <v>55623604</v>
      </c>
      <c r="B1797" s="4" t="s">
        <v>7891</v>
      </c>
      <c r="C1797" s="5" t="s">
        <v>7892</v>
      </c>
      <c r="D1797" s="5" t="s">
        <v>7893</v>
      </c>
      <c r="E1797" s="12"/>
      <c r="F1797" s="13">
        <f>"022678021X"</f>
      </c>
      <c r="G1797" s="13">
        <f>"9780226780214"</f>
      </c>
      <c r="H1797" s="11">
        <v>0</v>
      </c>
      <c r="I1797" s="11">
        <v>0</v>
      </c>
      <c r="J1797" s="7" t="s">
        <v>255</v>
      </c>
      <c r="K1797" s="5" t="s">
        <v>72</v>
      </c>
      <c r="L1797" s="11">
        <v>224</v>
      </c>
      <c r="M1797" s="11">
        <v>2021</v>
      </c>
      <c r="N1797" s="16"/>
      <c r="O1797" s="15"/>
      <c r="P1797" s="9">
        <v>44192</v>
      </c>
      <c r="Q1797" s="9"/>
      <c r="R1797" s="9"/>
      <c r="S1797" s="9"/>
      <c r="T1797" s="9"/>
      <c r="U1797" s="9"/>
      <c r="V1797" s="9"/>
      <c r="W1797" s="9"/>
      <c r="X1797" s="9"/>
      <c r="Y1797" s="9"/>
      <c r="Z1797" s="9"/>
      <c r="AA1797" s="9"/>
      <c r="AB1797" s="9"/>
      <c r="AC1797" s="9"/>
      <c r="AD1797" s="9"/>
      <c r="AE1797" s="9"/>
      <c r="AF1797" s="9"/>
      <c r="AG1797" s="9"/>
      <c r="AH1797" s="9"/>
      <c r="AI1797" s="9"/>
      <c r="AJ1797" s="9"/>
      <c r="AK1797" s="9"/>
      <c r="AL1797" s="9"/>
      <c r="AM1797" s="9"/>
      <c r="AN1797" s="9"/>
      <c r="AO1797" s="9"/>
      <c r="AP1797" s="9"/>
      <c r="AQ1797" s="9"/>
      <c r="AR1797" s="9"/>
      <c r="AS1797" s="9"/>
      <c r="AT1797" s="9"/>
      <c r="AU1797" s="9"/>
      <c r="AV1797" s="9"/>
      <c r="AW1797" s="9"/>
      <c r="AX1797" s="4" t="s">
        <v>38</v>
      </c>
      <c r="AY1797" s="5" t="s">
        <v>7894</v>
      </c>
      <c r="AZ1797" s="5" t="s">
        <v>38</v>
      </c>
      <c r="BA1797" s="12"/>
      <c r="BB1797" s="12"/>
      <c r="BC1797" s="12"/>
      <c r="BD1797" s="11">
        <v>0</v>
      </c>
      <c r="BE1797" s="11">
        <v>0</v>
      </c>
    </row>
    <row x14ac:dyDescent="0.25" r="1798" customHeight="1" ht="17.25">
      <c r="A1798" s="11">
        <v>550912</v>
      </c>
      <c r="B1798" s="4" t="s">
        <v>7895</v>
      </c>
      <c r="C1798" s="5" t="s">
        <v>7896</v>
      </c>
      <c r="D1798" s="5" t="s">
        <v>7897</v>
      </c>
      <c r="E1798" s="12"/>
      <c r="F1798" s="13">
        <f>"0345456874"</f>
      </c>
      <c r="G1798" s="13">
        <f>"9780345456878"</f>
      </c>
      <c r="H1798" s="11">
        <v>0</v>
      </c>
      <c r="I1798" s="14">
        <v>3.76</v>
      </c>
      <c r="J1798" s="7" t="s">
        <v>352</v>
      </c>
      <c r="K1798" s="5" t="s">
        <v>72</v>
      </c>
      <c r="L1798" s="11">
        <v>304</v>
      </c>
      <c r="M1798" s="11">
        <v>2005</v>
      </c>
      <c r="N1798" s="11">
        <v>2005</v>
      </c>
      <c r="O1798" s="15"/>
      <c r="P1798" s="9">
        <v>44192</v>
      </c>
      <c r="Q1798" s="9"/>
      <c r="R1798" s="9"/>
      <c r="S1798" s="9"/>
      <c r="T1798" s="9"/>
      <c r="U1798" s="9"/>
      <c r="V1798" s="9"/>
      <c r="W1798" s="9"/>
      <c r="X1798" s="9"/>
      <c r="Y1798" s="9"/>
      <c r="Z1798" s="9"/>
      <c r="AA1798" s="9"/>
      <c r="AB1798" s="9"/>
      <c r="AC1798" s="9"/>
      <c r="AD1798" s="9"/>
      <c r="AE1798" s="9"/>
      <c r="AF1798" s="9"/>
      <c r="AG1798" s="9"/>
      <c r="AH1798" s="9"/>
      <c r="AI1798" s="9"/>
      <c r="AJ1798" s="9"/>
      <c r="AK1798" s="9"/>
      <c r="AL1798" s="9"/>
      <c r="AM1798" s="9"/>
      <c r="AN1798" s="9"/>
      <c r="AO1798" s="9"/>
      <c r="AP1798" s="9"/>
      <c r="AQ1798" s="9"/>
      <c r="AR1798" s="9"/>
      <c r="AS1798" s="9"/>
      <c r="AT1798" s="9"/>
      <c r="AU1798" s="9"/>
      <c r="AV1798" s="9"/>
      <c r="AW1798" s="9"/>
      <c r="AX1798" s="4" t="s">
        <v>38</v>
      </c>
      <c r="AY1798" s="5" t="s">
        <v>7898</v>
      </c>
      <c r="AZ1798" s="5" t="s">
        <v>38</v>
      </c>
      <c r="BA1798" s="12"/>
      <c r="BB1798" s="12"/>
      <c r="BC1798" s="12"/>
      <c r="BD1798" s="11">
        <v>0</v>
      </c>
      <c r="BE1798" s="11">
        <v>0</v>
      </c>
    </row>
    <row x14ac:dyDescent="0.25" r="1799" customHeight="1" ht="17.25">
      <c r="A1799" s="11">
        <v>1378145</v>
      </c>
      <c r="B1799" s="4" t="s">
        <v>7899</v>
      </c>
      <c r="C1799" s="5" t="s">
        <v>7896</v>
      </c>
      <c r="D1799" s="5" t="s">
        <v>7897</v>
      </c>
      <c r="E1799" s="12"/>
      <c r="F1799" s="13">
        <f>"0671028146"</f>
      </c>
      <c r="G1799" s="13">
        <f>"9780671028145"</f>
      </c>
      <c r="H1799" s="11">
        <v>0</v>
      </c>
      <c r="I1799" s="14">
        <v>3.72</v>
      </c>
      <c r="J1799" s="7" t="s">
        <v>1197</v>
      </c>
      <c r="K1799" s="5" t="s">
        <v>72</v>
      </c>
      <c r="L1799" s="11">
        <v>368</v>
      </c>
      <c r="M1799" s="11">
        <v>2001</v>
      </c>
      <c r="N1799" s="11">
        <v>2001</v>
      </c>
      <c r="O1799" s="15"/>
      <c r="P1799" s="9">
        <v>44192</v>
      </c>
      <c r="Q1799" s="9"/>
      <c r="R1799" s="9"/>
      <c r="S1799" s="9"/>
      <c r="T1799" s="9"/>
      <c r="U1799" s="9"/>
      <c r="V1799" s="9"/>
      <c r="W1799" s="9"/>
      <c r="X1799" s="9"/>
      <c r="Y1799" s="9"/>
      <c r="Z1799" s="9"/>
      <c r="AA1799" s="9"/>
      <c r="AB1799" s="9"/>
      <c r="AC1799" s="9"/>
      <c r="AD1799" s="9"/>
      <c r="AE1799" s="9"/>
      <c r="AF1799" s="9"/>
      <c r="AG1799" s="9"/>
      <c r="AH1799" s="9"/>
      <c r="AI1799" s="9"/>
      <c r="AJ1799" s="9"/>
      <c r="AK1799" s="9"/>
      <c r="AL1799" s="9"/>
      <c r="AM1799" s="9"/>
      <c r="AN1799" s="9"/>
      <c r="AO1799" s="9"/>
      <c r="AP1799" s="9"/>
      <c r="AQ1799" s="9"/>
      <c r="AR1799" s="9"/>
      <c r="AS1799" s="9"/>
      <c r="AT1799" s="9"/>
      <c r="AU1799" s="9"/>
      <c r="AV1799" s="9"/>
      <c r="AW1799" s="9"/>
      <c r="AX1799" s="4" t="s">
        <v>38</v>
      </c>
      <c r="AY1799" s="5" t="s">
        <v>7900</v>
      </c>
      <c r="AZ1799" s="5" t="s">
        <v>38</v>
      </c>
      <c r="BA1799" s="12"/>
      <c r="BB1799" s="12"/>
      <c r="BC1799" s="12"/>
      <c r="BD1799" s="11">
        <v>0</v>
      </c>
      <c r="BE1799" s="11">
        <v>0</v>
      </c>
    </row>
    <row x14ac:dyDescent="0.25" r="1800" customHeight="1" ht="17.25">
      <c r="A1800" s="11">
        <v>34524645</v>
      </c>
      <c r="B1800" s="4" t="s">
        <v>7901</v>
      </c>
      <c r="C1800" s="5" t="s">
        <v>7892</v>
      </c>
      <c r="D1800" s="5" t="s">
        <v>7893</v>
      </c>
      <c r="E1800" s="12"/>
      <c r="F1800" s="13">
        <f>"022651319X"</f>
      </c>
      <c r="G1800" s="13">
        <f>"9780226513195"</f>
      </c>
      <c r="H1800" s="11">
        <v>0</v>
      </c>
      <c r="I1800" s="14">
        <v>2.8</v>
      </c>
      <c r="J1800" s="7" t="s">
        <v>255</v>
      </c>
      <c r="K1800" s="5" t="s">
        <v>60</v>
      </c>
      <c r="L1800" s="11">
        <v>224</v>
      </c>
      <c r="M1800" s="11">
        <v>2018</v>
      </c>
      <c r="N1800" s="16"/>
      <c r="O1800" s="15"/>
      <c r="P1800" s="9">
        <v>44192</v>
      </c>
      <c r="Q1800" s="9"/>
      <c r="R1800" s="9"/>
      <c r="S1800" s="9"/>
      <c r="T1800" s="9"/>
      <c r="U1800" s="9"/>
      <c r="V1800" s="9"/>
      <c r="W1800" s="9"/>
      <c r="X1800" s="9"/>
      <c r="Y1800" s="9"/>
      <c r="Z1800" s="9"/>
      <c r="AA1800" s="9"/>
      <c r="AB1800" s="9"/>
      <c r="AC1800" s="9"/>
      <c r="AD1800" s="9"/>
      <c r="AE1800" s="9"/>
      <c r="AF1800" s="9"/>
      <c r="AG1800" s="9"/>
      <c r="AH1800" s="9"/>
      <c r="AI1800" s="9"/>
      <c r="AJ1800" s="9"/>
      <c r="AK1800" s="9"/>
      <c r="AL1800" s="9"/>
      <c r="AM1800" s="9"/>
      <c r="AN1800" s="9"/>
      <c r="AO1800" s="9"/>
      <c r="AP1800" s="9"/>
      <c r="AQ1800" s="9"/>
      <c r="AR1800" s="9"/>
      <c r="AS1800" s="9"/>
      <c r="AT1800" s="9"/>
      <c r="AU1800" s="9"/>
      <c r="AV1800" s="9"/>
      <c r="AW1800" s="9"/>
      <c r="AX1800" s="4" t="s">
        <v>38</v>
      </c>
      <c r="AY1800" s="5" t="s">
        <v>7902</v>
      </c>
      <c r="AZ1800" s="5" t="s">
        <v>38</v>
      </c>
      <c r="BA1800" s="12"/>
      <c r="BB1800" s="12"/>
      <c r="BC1800" s="12"/>
      <c r="BD1800" s="11">
        <v>0</v>
      </c>
      <c r="BE1800" s="11">
        <v>0</v>
      </c>
    </row>
    <row x14ac:dyDescent="0.25" r="1801" customHeight="1" ht="17.25">
      <c r="A1801" s="11">
        <v>17802165</v>
      </c>
      <c r="B1801" s="4" t="s">
        <v>7903</v>
      </c>
      <c r="C1801" s="5" t="s">
        <v>7904</v>
      </c>
      <c r="D1801" s="5" t="s">
        <v>7905</v>
      </c>
      <c r="E1801" s="12"/>
      <c r="F1801" s="13">
        <f>"082235568X"</f>
      </c>
      <c r="G1801" s="13">
        <f>"9780822355687"</f>
      </c>
      <c r="H1801" s="11">
        <v>0</v>
      </c>
      <c r="I1801" s="14">
        <v>3.04</v>
      </c>
      <c r="J1801" s="7" t="s">
        <v>926</v>
      </c>
      <c r="K1801" s="5" t="s">
        <v>60</v>
      </c>
      <c r="L1801" s="11">
        <v>232</v>
      </c>
      <c r="M1801" s="11">
        <v>2013</v>
      </c>
      <c r="N1801" s="11">
        <v>2013</v>
      </c>
      <c r="O1801" s="15"/>
      <c r="P1801" s="9">
        <v>44192</v>
      </c>
      <c r="Q1801" s="9"/>
      <c r="R1801" s="9"/>
      <c r="S1801" s="9"/>
      <c r="T1801" s="9"/>
      <c r="U1801" s="9"/>
      <c r="V1801" s="9"/>
      <c r="W1801" s="9"/>
      <c r="X1801" s="9"/>
      <c r="Y1801" s="9"/>
      <c r="Z1801" s="9"/>
      <c r="AA1801" s="9"/>
      <c r="AB1801" s="9"/>
      <c r="AC1801" s="9"/>
      <c r="AD1801" s="9"/>
      <c r="AE1801" s="9"/>
      <c r="AF1801" s="9"/>
      <c r="AG1801" s="9"/>
      <c r="AH1801" s="9"/>
      <c r="AI1801" s="9"/>
      <c r="AJ1801" s="9"/>
      <c r="AK1801" s="9"/>
      <c r="AL1801" s="9"/>
      <c r="AM1801" s="9"/>
      <c r="AN1801" s="9"/>
      <c r="AO1801" s="9"/>
      <c r="AP1801" s="9"/>
      <c r="AQ1801" s="9"/>
      <c r="AR1801" s="9"/>
      <c r="AS1801" s="9"/>
      <c r="AT1801" s="9"/>
      <c r="AU1801" s="9"/>
      <c r="AV1801" s="9"/>
      <c r="AW1801" s="9"/>
      <c r="AX1801" s="4" t="s">
        <v>38</v>
      </c>
      <c r="AY1801" s="5" t="s">
        <v>7906</v>
      </c>
      <c r="AZ1801" s="5" t="s">
        <v>38</v>
      </c>
      <c r="BA1801" s="12"/>
      <c r="BB1801" s="12"/>
      <c r="BC1801" s="12"/>
      <c r="BD1801" s="11">
        <v>0</v>
      </c>
      <c r="BE1801" s="11">
        <v>0</v>
      </c>
    </row>
    <row x14ac:dyDescent="0.25" r="1802" customHeight="1" ht="17.25">
      <c r="A1802" s="11">
        <v>40816560</v>
      </c>
      <c r="B1802" s="4" t="s">
        <v>7907</v>
      </c>
      <c r="C1802" s="5" t="s">
        <v>7904</v>
      </c>
      <c r="D1802" s="5" t="s">
        <v>7905</v>
      </c>
      <c r="E1802" s="12"/>
      <c r="F1802" s="13">
        <f>"022660795X"</f>
      </c>
      <c r="G1802" s="13">
        <f>"9780226607955"</f>
      </c>
      <c r="H1802" s="11">
        <v>0</v>
      </c>
      <c r="I1802" s="14">
        <v>3.43</v>
      </c>
      <c r="J1802" s="7" t="s">
        <v>255</v>
      </c>
      <c r="K1802" s="5" t="s">
        <v>60</v>
      </c>
      <c r="L1802" s="11">
        <v>256</v>
      </c>
      <c r="M1802" s="11">
        <v>2019</v>
      </c>
      <c r="N1802" s="16"/>
      <c r="O1802" s="15"/>
      <c r="P1802" s="9">
        <v>44192</v>
      </c>
      <c r="Q1802" s="9"/>
      <c r="R1802" s="9"/>
      <c r="S1802" s="9"/>
      <c r="T1802" s="9"/>
      <c r="U1802" s="9"/>
      <c r="V1802" s="9"/>
      <c r="W1802" s="9"/>
      <c r="X1802" s="9"/>
      <c r="Y1802" s="9"/>
      <c r="Z1802" s="9"/>
      <c r="AA1802" s="9"/>
      <c r="AB1802" s="9"/>
      <c r="AC1802" s="9"/>
      <c r="AD1802" s="9"/>
      <c r="AE1802" s="9"/>
      <c r="AF1802" s="9"/>
      <c r="AG1802" s="9"/>
      <c r="AH1802" s="9"/>
      <c r="AI1802" s="9"/>
      <c r="AJ1802" s="9"/>
      <c r="AK1802" s="9"/>
      <c r="AL1802" s="9"/>
      <c r="AM1802" s="9"/>
      <c r="AN1802" s="9"/>
      <c r="AO1802" s="9"/>
      <c r="AP1802" s="9"/>
      <c r="AQ1802" s="9"/>
      <c r="AR1802" s="9"/>
      <c r="AS1802" s="9"/>
      <c r="AT1802" s="9"/>
      <c r="AU1802" s="9"/>
      <c r="AV1802" s="9"/>
      <c r="AW1802" s="9"/>
      <c r="AX1802" s="4" t="s">
        <v>38</v>
      </c>
      <c r="AY1802" s="5" t="s">
        <v>7908</v>
      </c>
      <c r="AZ1802" s="5" t="s">
        <v>38</v>
      </c>
      <c r="BA1802" s="12"/>
      <c r="BB1802" s="12"/>
      <c r="BC1802" s="12"/>
      <c r="BD1802" s="11">
        <v>0</v>
      </c>
      <c r="BE1802" s="11">
        <v>0</v>
      </c>
    </row>
    <row x14ac:dyDescent="0.25" r="1803" customHeight="1" ht="17.25">
      <c r="A1803" s="11">
        <v>31939307</v>
      </c>
      <c r="B1803" s="4" t="s">
        <v>7909</v>
      </c>
      <c r="C1803" s="5" t="s">
        <v>7910</v>
      </c>
      <c r="D1803" s="5" t="s">
        <v>7911</v>
      </c>
      <c r="E1803" s="12"/>
      <c r="F1803" s="13">
        <f>"022645780X"</f>
      </c>
      <c r="G1803" s="13">
        <f>"9780226457802"</f>
      </c>
      <c r="H1803" s="11">
        <v>0</v>
      </c>
      <c r="I1803" s="14">
        <v>3.95</v>
      </c>
      <c r="J1803" s="7" t="s">
        <v>255</v>
      </c>
      <c r="K1803" s="5" t="s">
        <v>60</v>
      </c>
      <c r="L1803" s="11">
        <v>224</v>
      </c>
      <c r="M1803" s="11">
        <v>2017</v>
      </c>
      <c r="N1803" s="11">
        <v>2017</v>
      </c>
      <c r="O1803" s="15"/>
      <c r="P1803" s="9">
        <v>44192</v>
      </c>
      <c r="Q1803" s="9"/>
      <c r="R1803" s="9"/>
      <c r="S1803" s="9"/>
      <c r="T1803" s="9"/>
      <c r="U1803" s="9"/>
      <c r="V1803" s="9"/>
      <c r="W1803" s="9"/>
      <c r="X1803" s="9"/>
      <c r="Y1803" s="9"/>
      <c r="Z1803" s="9"/>
      <c r="AA1803" s="9"/>
      <c r="AB1803" s="9"/>
      <c r="AC1803" s="9"/>
      <c r="AD1803" s="9"/>
      <c r="AE1803" s="9"/>
      <c r="AF1803" s="9"/>
      <c r="AG1803" s="9"/>
      <c r="AH1803" s="9"/>
      <c r="AI1803" s="9"/>
      <c r="AJ1803" s="9"/>
      <c r="AK1803" s="9"/>
      <c r="AL1803" s="9"/>
      <c r="AM1803" s="9"/>
      <c r="AN1803" s="9"/>
      <c r="AO1803" s="9"/>
      <c r="AP1803" s="9"/>
      <c r="AQ1803" s="9"/>
      <c r="AR1803" s="9"/>
      <c r="AS1803" s="9"/>
      <c r="AT1803" s="9"/>
      <c r="AU1803" s="9"/>
      <c r="AV1803" s="9"/>
      <c r="AW1803" s="9"/>
      <c r="AX1803" s="4" t="s">
        <v>38</v>
      </c>
      <c r="AY1803" s="5" t="s">
        <v>7912</v>
      </c>
      <c r="AZ1803" s="5" t="s">
        <v>38</v>
      </c>
      <c r="BA1803" s="12"/>
      <c r="BB1803" s="12"/>
      <c r="BC1803" s="12"/>
      <c r="BD1803" s="11">
        <v>0</v>
      </c>
      <c r="BE1803" s="11">
        <v>0</v>
      </c>
    </row>
    <row x14ac:dyDescent="0.25" r="1804" customHeight="1" ht="17.25">
      <c r="A1804" s="11">
        <v>39105360</v>
      </c>
      <c r="B1804" s="4" t="s">
        <v>7913</v>
      </c>
      <c r="C1804" s="5" t="s">
        <v>811</v>
      </c>
      <c r="D1804" s="5" t="s">
        <v>812</v>
      </c>
      <c r="E1804" s="12"/>
      <c r="F1804" s="13">
        <f>"022657976X"</f>
      </c>
      <c r="G1804" s="13">
        <f>"9780226579764"</f>
      </c>
      <c r="H1804" s="11">
        <v>0</v>
      </c>
      <c r="I1804" s="14">
        <v>3.79</v>
      </c>
      <c r="J1804" s="7" t="s">
        <v>255</v>
      </c>
      <c r="K1804" s="5" t="s">
        <v>60</v>
      </c>
      <c r="L1804" s="11">
        <v>144</v>
      </c>
      <c r="M1804" s="11">
        <v>2018</v>
      </c>
      <c r="N1804" s="16"/>
      <c r="O1804" s="15"/>
      <c r="P1804" s="9">
        <v>44192</v>
      </c>
      <c r="Q1804" s="9"/>
      <c r="R1804" s="9"/>
      <c r="S1804" s="9"/>
      <c r="T1804" s="9"/>
      <c r="U1804" s="9"/>
      <c r="V1804" s="9"/>
      <c r="W1804" s="9"/>
      <c r="X1804" s="9"/>
      <c r="Y1804" s="9"/>
      <c r="Z1804" s="9"/>
      <c r="AA1804" s="9"/>
      <c r="AB1804" s="9"/>
      <c r="AC1804" s="9"/>
      <c r="AD1804" s="9"/>
      <c r="AE1804" s="9"/>
      <c r="AF1804" s="9"/>
      <c r="AG1804" s="9"/>
      <c r="AH1804" s="9"/>
      <c r="AI1804" s="9"/>
      <c r="AJ1804" s="9"/>
      <c r="AK1804" s="9"/>
      <c r="AL1804" s="9"/>
      <c r="AM1804" s="9"/>
      <c r="AN1804" s="9"/>
      <c r="AO1804" s="9"/>
      <c r="AP1804" s="9"/>
      <c r="AQ1804" s="9"/>
      <c r="AR1804" s="9"/>
      <c r="AS1804" s="9"/>
      <c r="AT1804" s="9"/>
      <c r="AU1804" s="9"/>
      <c r="AV1804" s="9"/>
      <c r="AW1804" s="9"/>
      <c r="AX1804" s="4" t="s">
        <v>38</v>
      </c>
      <c r="AY1804" s="5" t="s">
        <v>7914</v>
      </c>
      <c r="AZ1804" s="5" t="s">
        <v>38</v>
      </c>
      <c r="BA1804" s="12"/>
      <c r="BB1804" s="12"/>
      <c r="BC1804" s="12"/>
      <c r="BD1804" s="11">
        <v>0</v>
      </c>
      <c r="BE1804" s="11">
        <v>0</v>
      </c>
    </row>
    <row x14ac:dyDescent="0.25" r="1805" customHeight="1" ht="17.25">
      <c r="A1805" s="11">
        <v>156185</v>
      </c>
      <c r="B1805" s="4" t="s">
        <v>7915</v>
      </c>
      <c r="C1805" s="5" t="s">
        <v>5279</v>
      </c>
      <c r="D1805" s="5" t="s">
        <v>5280</v>
      </c>
      <c r="E1805" s="12"/>
      <c r="F1805" s="13">
        <f>"0879232374"</f>
      </c>
      <c r="G1805" s="13">
        <f>"9780879232375"</f>
      </c>
      <c r="H1805" s="11">
        <v>0</v>
      </c>
      <c r="I1805" s="14">
        <v>3.87</v>
      </c>
      <c r="J1805" s="7" t="s">
        <v>7916</v>
      </c>
      <c r="K1805" s="5" t="s">
        <v>60</v>
      </c>
      <c r="L1805" s="11">
        <v>91</v>
      </c>
      <c r="M1805" s="11">
        <v>1991</v>
      </c>
      <c r="N1805" s="11">
        <v>1975</v>
      </c>
      <c r="O1805" s="15"/>
      <c r="P1805" s="9">
        <v>44192</v>
      </c>
      <c r="Q1805" s="9"/>
      <c r="R1805" s="9"/>
      <c r="S1805" s="9"/>
      <c r="T1805" s="9"/>
      <c r="U1805" s="9"/>
      <c r="V1805" s="9"/>
      <c r="W1805" s="9"/>
      <c r="X1805" s="9"/>
      <c r="Y1805" s="9"/>
      <c r="Z1805" s="9"/>
      <c r="AA1805" s="9"/>
      <c r="AB1805" s="9"/>
      <c r="AC1805" s="9"/>
      <c r="AD1805" s="9"/>
      <c r="AE1805" s="9"/>
      <c r="AF1805" s="9"/>
      <c r="AG1805" s="9"/>
      <c r="AH1805" s="9"/>
      <c r="AI1805" s="9"/>
      <c r="AJ1805" s="9"/>
      <c r="AK1805" s="9"/>
      <c r="AL1805" s="9"/>
      <c r="AM1805" s="9"/>
      <c r="AN1805" s="9"/>
      <c r="AO1805" s="9"/>
      <c r="AP1805" s="9"/>
      <c r="AQ1805" s="9"/>
      <c r="AR1805" s="9"/>
      <c r="AS1805" s="9"/>
      <c r="AT1805" s="9"/>
      <c r="AU1805" s="9"/>
      <c r="AV1805" s="9"/>
      <c r="AW1805" s="9"/>
      <c r="AX1805" s="4" t="s">
        <v>38</v>
      </c>
      <c r="AY1805" s="5" t="s">
        <v>7917</v>
      </c>
      <c r="AZ1805" s="5" t="s">
        <v>38</v>
      </c>
      <c r="BA1805" s="12"/>
      <c r="BB1805" s="12"/>
      <c r="BC1805" s="12"/>
      <c r="BD1805" s="11">
        <v>0</v>
      </c>
      <c r="BE1805" s="11">
        <v>0</v>
      </c>
    </row>
    <row x14ac:dyDescent="0.25" r="1806" customHeight="1" ht="17.25">
      <c r="A1806" s="11">
        <v>18528045</v>
      </c>
      <c r="B1806" s="4" t="s">
        <v>7918</v>
      </c>
      <c r="C1806" s="5" t="s">
        <v>7919</v>
      </c>
      <c r="D1806" s="5" t="s">
        <v>7920</v>
      </c>
      <c r="E1806" s="5" t="s">
        <v>7921</v>
      </c>
      <c r="F1806" s="13">
        <f>"160846363X"</f>
      </c>
      <c r="G1806" s="13">
        <f>"9781608463633"</f>
      </c>
      <c r="H1806" s="11">
        <v>0</v>
      </c>
      <c r="I1806" s="14">
        <v>4.05</v>
      </c>
      <c r="J1806" s="7" t="s">
        <v>2245</v>
      </c>
      <c r="K1806" s="5" t="s">
        <v>60</v>
      </c>
      <c r="L1806" s="11">
        <v>168</v>
      </c>
      <c r="M1806" s="11">
        <v>2014</v>
      </c>
      <c r="N1806" s="11">
        <v>2003</v>
      </c>
      <c r="O1806" s="15"/>
      <c r="P1806" s="9">
        <v>44190</v>
      </c>
      <c r="Q1806" s="9"/>
      <c r="R1806" s="9"/>
      <c r="S1806" s="9"/>
      <c r="T1806" s="9"/>
      <c r="U1806" s="9"/>
      <c r="V1806" s="9"/>
      <c r="W1806" s="9"/>
      <c r="X1806" s="9"/>
      <c r="Y1806" s="9"/>
      <c r="Z1806" s="9"/>
      <c r="AA1806" s="9"/>
      <c r="AB1806" s="9"/>
      <c r="AC1806" s="9"/>
      <c r="AD1806" s="9"/>
      <c r="AE1806" s="9"/>
      <c r="AF1806" s="9"/>
      <c r="AG1806" s="9"/>
      <c r="AH1806" s="9"/>
      <c r="AI1806" s="9"/>
      <c r="AJ1806" s="9"/>
      <c r="AK1806" s="9"/>
      <c r="AL1806" s="9"/>
      <c r="AM1806" s="9"/>
      <c r="AN1806" s="9"/>
      <c r="AO1806" s="9"/>
      <c r="AP1806" s="9"/>
      <c r="AQ1806" s="9"/>
      <c r="AR1806" s="9"/>
      <c r="AS1806" s="9"/>
      <c r="AT1806" s="9"/>
      <c r="AU1806" s="9"/>
      <c r="AV1806" s="9"/>
      <c r="AW1806" s="9"/>
      <c r="AX1806" s="4" t="s">
        <v>38</v>
      </c>
      <c r="AY1806" s="5" t="s">
        <v>7922</v>
      </c>
      <c r="AZ1806" s="5" t="s">
        <v>38</v>
      </c>
      <c r="BA1806" s="12"/>
      <c r="BB1806" s="12"/>
      <c r="BC1806" s="12"/>
      <c r="BD1806" s="11">
        <v>0</v>
      </c>
      <c r="BE1806" s="11">
        <v>0</v>
      </c>
    </row>
    <row x14ac:dyDescent="0.25" r="1807" customHeight="1" ht="17.25">
      <c r="A1807" s="11">
        <v>137424</v>
      </c>
      <c r="B1807" s="4" t="s">
        <v>7923</v>
      </c>
      <c r="C1807" s="5" t="s">
        <v>7924</v>
      </c>
      <c r="D1807" s="5" t="s">
        <v>7925</v>
      </c>
      <c r="E1807" s="5" t="s">
        <v>7926</v>
      </c>
      <c r="F1807" s="13">
        <f>"0745321003"</f>
      </c>
      <c r="G1807" s="13">
        <f>"9780745321004"</f>
      </c>
      <c r="H1807" s="11">
        <v>0</v>
      </c>
      <c r="I1807" s="14">
        <v>4.36</v>
      </c>
      <c r="J1807" s="7" t="s">
        <v>872</v>
      </c>
      <c r="K1807" s="5" t="s">
        <v>60</v>
      </c>
      <c r="L1807" s="11">
        <v>472</v>
      </c>
      <c r="M1807" s="11">
        <v>2003</v>
      </c>
      <c r="N1807" s="11">
        <v>1971</v>
      </c>
      <c r="O1807" s="15"/>
      <c r="P1807" s="9">
        <v>44190</v>
      </c>
      <c r="Q1807" s="9"/>
      <c r="R1807" s="9"/>
      <c r="S1807" s="9"/>
      <c r="T1807" s="9"/>
      <c r="U1807" s="9"/>
      <c r="V1807" s="9"/>
      <c r="W1807" s="9"/>
      <c r="X1807" s="9"/>
      <c r="Y1807" s="9"/>
      <c r="Z1807" s="9"/>
      <c r="AA1807" s="9"/>
      <c r="AB1807" s="9"/>
      <c r="AC1807" s="9"/>
      <c r="AD1807" s="9"/>
      <c r="AE1807" s="9"/>
      <c r="AF1807" s="9"/>
      <c r="AG1807" s="9"/>
      <c r="AH1807" s="9"/>
      <c r="AI1807" s="9"/>
      <c r="AJ1807" s="9"/>
      <c r="AK1807" s="9"/>
      <c r="AL1807" s="9"/>
      <c r="AM1807" s="9"/>
      <c r="AN1807" s="9"/>
      <c r="AO1807" s="9"/>
      <c r="AP1807" s="9"/>
      <c r="AQ1807" s="9"/>
      <c r="AR1807" s="9"/>
      <c r="AS1807" s="9"/>
      <c r="AT1807" s="9"/>
      <c r="AU1807" s="9"/>
      <c r="AV1807" s="9"/>
      <c r="AW1807" s="9"/>
      <c r="AX1807" s="4" t="s">
        <v>38</v>
      </c>
      <c r="AY1807" s="5" t="s">
        <v>7927</v>
      </c>
      <c r="AZ1807" s="5" t="s">
        <v>38</v>
      </c>
      <c r="BA1807" s="12"/>
      <c r="BB1807" s="12"/>
      <c r="BC1807" s="12"/>
      <c r="BD1807" s="11">
        <v>0</v>
      </c>
      <c r="BE1807" s="11">
        <v>0</v>
      </c>
    </row>
    <row x14ac:dyDescent="0.25" r="1808" customHeight="1" ht="17.25">
      <c r="A1808" s="11">
        <v>29633761</v>
      </c>
      <c r="B1808" s="4" t="s">
        <v>7928</v>
      </c>
      <c r="C1808" s="5" t="s">
        <v>7929</v>
      </c>
      <c r="D1808" s="5" t="s">
        <v>7930</v>
      </c>
      <c r="E1808" s="12"/>
      <c r="F1808" s="13">
        <f>"1608466825"</f>
      </c>
      <c r="G1808" s="13">
        <f>"9781608466825"</f>
      </c>
      <c r="H1808" s="11">
        <v>0</v>
      </c>
      <c r="I1808" s="14">
        <v>3.83</v>
      </c>
      <c r="J1808" s="7" t="s">
        <v>2245</v>
      </c>
      <c r="K1808" s="5" t="s">
        <v>60</v>
      </c>
      <c r="L1808" s="11">
        <v>400</v>
      </c>
      <c r="M1808" s="11">
        <v>2017</v>
      </c>
      <c r="N1808" s="16"/>
      <c r="O1808" s="15"/>
      <c r="P1808" s="9">
        <v>44190</v>
      </c>
      <c r="Q1808" s="9"/>
      <c r="R1808" s="9"/>
      <c r="S1808" s="9"/>
      <c r="T1808" s="9"/>
      <c r="U1808" s="9"/>
      <c r="V1808" s="9"/>
      <c r="W1808" s="9"/>
      <c r="X1808" s="9"/>
      <c r="Y1808" s="9"/>
      <c r="Z1808" s="9"/>
      <c r="AA1808" s="9"/>
      <c r="AB1808" s="9"/>
      <c r="AC1808" s="9"/>
      <c r="AD1808" s="9"/>
      <c r="AE1808" s="9"/>
      <c r="AF1808" s="9"/>
      <c r="AG1808" s="9"/>
      <c r="AH1808" s="9"/>
      <c r="AI1808" s="9"/>
      <c r="AJ1808" s="9"/>
      <c r="AK1808" s="9"/>
      <c r="AL1808" s="9"/>
      <c r="AM1808" s="9"/>
      <c r="AN1808" s="9"/>
      <c r="AO1808" s="9"/>
      <c r="AP1808" s="9"/>
      <c r="AQ1808" s="9"/>
      <c r="AR1808" s="9"/>
      <c r="AS1808" s="9"/>
      <c r="AT1808" s="9"/>
      <c r="AU1808" s="9"/>
      <c r="AV1808" s="9"/>
      <c r="AW1808" s="9"/>
      <c r="AX1808" s="4" t="s">
        <v>38</v>
      </c>
      <c r="AY1808" s="5" t="s">
        <v>7931</v>
      </c>
      <c r="AZ1808" s="5" t="s">
        <v>38</v>
      </c>
      <c r="BA1808" s="12"/>
      <c r="BB1808" s="12"/>
      <c r="BC1808" s="12"/>
      <c r="BD1808" s="11">
        <v>0</v>
      </c>
      <c r="BE1808" s="11">
        <v>0</v>
      </c>
    </row>
    <row x14ac:dyDescent="0.25" r="1809" customHeight="1" ht="17.25">
      <c r="A1809" s="11">
        <v>31545354</v>
      </c>
      <c r="B1809" s="4" t="s">
        <v>7932</v>
      </c>
      <c r="C1809" s="5" t="s">
        <v>7933</v>
      </c>
      <c r="D1809" s="5" t="s">
        <v>7934</v>
      </c>
      <c r="E1809" s="5" t="s">
        <v>7935</v>
      </c>
      <c r="F1809" s="13">
        <f>"1681370786"</f>
      </c>
      <c r="G1809" s="13">
        <f>"9781681370781"</f>
      </c>
      <c r="H1809" s="11">
        <v>0</v>
      </c>
      <c r="I1809" s="14">
        <v>3.81</v>
      </c>
      <c r="J1809" s="7" t="s">
        <v>701</v>
      </c>
      <c r="K1809" s="5" t="s">
        <v>60</v>
      </c>
      <c r="L1809" s="11">
        <v>324</v>
      </c>
      <c r="M1809" s="11">
        <v>2017</v>
      </c>
      <c r="N1809" s="11">
        <v>1976</v>
      </c>
      <c r="O1809" s="15"/>
      <c r="P1809" s="9">
        <v>44181</v>
      </c>
      <c r="Q1809" s="9"/>
      <c r="R1809" s="9"/>
      <c r="S1809" s="9"/>
      <c r="T1809" s="9"/>
      <c r="U1809" s="9"/>
      <c r="V1809" s="9"/>
      <c r="W1809" s="9"/>
      <c r="X1809" s="9"/>
      <c r="Y1809" s="9"/>
      <c r="Z1809" s="9"/>
      <c r="AA1809" s="9"/>
      <c r="AB1809" s="9"/>
      <c r="AC1809" s="9"/>
      <c r="AD1809" s="9"/>
      <c r="AE1809" s="9"/>
      <c r="AF1809" s="9"/>
      <c r="AG1809" s="9"/>
      <c r="AH1809" s="9"/>
      <c r="AI1809" s="9"/>
      <c r="AJ1809" s="9"/>
      <c r="AK1809" s="9"/>
      <c r="AL1809" s="9"/>
      <c r="AM1809" s="9"/>
      <c r="AN1809" s="9"/>
      <c r="AO1809" s="9"/>
      <c r="AP1809" s="9"/>
      <c r="AQ1809" s="9"/>
      <c r="AR1809" s="9"/>
      <c r="AS1809" s="9"/>
      <c r="AT1809" s="9"/>
      <c r="AU1809" s="9"/>
      <c r="AV1809" s="9"/>
      <c r="AW1809" s="9"/>
      <c r="AX1809" s="4" t="s">
        <v>38</v>
      </c>
      <c r="AY1809" s="5" t="s">
        <v>7936</v>
      </c>
      <c r="AZ1809" s="5" t="s">
        <v>38</v>
      </c>
      <c r="BA1809" s="12"/>
      <c r="BB1809" s="12"/>
      <c r="BC1809" s="12"/>
      <c r="BD1809" s="11">
        <v>0</v>
      </c>
      <c r="BE1809" s="11">
        <v>0</v>
      </c>
    </row>
    <row x14ac:dyDescent="0.25" r="1810" customHeight="1" ht="17.25">
      <c r="A1810" s="11">
        <v>9706031</v>
      </c>
      <c r="B1810" s="4" t="s">
        <v>7937</v>
      </c>
      <c r="C1810" s="5" t="s">
        <v>7933</v>
      </c>
      <c r="D1810" s="5" t="s">
        <v>7934</v>
      </c>
      <c r="E1810" s="12"/>
      <c r="F1810" s="13">
        <f>"8845906337"</f>
      </c>
      <c r="G1810" s="13">
        <f>"9788845906336"</f>
      </c>
      <c r="H1810" s="11">
        <v>0</v>
      </c>
      <c r="I1810" s="14">
        <v>3.83</v>
      </c>
      <c r="J1810" s="7" t="s">
        <v>7938</v>
      </c>
      <c r="K1810" s="5" t="s">
        <v>60</v>
      </c>
      <c r="L1810" s="11">
        <v>154</v>
      </c>
      <c r="M1810" s="11">
        <v>1985</v>
      </c>
      <c r="N1810" s="11">
        <v>1977</v>
      </c>
      <c r="O1810" s="15"/>
      <c r="P1810" s="9">
        <v>44181</v>
      </c>
      <c r="Q1810" s="9"/>
      <c r="R1810" s="9"/>
      <c r="S1810" s="9"/>
      <c r="T1810" s="9"/>
      <c r="U1810" s="9"/>
      <c r="V1810" s="9"/>
      <c r="W1810" s="9"/>
      <c r="X1810" s="9"/>
      <c r="Y1810" s="9"/>
      <c r="Z1810" s="9"/>
      <c r="AA1810" s="9"/>
      <c r="AB1810" s="9"/>
      <c r="AC1810" s="9"/>
      <c r="AD1810" s="9"/>
      <c r="AE1810" s="9"/>
      <c r="AF1810" s="9"/>
      <c r="AG1810" s="9"/>
      <c r="AH1810" s="9"/>
      <c r="AI1810" s="9"/>
      <c r="AJ1810" s="9"/>
      <c r="AK1810" s="9"/>
      <c r="AL1810" s="9"/>
      <c r="AM1810" s="9"/>
      <c r="AN1810" s="9"/>
      <c r="AO1810" s="9"/>
      <c r="AP1810" s="9"/>
      <c r="AQ1810" s="9"/>
      <c r="AR1810" s="9"/>
      <c r="AS1810" s="9"/>
      <c r="AT1810" s="9"/>
      <c r="AU1810" s="9"/>
      <c r="AV1810" s="9"/>
      <c r="AW1810" s="9"/>
      <c r="AX1810" s="4" t="s">
        <v>38</v>
      </c>
      <c r="AY1810" s="5" t="s">
        <v>7939</v>
      </c>
      <c r="AZ1810" s="5" t="s">
        <v>38</v>
      </c>
      <c r="BA1810" s="12"/>
      <c r="BB1810" s="12"/>
      <c r="BC1810" s="12"/>
      <c r="BD1810" s="11">
        <v>0</v>
      </c>
      <c r="BE1810" s="11">
        <v>0</v>
      </c>
    </row>
    <row x14ac:dyDescent="0.25" r="1811" customHeight="1" ht="17.25">
      <c r="A1811" s="11">
        <v>52753017</v>
      </c>
      <c r="B1811" s="4" t="s">
        <v>7940</v>
      </c>
      <c r="C1811" s="5" t="s">
        <v>7764</v>
      </c>
      <c r="D1811" s="5" t="s">
        <v>7765</v>
      </c>
      <c r="E1811" s="12"/>
      <c r="F1811" s="13">
        <f>"1913097013"</f>
      </c>
      <c r="G1811" s="13">
        <f>"9781913097011"</f>
      </c>
      <c r="H1811" s="11">
        <v>0</v>
      </c>
      <c r="I1811" s="14">
        <v>3.92</v>
      </c>
      <c r="J1811" s="7" t="s">
        <v>169</v>
      </c>
      <c r="K1811" s="5" t="s">
        <v>60</v>
      </c>
      <c r="L1811" s="11">
        <v>192</v>
      </c>
      <c r="M1811" s="11">
        <v>2020</v>
      </c>
      <c r="N1811" s="11">
        <v>2020</v>
      </c>
      <c r="O1811" s="15"/>
      <c r="P1811" s="9">
        <v>44181</v>
      </c>
      <c r="Q1811" s="9"/>
      <c r="R1811" s="9"/>
      <c r="S1811" s="9"/>
      <c r="T1811" s="9"/>
      <c r="U1811" s="9"/>
      <c r="V1811" s="9"/>
      <c r="W1811" s="9"/>
      <c r="X1811" s="9"/>
      <c r="Y1811" s="9"/>
      <c r="Z1811" s="9"/>
      <c r="AA1811" s="9"/>
      <c r="AB1811" s="9"/>
      <c r="AC1811" s="9"/>
      <c r="AD1811" s="9"/>
      <c r="AE1811" s="9"/>
      <c r="AF1811" s="9"/>
      <c r="AG1811" s="9"/>
      <c r="AH1811" s="9"/>
      <c r="AI1811" s="9"/>
      <c r="AJ1811" s="9"/>
      <c r="AK1811" s="9"/>
      <c r="AL1811" s="9"/>
      <c r="AM1811" s="9"/>
      <c r="AN1811" s="9"/>
      <c r="AO1811" s="9"/>
      <c r="AP1811" s="9"/>
      <c r="AQ1811" s="9"/>
      <c r="AR1811" s="9"/>
      <c r="AS1811" s="9"/>
      <c r="AT1811" s="9"/>
      <c r="AU1811" s="9"/>
      <c r="AV1811" s="9"/>
      <c r="AW1811" s="9"/>
      <c r="AX1811" s="4" t="s">
        <v>38</v>
      </c>
      <c r="AY1811" s="5" t="s">
        <v>7941</v>
      </c>
      <c r="AZ1811" s="5" t="s">
        <v>38</v>
      </c>
      <c r="BA1811" s="12"/>
      <c r="BB1811" s="12"/>
      <c r="BC1811" s="12"/>
      <c r="BD1811" s="11">
        <v>0</v>
      </c>
      <c r="BE1811" s="11">
        <v>0</v>
      </c>
    </row>
    <row x14ac:dyDescent="0.25" r="1812" customHeight="1" ht="17.25">
      <c r="A1812" s="11">
        <v>53010183</v>
      </c>
      <c r="B1812" s="4" t="s">
        <v>7942</v>
      </c>
      <c r="C1812" s="5" t="s">
        <v>7943</v>
      </c>
      <c r="D1812" s="5" t="s">
        <v>7944</v>
      </c>
      <c r="E1812" s="12"/>
      <c r="F1812" s="13">
        <f>""</f>
      </c>
      <c r="G1812" s="13">
        <f>""</f>
      </c>
      <c r="H1812" s="11">
        <v>0</v>
      </c>
      <c r="I1812" s="14">
        <v>3.24</v>
      </c>
      <c r="J1812" s="7" t="s">
        <v>4035</v>
      </c>
      <c r="K1812" s="5" t="s">
        <v>60</v>
      </c>
      <c r="L1812" s="11">
        <v>256</v>
      </c>
      <c r="M1812" s="11">
        <v>2020</v>
      </c>
      <c r="N1812" s="11">
        <v>2020</v>
      </c>
      <c r="O1812" s="15"/>
      <c r="P1812" s="9">
        <v>44181</v>
      </c>
      <c r="Q1812" s="9"/>
      <c r="R1812" s="9"/>
      <c r="S1812" s="9"/>
      <c r="T1812" s="9"/>
      <c r="U1812" s="9"/>
      <c r="V1812" s="9"/>
      <c r="W1812" s="9"/>
      <c r="X1812" s="9"/>
      <c r="Y1812" s="9"/>
      <c r="Z1812" s="9"/>
      <c r="AA1812" s="9"/>
      <c r="AB1812" s="9"/>
      <c r="AC1812" s="9"/>
      <c r="AD1812" s="9"/>
      <c r="AE1812" s="9"/>
      <c r="AF1812" s="9"/>
      <c r="AG1812" s="9"/>
      <c r="AH1812" s="9"/>
      <c r="AI1812" s="9"/>
      <c r="AJ1812" s="9"/>
      <c r="AK1812" s="9"/>
      <c r="AL1812" s="9"/>
      <c r="AM1812" s="9"/>
      <c r="AN1812" s="9"/>
      <c r="AO1812" s="9"/>
      <c r="AP1812" s="9"/>
      <c r="AQ1812" s="9"/>
      <c r="AR1812" s="9"/>
      <c r="AS1812" s="9"/>
      <c r="AT1812" s="9"/>
      <c r="AU1812" s="9"/>
      <c r="AV1812" s="9"/>
      <c r="AW1812" s="9"/>
      <c r="AX1812" s="4" t="s">
        <v>38</v>
      </c>
      <c r="AY1812" s="5" t="s">
        <v>7945</v>
      </c>
      <c r="AZ1812" s="5" t="s">
        <v>38</v>
      </c>
      <c r="BA1812" s="12"/>
      <c r="BB1812" s="12"/>
      <c r="BC1812" s="12"/>
      <c r="BD1812" s="11">
        <v>0</v>
      </c>
      <c r="BE1812" s="11">
        <v>0</v>
      </c>
    </row>
    <row x14ac:dyDescent="0.25" r="1813" customHeight="1" ht="17.25">
      <c r="A1813" s="11">
        <v>43261017</v>
      </c>
      <c r="B1813" s="4" t="s">
        <v>7946</v>
      </c>
      <c r="C1813" s="5" t="s">
        <v>7947</v>
      </c>
      <c r="D1813" s="5" t="s">
        <v>7948</v>
      </c>
      <c r="E1813" s="12"/>
      <c r="F1813" s="13">
        <f>"1328465802"</f>
      </c>
      <c r="G1813" s="13">
        <f>"9781328465801"</f>
      </c>
      <c r="H1813" s="11">
        <v>3</v>
      </c>
      <c r="I1813" s="14">
        <v>3.89</v>
      </c>
      <c r="J1813" s="7" t="s">
        <v>3118</v>
      </c>
      <c r="K1813" s="5" t="s">
        <v>60</v>
      </c>
      <c r="L1813" s="11">
        <v>256</v>
      </c>
      <c r="M1813" s="11">
        <v>2019</v>
      </c>
      <c r="N1813" s="11">
        <v>2019</v>
      </c>
      <c r="O1813" s="9">
        <v>44175</v>
      </c>
      <c r="P1813" s="8">
        <v>43919</v>
      </c>
      <c r="Q1813" s="8"/>
      <c r="R1813" s="8"/>
      <c r="S1813" s="8"/>
      <c r="T1813" s="8"/>
      <c r="U1813" s="8"/>
      <c r="V1813" s="8"/>
      <c r="W1813" s="8"/>
      <c r="X1813" s="8"/>
      <c r="Y1813" s="8"/>
      <c r="Z1813" s="8"/>
      <c r="AA1813" s="8"/>
      <c r="AB1813" s="8"/>
      <c r="AC1813" s="8"/>
      <c r="AD1813" s="8"/>
      <c r="AE1813" s="8"/>
      <c r="AF1813" s="8"/>
      <c r="AG1813" s="8"/>
      <c r="AH1813" s="8"/>
      <c r="AI1813" s="8"/>
      <c r="AJ1813" s="8"/>
      <c r="AK1813" s="8"/>
      <c r="AL1813" s="8"/>
      <c r="AM1813" s="8"/>
      <c r="AN1813" s="8"/>
      <c r="AO1813" s="8"/>
      <c r="AP1813" s="8"/>
      <c r="AQ1813" s="8"/>
      <c r="AR1813" s="8"/>
      <c r="AS1813" s="8"/>
      <c r="AT1813" s="8"/>
      <c r="AU1813" s="8"/>
      <c r="AV1813" s="8"/>
      <c r="AW1813" s="8"/>
      <c r="AX1813" s="16"/>
      <c r="AY1813" s="12"/>
      <c r="AZ1813" s="5" t="s">
        <v>158</v>
      </c>
      <c r="BA1813" s="12"/>
      <c r="BB1813" s="12"/>
      <c r="BC1813" s="12"/>
      <c r="BD1813" s="11">
        <v>1</v>
      </c>
      <c r="BE1813" s="11">
        <v>0</v>
      </c>
    </row>
    <row x14ac:dyDescent="0.25" r="1814" customHeight="1" ht="17.25">
      <c r="A1814" s="11">
        <v>10505</v>
      </c>
      <c r="B1814" s="4" t="s">
        <v>7949</v>
      </c>
      <c r="C1814" s="5" t="s">
        <v>3076</v>
      </c>
      <c r="D1814" s="5" t="s">
        <v>3077</v>
      </c>
      <c r="E1814" s="5" t="s">
        <v>3117</v>
      </c>
      <c r="F1814" s="13">
        <f>"0847826465"</f>
      </c>
      <c r="G1814" s="13">
        <f>"9780847826469"</f>
      </c>
      <c r="H1814" s="11">
        <v>0</v>
      </c>
      <c r="I1814" s="14">
        <v>3.83</v>
      </c>
      <c r="J1814" s="7" t="s">
        <v>5117</v>
      </c>
      <c r="K1814" s="5" t="s">
        <v>60</v>
      </c>
      <c r="L1814" s="11">
        <v>438</v>
      </c>
      <c r="M1814" s="11">
        <v>2004</v>
      </c>
      <c r="N1814" s="11">
        <v>2004</v>
      </c>
      <c r="O1814" s="15"/>
      <c r="P1814" s="8">
        <v>44168</v>
      </c>
      <c r="Q1814" s="8"/>
      <c r="R1814" s="8"/>
      <c r="S1814" s="8"/>
      <c r="T1814" s="8"/>
      <c r="U1814" s="8"/>
      <c r="V1814" s="8"/>
      <c r="W1814" s="8"/>
      <c r="X1814" s="8"/>
      <c r="Y1814" s="8"/>
      <c r="Z1814" s="8"/>
      <c r="AA1814" s="8"/>
      <c r="AB1814" s="8"/>
      <c r="AC1814" s="8"/>
      <c r="AD1814" s="8"/>
      <c r="AE1814" s="8"/>
      <c r="AF1814" s="8"/>
      <c r="AG1814" s="8"/>
      <c r="AH1814" s="8"/>
      <c r="AI1814" s="8"/>
      <c r="AJ1814" s="8"/>
      <c r="AK1814" s="8"/>
      <c r="AL1814" s="8"/>
      <c r="AM1814" s="8"/>
      <c r="AN1814" s="8"/>
      <c r="AO1814" s="8"/>
      <c r="AP1814" s="8"/>
      <c r="AQ1814" s="8"/>
      <c r="AR1814" s="8"/>
      <c r="AS1814" s="8"/>
      <c r="AT1814" s="8"/>
      <c r="AU1814" s="8"/>
      <c r="AV1814" s="8"/>
      <c r="AW1814" s="8"/>
      <c r="AX1814" s="4" t="s">
        <v>38</v>
      </c>
      <c r="AY1814" s="5" t="s">
        <v>7950</v>
      </c>
      <c r="AZ1814" s="5" t="s">
        <v>38</v>
      </c>
      <c r="BA1814" s="12"/>
      <c r="BB1814" s="12"/>
      <c r="BC1814" s="12"/>
      <c r="BD1814" s="11">
        <v>0</v>
      </c>
      <c r="BE1814" s="11">
        <v>0</v>
      </c>
    </row>
    <row x14ac:dyDescent="0.25" r="1815" customHeight="1" ht="17.25">
      <c r="A1815" s="11">
        <v>10508</v>
      </c>
      <c r="B1815" s="4" t="s">
        <v>7951</v>
      </c>
      <c r="C1815" s="5" t="s">
        <v>3076</v>
      </c>
      <c r="D1815" s="5" t="s">
        <v>3077</v>
      </c>
      <c r="E1815" s="5" t="s">
        <v>7952</v>
      </c>
      <c r="F1815" s="13">
        <f>"0156032392"</f>
      </c>
      <c r="G1815" s="13">
        <f>"9780156032391"</f>
      </c>
      <c r="H1815" s="11">
        <v>0</v>
      </c>
      <c r="I1815" s="14">
        <v>3.96</v>
      </c>
      <c r="J1815" s="7" t="s">
        <v>7953</v>
      </c>
      <c r="K1815" s="5" t="s">
        <v>60</v>
      </c>
      <c r="L1815" s="11">
        <v>352</v>
      </c>
      <c r="M1815" s="11">
        <v>2005</v>
      </c>
      <c r="N1815" s="11">
        <v>2002</v>
      </c>
      <c r="O1815" s="15"/>
      <c r="P1815" s="8">
        <v>44168</v>
      </c>
      <c r="Q1815" s="8"/>
      <c r="R1815" s="8"/>
      <c r="S1815" s="8"/>
      <c r="T1815" s="8"/>
      <c r="U1815" s="8"/>
      <c r="V1815" s="8"/>
      <c r="W1815" s="8"/>
      <c r="X1815" s="8"/>
      <c r="Y1815" s="8"/>
      <c r="Z1815" s="8"/>
      <c r="AA1815" s="8"/>
      <c r="AB1815" s="8"/>
      <c r="AC1815" s="8"/>
      <c r="AD1815" s="8"/>
      <c r="AE1815" s="8"/>
      <c r="AF1815" s="8"/>
      <c r="AG1815" s="8"/>
      <c r="AH1815" s="8"/>
      <c r="AI1815" s="8"/>
      <c r="AJ1815" s="8"/>
      <c r="AK1815" s="8"/>
      <c r="AL1815" s="8"/>
      <c r="AM1815" s="8"/>
      <c r="AN1815" s="8"/>
      <c r="AO1815" s="8"/>
      <c r="AP1815" s="8"/>
      <c r="AQ1815" s="8"/>
      <c r="AR1815" s="8"/>
      <c r="AS1815" s="8"/>
      <c r="AT1815" s="8"/>
      <c r="AU1815" s="8"/>
      <c r="AV1815" s="8"/>
      <c r="AW1815" s="8"/>
      <c r="AX1815" s="4" t="s">
        <v>38</v>
      </c>
      <c r="AY1815" s="5" t="s">
        <v>7954</v>
      </c>
      <c r="AZ1815" s="5" t="s">
        <v>38</v>
      </c>
      <c r="BA1815" s="12"/>
      <c r="BB1815" s="12"/>
      <c r="BC1815" s="12"/>
      <c r="BD1815" s="11">
        <v>0</v>
      </c>
      <c r="BE1815" s="11">
        <v>0</v>
      </c>
    </row>
    <row x14ac:dyDescent="0.25" r="1816" customHeight="1" ht="17.25">
      <c r="A1816" s="11">
        <v>93405</v>
      </c>
      <c r="B1816" s="4" t="s">
        <v>7955</v>
      </c>
      <c r="C1816" s="5" t="s">
        <v>4082</v>
      </c>
      <c r="D1816" s="5" t="s">
        <v>4083</v>
      </c>
      <c r="E1816" s="5" t="s">
        <v>7956</v>
      </c>
      <c r="F1816" s="13">
        <f>"0393308812"</f>
      </c>
      <c r="G1816" s="13">
        <f>"9780393308815"</f>
      </c>
      <c r="H1816" s="11">
        <v>0</v>
      </c>
      <c r="I1816" s="14">
        <v>3.96</v>
      </c>
      <c r="J1816" s="7" t="s">
        <v>2281</v>
      </c>
      <c r="K1816" s="5" t="s">
        <v>60</v>
      </c>
      <c r="L1816" s="11">
        <v>237</v>
      </c>
      <c r="M1816" s="11">
        <v>1992</v>
      </c>
      <c r="N1816" s="11">
        <v>1910</v>
      </c>
      <c r="O1816" s="15"/>
      <c r="P1816" s="8">
        <v>44168</v>
      </c>
      <c r="Q1816" s="8"/>
      <c r="R1816" s="8"/>
      <c r="S1816" s="8"/>
      <c r="T1816" s="8"/>
      <c r="U1816" s="8"/>
      <c r="V1816" s="8"/>
      <c r="W1816" s="8"/>
      <c r="X1816" s="8"/>
      <c r="Y1816" s="8"/>
      <c r="Z1816" s="8"/>
      <c r="AA1816" s="8"/>
      <c r="AB1816" s="8"/>
      <c r="AC1816" s="8"/>
      <c r="AD1816" s="8"/>
      <c r="AE1816" s="8"/>
      <c r="AF1816" s="8"/>
      <c r="AG1816" s="8"/>
      <c r="AH1816" s="8"/>
      <c r="AI1816" s="8"/>
      <c r="AJ1816" s="8"/>
      <c r="AK1816" s="8"/>
      <c r="AL1816" s="8"/>
      <c r="AM1816" s="8"/>
      <c r="AN1816" s="8"/>
      <c r="AO1816" s="8"/>
      <c r="AP1816" s="8"/>
      <c r="AQ1816" s="8"/>
      <c r="AR1816" s="8"/>
      <c r="AS1816" s="8"/>
      <c r="AT1816" s="8"/>
      <c r="AU1816" s="8"/>
      <c r="AV1816" s="8"/>
      <c r="AW1816" s="8"/>
      <c r="AX1816" s="4" t="s">
        <v>38</v>
      </c>
      <c r="AY1816" s="5" t="s">
        <v>7957</v>
      </c>
      <c r="AZ1816" s="5" t="s">
        <v>38</v>
      </c>
      <c r="BA1816" s="12"/>
      <c r="BB1816" s="12"/>
      <c r="BC1816" s="12"/>
      <c r="BD1816" s="11">
        <v>0</v>
      </c>
      <c r="BE1816" s="11">
        <v>0</v>
      </c>
    </row>
    <row x14ac:dyDescent="0.25" r="1817" customHeight="1" ht="17.25">
      <c r="A1817" s="11">
        <v>458386</v>
      </c>
      <c r="B1817" s="4" t="s">
        <v>7958</v>
      </c>
      <c r="C1817" s="5" t="s">
        <v>7959</v>
      </c>
      <c r="D1817" s="5" t="s">
        <v>7960</v>
      </c>
      <c r="E1817" s="12"/>
      <c r="F1817" s="13">
        <f>"8466717099"</f>
      </c>
      <c r="G1817" s="13">
        <f>"9788466717090"</f>
      </c>
      <c r="H1817" s="11">
        <v>0</v>
      </c>
      <c r="I1817" s="14">
        <v>4.04</v>
      </c>
      <c r="J1817" s="7" t="s">
        <v>7961</v>
      </c>
      <c r="K1817" s="5" t="s">
        <v>60</v>
      </c>
      <c r="L1817" s="11">
        <v>80</v>
      </c>
      <c r="M1817" s="11">
        <v>2003</v>
      </c>
      <c r="N1817" s="11">
        <v>2003</v>
      </c>
      <c r="O1817" s="15"/>
      <c r="P1817" s="8">
        <v>44167</v>
      </c>
      <c r="Q1817" s="8"/>
      <c r="R1817" s="8"/>
      <c r="S1817" s="8"/>
      <c r="T1817" s="8"/>
      <c r="U1817" s="8"/>
      <c r="V1817" s="8"/>
      <c r="W1817" s="8"/>
      <c r="X1817" s="8"/>
      <c r="Y1817" s="8"/>
      <c r="Z1817" s="8"/>
      <c r="AA1817" s="8"/>
      <c r="AB1817" s="8"/>
      <c r="AC1817" s="8"/>
      <c r="AD1817" s="8"/>
      <c r="AE1817" s="8"/>
      <c r="AF1817" s="8"/>
      <c r="AG1817" s="8"/>
      <c r="AH1817" s="8"/>
      <c r="AI1817" s="8"/>
      <c r="AJ1817" s="8"/>
      <c r="AK1817" s="8"/>
      <c r="AL1817" s="8"/>
      <c r="AM1817" s="8"/>
      <c r="AN1817" s="8"/>
      <c r="AO1817" s="8"/>
      <c r="AP1817" s="8"/>
      <c r="AQ1817" s="8"/>
      <c r="AR1817" s="8"/>
      <c r="AS1817" s="8"/>
      <c r="AT1817" s="8"/>
      <c r="AU1817" s="8"/>
      <c r="AV1817" s="8"/>
      <c r="AW1817" s="8"/>
      <c r="AX1817" s="4" t="s">
        <v>38</v>
      </c>
      <c r="AY1817" s="5" t="s">
        <v>7962</v>
      </c>
      <c r="AZ1817" s="5" t="s">
        <v>38</v>
      </c>
      <c r="BA1817" s="12"/>
      <c r="BB1817" s="12"/>
      <c r="BC1817" s="12"/>
      <c r="BD1817" s="11">
        <v>0</v>
      </c>
      <c r="BE1817" s="11">
        <v>0</v>
      </c>
    </row>
    <row x14ac:dyDescent="0.25" r="1818" customHeight="1" ht="17.25">
      <c r="A1818" s="11">
        <v>45492241</v>
      </c>
      <c r="B1818" s="4" t="s">
        <v>7963</v>
      </c>
      <c r="C1818" s="5" t="s">
        <v>7964</v>
      </c>
      <c r="D1818" s="5" t="s">
        <v>7965</v>
      </c>
      <c r="E1818" s="5" t="s">
        <v>7966</v>
      </c>
      <c r="F1818" s="13">
        <f>"8491991506"</f>
      </c>
      <c r="G1818" s="13">
        <f>"9788491991502"</f>
      </c>
      <c r="H1818" s="11">
        <v>0</v>
      </c>
      <c r="I1818" s="14">
        <v>4.23</v>
      </c>
      <c r="J1818" s="7" t="s">
        <v>7967</v>
      </c>
      <c r="K1818" s="5" t="s">
        <v>90</v>
      </c>
      <c r="L1818" s="11">
        <v>434</v>
      </c>
      <c r="M1818" s="11">
        <v>2019</v>
      </c>
      <c r="N1818" s="11">
        <v>2019</v>
      </c>
      <c r="O1818" s="15"/>
      <c r="P1818" s="8">
        <v>44167</v>
      </c>
      <c r="Q1818" s="8"/>
      <c r="R1818" s="8"/>
      <c r="S1818" s="8"/>
      <c r="T1818" s="8"/>
      <c r="U1818" s="8"/>
      <c r="V1818" s="8"/>
      <c r="W1818" s="8"/>
      <c r="X1818" s="8"/>
      <c r="Y1818" s="8"/>
      <c r="Z1818" s="8"/>
      <c r="AA1818" s="8"/>
      <c r="AB1818" s="8"/>
      <c r="AC1818" s="8"/>
      <c r="AD1818" s="8"/>
      <c r="AE1818" s="8"/>
      <c r="AF1818" s="8"/>
      <c r="AG1818" s="8"/>
      <c r="AH1818" s="8"/>
      <c r="AI1818" s="8"/>
      <c r="AJ1818" s="8"/>
      <c r="AK1818" s="8"/>
      <c r="AL1818" s="8"/>
      <c r="AM1818" s="8"/>
      <c r="AN1818" s="8"/>
      <c r="AO1818" s="8"/>
      <c r="AP1818" s="8"/>
      <c r="AQ1818" s="8"/>
      <c r="AR1818" s="8"/>
      <c r="AS1818" s="8"/>
      <c r="AT1818" s="8"/>
      <c r="AU1818" s="8"/>
      <c r="AV1818" s="8"/>
      <c r="AW1818" s="8"/>
      <c r="AX1818" s="4" t="s">
        <v>38</v>
      </c>
      <c r="AY1818" s="5" t="s">
        <v>7968</v>
      </c>
      <c r="AZ1818" s="5" t="s">
        <v>38</v>
      </c>
      <c r="BA1818" s="12"/>
      <c r="BB1818" s="12"/>
      <c r="BC1818" s="12"/>
      <c r="BD1818" s="11">
        <v>0</v>
      </c>
      <c r="BE1818" s="11">
        <v>0</v>
      </c>
    </row>
    <row x14ac:dyDescent="0.25" r="1819" customHeight="1" ht="17.25">
      <c r="A1819" s="11">
        <v>2004951</v>
      </c>
      <c r="B1819" s="4" t="s">
        <v>7969</v>
      </c>
      <c r="C1819" s="5" t="s">
        <v>7959</v>
      </c>
      <c r="D1819" s="5" t="s">
        <v>7960</v>
      </c>
      <c r="E1819" s="12"/>
      <c r="F1819" s="13">
        <f>"9509314757"</f>
      </c>
      <c r="G1819" s="13">
        <f>"9789509314757"</f>
      </c>
      <c r="H1819" s="11">
        <v>0</v>
      </c>
      <c r="I1819" s="14">
        <v>4.09</v>
      </c>
      <c r="J1819" s="7" t="s">
        <v>7970</v>
      </c>
      <c r="K1819" s="1"/>
      <c r="L1819" s="11">
        <v>129</v>
      </c>
      <c r="M1819" s="11">
        <v>1992</v>
      </c>
      <c r="N1819" s="11">
        <v>1992</v>
      </c>
      <c r="O1819" s="15"/>
      <c r="P1819" s="8">
        <v>44166</v>
      </c>
      <c r="Q1819" s="8"/>
      <c r="R1819" s="8"/>
      <c r="S1819" s="8"/>
      <c r="T1819" s="8"/>
      <c r="U1819" s="8"/>
      <c r="V1819" s="8"/>
      <c r="W1819" s="8"/>
      <c r="X1819" s="8"/>
      <c r="Y1819" s="8"/>
      <c r="Z1819" s="8"/>
      <c r="AA1819" s="8"/>
      <c r="AB1819" s="8"/>
      <c r="AC1819" s="8"/>
      <c r="AD1819" s="8"/>
      <c r="AE1819" s="8"/>
      <c r="AF1819" s="8"/>
      <c r="AG1819" s="8"/>
      <c r="AH1819" s="8"/>
      <c r="AI1819" s="8"/>
      <c r="AJ1819" s="8"/>
      <c r="AK1819" s="8"/>
      <c r="AL1819" s="8"/>
      <c r="AM1819" s="8"/>
      <c r="AN1819" s="8"/>
      <c r="AO1819" s="8"/>
      <c r="AP1819" s="8"/>
      <c r="AQ1819" s="8"/>
      <c r="AR1819" s="8"/>
      <c r="AS1819" s="8"/>
      <c r="AT1819" s="8"/>
      <c r="AU1819" s="8"/>
      <c r="AV1819" s="8"/>
      <c r="AW1819" s="8"/>
      <c r="AX1819" s="4" t="s">
        <v>38</v>
      </c>
      <c r="AY1819" s="5" t="s">
        <v>7971</v>
      </c>
      <c r="AZ1819" s="5" t="s">
        <v>38</v>
      </c>
      <c r="BA1819" s="12"/>
      <c r="BB1819" s="12"/>
      <c r="BC1819" s="12"/>
      <c r="BD1819" s="11">
        <v>0</v>
      </c>
      <c r="BE1819" s="11">
        <v>0</v>
      </c>
    </row>
    <row x14ac:dyDescent="0.25" r="1820" customHeight="1" ht="17.25">
      <c r="A1820" s="11">
        <v>74073</v>
      </c>
      <c r="B1820" s="4" t="s">
        <v>7972</v>
      </c>
      <c r="C1820" s="5" t="s">
        <v>7973</v>
      </c>
      <c r="D1820" s="5" t="s">
        <v>7974</v>
      </c>
      <c r="E1820" s="5" t="s">
        <v>7975</v>
      </c>
      <c r="F1820" s="13">
        <f>"0520035275"</f>
      </c>
      <c r="G1820" s="13">
        <f>"9780520035270"</f>
      </c>
      <c r="H1820" s="11">
        <v>0</v>
      </c>
      <c r="I1820" s="14">
        <v>3.53</v>
      </c>
      <c r="J1820" s="7" t="s">
        <v>1335</v>
      </c>
      <c r="K1820" s="5" t="s">
        <v>60</v>
      </c>
      <c r="L1820" s="11">
        <v>256</v>
      </c>
      <c r="M1820" s="11">
        <v>1979</v>
      </c>
      <c r="N1820" s="11">
        <v>1970</v>
      </c>
      <c r="O1820" s="15"/>
      <c r="P1820" s="8">
        <v>44166</v>
      </c>
      <c r="Q1820" s="8"/>
      <c r="R1820" s="8"/>
      <c r="S1820" s="8"/>
      <c r="T1820" s="8"/>
      <c r="U1820" s="8"/>
      <c r="V1820" s="8"/>
      <c r="W1820" s="8"/>
      <c r="X1820" s="8"/>
      <c r="Y1820" s="8"/>
      <c r="Z1820" s="8"/>
      <c r="AA1820" s="8"/>
      <c r="AB1820" s="8"/>
      <c r="AC1820" s="8"/>
      <c r="AD1820" s="8"/>
      <c r="AE1820" s="8"/>
      <c r="AF1820" s="8"/>
      <c r="AG1820" s="8"/>
      <c r="AH1820" s="8"/>
      <c r="AI1820" s="8"/>
      <c r="AJ1820" s="8"/>
      <c r="AK1820" s="8"/>
      <c r="AL1820" s="8"/>
      <c r="AM1820" s="8"/>
      <c r="AN1820" s="8"/>
      <c r="AO1820" s="8"/>
      <c r="AP1820" s="8"/>
      <c r="AQ1820" s="8"/>
      <c r="AR1820" s="8"/>
      <c r="AS1820" s="8"/>
      <c r="AT1820" s="8"/>
      <c r="AU1820" s="8"/>
      <c r="AV1820" s="8"/>
      <c r="AW1820" s="8"/>
      <c r="AX1820" s="4" t="s">
        <v>38</v>
      </c>
      <c r="AY1820" s="5" t="s">
        <v>7976</v>
      </c>
      <c r="AZ1820" s="5" t="s">
        <v>38</v>
      </c>
      <c r="BA1820" s="12"/>
      <c r="BB1820" s="12"/>
      <c r="BC1820" s="12"/>
      <c r="BD1820" s="11">
        <v>0</v>
      </c>
      <c r="BE1820" s="11">
        <v>0</v>
      </c>
    </row>
    <row x14ac:dyDescent="0.25" r="1821" customHeight="1" ht="17.25">
      <c r="A1821" s="11">
        <v>202717</v>
      </c>
      <c r="B1821" s="4" t="s">
        <v>7977</v>
      </c>
      <c r="C1821" s="5" t="s">
        <v>7978</v>
      </c>
      <c r="D1821" s="5" t="s">
        <v>7979</v>
      </c>
      <c r="E1821" s="12"/>
      <c r="F1821" s="13">
        <f>"0520082893"</f>
      </c>
      <c r="G1821" s="13">
        <f>"9780520082892"</f>
      </c>
      <c r="H1821" s="11">
        <v>0</v>
      </c>
      <c r="I1821" s="14">
        <v>4.1</v>
      </c>
      <c r="J1821" s="7" t="s">
        <v>1335</v>
      </c>
      <c r="K1821" s="5" t="s">
        <v>60</v>
      </c>
      <c r="L1821" s="11">
        <v>334</v>
      </c>
      <c r="M1821" s="11">
        <v>1993</v>
      </c>
      <c r="N1821" s="11">
        <v>1993</v>
      </c>
      <c r="O1821" s="15"/>
      <c r="P1821" s="8">
        <v>44166</v>
      </c>
      <c r="Q1821" s="8"/>
      <c r="R1821" s="8"/>
      <c r="S1821" s="8"/>
      <c r="T1821" s="8"/>
      <c r="U1821" s="8"/>
      <c r="V1821" s="8"/>
      <c r="W1821" s="8"/>
      <c r="X1821" s="8"/>
      <c r="Y1821" s="8"/>
      <c r="Z1821" s="8"/>
      <c r="AA1821" s="8"/>
      <c r="AB1821" s="8"/>
      <c r="AC1821" s="8"/>
      <c r="AD1821" s="8"/>
      <c r="AE1821" s="8"/>
      <c r="AF1821" s="8"/>
      <c r="AG1821" s="8"/>
      <c r="AH1821" s="8"/>
      <c r="AI1821" s="8"/>
      <c r="AJ1821" s="8"/>
      <c r="AK1821" s="8"/>
      <c r="AL1821" s="8"/>
      <c r="AM1821" s="8"/>
      <c r="AN1821" s="8"/>
      <c r="AO1821" s="8"/>
      <c r="AP1821" s="8"/>
      <c r="AQ1821" s="8"/>
      <c r="AR1821" s="8"/>
      <c r="AS1821" s="8"/>
      <c r="AT1821" s="8"/>
      <c r="AU1821" s="8"/>
      <c r="AV1821" s="8"/>
      <c r="AW1821" s="8"/>
      <c r="AX1821" s="4" t="s">
        <v>38</v>
      </c>
      <c r="AY1821" s="5" t="s">
        <v>7980</v>
      </c>
      <c r="AZ1821" s="5" t="s">
        <v>38</v>
      </c>
      <c r="BA1821" s="12"/>
      <c r="BB1821" s="12"/>
      <c r="BC1821" s="12"/>
      <c r="BD1821" s="11">
        <v>0</v>
      </c>
      <c r="BE1821" s="11">
        <v>0</v>
      </c>
    </row>
    <row x14ac:dyDescent="0.25" r="1822" customHeight="1" ht="17.25">
      <c r="A1822" s="11">
        <v>28010267</v>
      </c>
      <c r="B1822" s="4" t="s">
        <v>7981</v>
      </c>
      <c r="C1822" s="5" t="s">
        <v>1794</v>
      </c>
      <c r="D1822" s="5" t="s">
        <v>1795</v>
      </c>
      <c r="E1822" s="5" t="s">
        <v>7982</v>
      </c>
      <c r="F1822" s="13">
        <f>"1632060558"</f>
      </c>
      <c r="G1822" s="13">
        <f>"9781632060556"</f>
      </c>
      <c r="H1822" s="11">
        <v>0</v>
      </c>
      <c r="I1822" s="14">
        <v>3.65</v>
      </c>
      <c r="J1822" s="7" t="s">
        <v>7983</v>
      </c>
      <c r="K1822" s="5" t="s">
        <v>60</v>
      </c>
      <c r="L1822" s="11">
        <v>252</v>
      </c>
      <c r="M1822" s="11">
        <v>2016</v>
      </c>
      <c r="N1822" s="11">
        <v>2010</v>
      </c>
      <c r="O1822" s="15"/>
      <c r="P1822" s="8">
        <v>44166</v>
      </c>
      <c r="Q1822" s="8"/>
      <c r="R1822" s="8"/>
      <c r="S1822" s="8"/>
      <c r="T1822" s="8"/>
      <c r="U1822" s="8"/>
      <c r="V1822" s="8"/>
      <c r="W1822" s="8"/>
      <c r="X1822" s="8"/>
      <c r="Y1822" s="8"/>
      <c r="Z1822" s="8"/>
      <c r="AA1822" s="8"/>
      <c r="AB1822" s="8"/>
      <c r="AC1822" s="8"/>
      <c r="AD1822" s="8"/>
      <c r="AE1822" s="8"/>
      <c r="AF1822" s="8"/>
      <c r="AG1822" s="8"/>
      <c r="AH1822" s="8"/>
      <c r="AI1822" s="8"/>
      <c r="AJ1822" s="8"/>
      <c r="AK1822" s="8"/>
      <c r="AL1822" s="8"/>
      <c r="AM1822" s="8"/>
      <c r="AN1822" s="8"/>
      <c r="AO1822" s="8"/>
      <c r="AP1822" s="8"/>
      <c r="AQ1822" s="8"/>
      <c r="AR1822" s="8"/>
      <c r="AS1822" s="8"/>
      <c r="AT1822" s="8"/>
      <c r="AU1822" s="8"/>
      <c r="AV1822" s="8"/>
      <c r="AW1822" s="8"/>
      <c r="AX1822" s="4" t="s">
        <v>38</v>
      </c>
      <c r="AY1822" s="5" t="s">
        <v>7984</v>
      </c>
      <c r="AZ1822" s="5" t="s">
        <v>38</v>
      </c>
      <c r="BA1822" s="12"/>
      <c r="BB1822" s="12"/>
      <c r="BC1822" s="12"/>
      <c r="BD1822" s="11">
        <v>0</v>
      </c>
      <c r="BE1822" s="11">
        <v>0</v>
      </c>
    </row>
    <row x14ac:dyDescent="0.25" r="1823" customHeight="1" ht="17.25">
      <c r="A1823" s="11">
        <v>188346</v>
      </c>
      <c r="B1823" s="4" t="s">
        <v>7985</v>
      </c>
      <c r="C1823" s="5" t="s">
        <v>7986</v>
      </c>
      <c r="D1823" s="5" t="s">
        <v>7987</v>
      </c>
      <c r="E1823" s="5" t="s">
        <v>7988</v>
      </c>
      <c r="F1823" s="13">
        <f>"1560253355"</f>
      </c>
      <c r="G1823" s="13">
        <f>"9781560253358"</f>
      </c>
      <c r="H1823" s="11">
        <v>0</v>
      </c>
      <c r="I1823" s="14">
        <v>4.09</v>
      </c>
      <c r="J1823" s="7" t="s">
        <v>739</v>
      </c>
      <c r="K1823" s="5" t="s">
        <v>60</v>
      </c>
      <c r="L1823" s="11">
        <v>503</v>
      </c>
      <c r="M1823" s="11">
        <v>2002</v>
      </c>
      <c r="N1823" s="11">
        <v>2001</v>
      </c>
      <c r="O1823" s="15"/>
      <c r="P1823" s="8">
        <v>44166</v>
      </c>
      <c r="Q1823" s="8"/>
      <c r="R1823" s="8"/>
      <c r="S1823" s="8"/>
      <c r="T1823" s="8"/>
      <c r="U1823" s="8"/>
      <c r="V1823" s="8"/>
      <c r="W1823" s="8"/>
      <c r="X1823" s="8"/>
      <c r="Y1823" s="8"/>
      <c r="Z1823" s="8"/>
      <c r="AA1823" s="8"/>
      <c r="AB1823" s="8"/>
      <c r="AC1823" s="8"/>
      <c r="AD1823" s="8"/>
      <c r="AE1823" s="8"/>
      <c r="AF1823" s="8"/>
      <c r="AG1823" s="8"/>
      <c r="AH1823" s="8"/>
      <c r="AI1823" s="8"/>
      <c r="AJ1823" s="8"/>
      <c r="AK1823" s="8"/>
      <c r="AL1823" s="8"/>
      <c r="AM1823" s="8"/>
      <c r="AN1823" s="8"/>
      <c r="AO1823" s="8"/>
      <c r="AP1823" s="8"/>
      <c r="AQ1823" s="8"/>
      <c r="AR1823" s="8"/>
      <c r="AS1823" s="8"/>
      <c r="AT1823" s="8"/>
      <c r="AU1823" s="8"/>
      <c r="AV1823" s="8"/>
      <c r="AW1823" s="8"/>
      <c r="AX1823" s="4" t="s">
        <v>38</v>
      </c>
      <c r="AY1823" s="5" t="s">
        <v>7989</v>
      </c>
      <c r="AZ1823" s="5" t="s">
        <v>38</v>
      </c>
      <c r="BA1823" s="12"/>
      <c r="BB1823" s="12"/>
      <c r="BC1823" s="12"/>
      <c r="BD1823" s="11">
        <v>0</v>
      </c>
      <c r="BE1823" s="11">
        <v>0</v>
      </c>
    </row>
    <row x14ac:dyDescent="0.25" r="1824" customHeight="1" ht="17.25">
      <c r="A1824" s="11">
        <v>14894629</v>
      </c>
      <c r="B1824" s="4" t="s">
        <v>7990</v>
      </c>
      <c r="C1824" s="5" t="s">
        <v>7991</v>
      </c>
      <c r="D1824" s="5" t="s">
        <v>7992</v>
      </c>
      <c r="E1824" s="12"/>
      <c r="F1824" s="13">
        <f>"046500296X"</f>
      </c>
      <c r="G1824" s="13">
        <f>"9780465002962"</f>
      </c>
      <c r="H1824" s="11">
        <v>0</v>
      </c>
      <c r="I1824" s="14">
        <v>4.46</v>
      </c>
      <c r="J1824" s="7" t="s">
        <v>77</v>
      </c>
      <c r="K1824" s="5" t="s">
        <v>72</v>
      </c>
      <c r="L1824" s="11">
        <v>498</v>
      </c>
      <c r="M1824" s="11">
        <v>2014</v>
      </c>
      <c r="N1824" s="11">
        <v>2013</v>
      </c>
      <c r="O1824" s="15"/>
      <c r="P1824" s="9">
        <v>44165</v>
      </c>
      <c r="Q1824" s="9"/>
      <c r="R1824" s="9"/>
      <c r="S1824" s="9"/>
      <c r="T1824" s="9"/>
      <c r="U1824" s="9"/>
      <c r="V1824" s="9"/>
      <c r="W1824" s="9"/>
      <c r="X1824" s="9"/>
      <c r="Y1824" s="9"/>
      <c r="Z1824" s="9"/>
      <c r="AA1824" s="9"/>
      <c r="AB1824" s="9"/>
      <c r="AC1824" s="9"/>
      <c r="AD1824" s="9"/>
      <c r="AE1824" s="9"/>
      <c r="AF1824" s="9"/>
      <c r="AG1824" s="9"/>
      <c r="AH1824" s="9"/>
      <c r="AI1824" s="9"/>
      <c r="AJ1824" s="9"/>
      <c r="AK1824" s="9"/>
      <c r="AL1824" s="9"/>
      <c r="AM1824" s="9"/>
      <c r="AN1824" s="9"/>
      <c r="AO1824" s="9"/>
      <c r="AP1824" s="9"/>
      <c r="AQ1824" s="9"/>
      <c r="AR1824" s="9"/>
      <c r="AS1824" s="9"/>
      <c r="AT1824" s="9"/>
      <c r="AU1824" s="9"/>
      <c r="AV1824" s="9"/>
      <c r="AW1824" s="9"/>
      <c r="AX1824" s="4" t="s">
        <v>38</v>
      </c>
      <c r="AY1824" s="5" t="s">
        <v>7993</v>
      </c>
      <c r="AZ1824" s="5" t="s">
        <v>38</v>
      </c>
      <c r="BA1824" s="12"/>
      <c r="BB1824" s="12"/>
      <c r="BC1824" s="12"/>
      <c r="BD1824" s="11">
        <v>0</v>
      </c>
      <c r="BE1824" s="11">
        <v>0</v>
      </c>
    </row>
    <row x14ac:dyDescent="0.25" r="1825" customHeight="1" ht="17.25">
      <c r="A1825" s="11">
        <v>355190</v>
      </c>
      <c r="B1825" s="4" t="s">
        <v>7994</v>
      </c>
      <c r="C1825" s="5" t="s">
        <v>2860</v>
      </c>
      <c r="D1825" s="5" t="s">
        <v>2861</v>
      </c>
      <c r="E1825" s="12"/>
      <c r="F1825" s="13">
        <f>""</f>
      </c>
      <c r="G1825" s="13">
        <f>""</f>
      </c>
      <c r="H1825" s="11">
        <v>0</v>
      </c>
      <c r="I1825" s="14">
        <v>4.1</v>
      </c>
      <c r="J1825" s="7" t="s">
        <v>114</v>
      </c>
      <c r="K1825" s="5" t="s">
        <v>60</v>
      </c>
      <c r="L1825" s="11">
        <v>424</v>
      </c>
      <c r="M1825" s="11">
        <v>2003</v>
      </c>
      <c r="N1825" s="11">
        <v>1978</v>
      </c>
      <c r="O1825" s="15"/>
      <c r="P1825" s="9">
        <v>44165</v>
      </c>
      <c r="Q1825" s="9"/>
      <c r="R1825" s="9"/>
      <c r="S1825" s="9"/>
      <c r="T1825" s="9"/>
      <c r="U1825" s="9"/>
      <c r="V1825" s="9"/>
      <c r="W1825" s="9"/>
      <c r="X1825" s="9"/>
      <c r="Y1825" s="9"/>
      <c r="Z1825" s="9"/>
      <c r="AA1825" s="9"/>
      <c r="AB1825" s="9"/>
      <c r="AC1825" s="9"/>
      <c r="AD1825" s="9"/>
      <c r="AE1825" s="9"/>
      <c r="AF1825" s="9"/>
      <c r="AG1825" s="9"/>
      <c r="AH1825" s="9"/>
      <c r="AI1825" s="9"/>
      <c r="AJ1825" s="9"/>
      <c r="AK1825" s="9"/>
      <c r="AL1825" s="9"/>
      <c r="AM1825" s="9"/>
      <c r="AN1825" s="9"/>
      <c r="AO1825" s="9"/>
      <c r="AP1825" s="9"/>
      <c r="AQ1825" s="9"/>
      <c r="AR1825" s="9"/>
      <c r="AS1825" s="9"/>
      <c r="AT1825" s="9"/>
      <c r="AU1825" s="9"/>
      <c r="AV1825" s="9"/>
      <c r="AW1825" s="9"/>
      <c r="AX1825" s="4" t="s">
        <v>38</v>
      </c>
      <c r="AY1825" s="5" t="s">
        <v>7995</v>
      </c>
      <c r="AZ1825" s="5" t="s">
        <v>38</v>
      </c>
      <c r="BA1825" s="12"/>
      <c r="BB1825" s="12"/>
      <c r="BC1825" s="12"/>
      <c r="BD1825" s="11">
        <v>0</v>
      </c>
      <c r="BE1825" s="11">
        <v>0</v>
      </c>
    </row>
    <row x14ac:dyDescent="0.25" r="1826" customHeight="1" ht="17.25">
      <c r="A1826" s="11">
        <v>361877</v>
      </c>
      <c r="B1826" s="4" t="s">
        <v>7996</v>
      </c>
      <c r="C1826" s="5" t="s">
        <v>7997</v>
      </c>
      <c r="D1826" s="5" t="s">
        <v>7998</v>
      </c>
      <c r="E1826" s="12"/>
      <c r="F1826" s="13">
        <f>"0375725822"</f>
      </c>
      <c r="G1826" s="13">
        <f>"9780375725821"</f>
      </c>
      <c r="H1826" s="11">
        <v>0</v>
      </c>
      <c r="I1826" s="14">
        <v>3.91</v>
      </c>
      <c r="J1826" s="7" t="s">
        <v>114</v>
      </c>
      <c r="K1826" s="5" t="s">
        <v>60</v>
      </c>
      <c r="L1826" s="11">
        <v>320</v>
      </c>
      <c r="M1826" s="11">
        <v>2002</v>
      </c>
      <c r="N1826" s="11">
        <v>2001</v>
      </c>
      <c r="O1826" s="15"/>
      <c r="P1826" s="9">
        <v>44165</v>
      </c>
      <c r="Q1826" s="9"/>
      <c r="R1826" s="9"/>
      <c r="S1826" s="9"/>
      <c r="T1826" s="9"/>
      <c r="U1826" s="9"/>
      <c r="V1826" s="9"/>
      <c r="W1826" s="9"/>
      <c r="X1826" s="9"/>
      <c r="Y1826" s="9"/>
      <c r="Z1826" s="9"/>
      <c r="AA1826" s="9"/>
      <c r="AB1826" s="9"/>
      <c r="AC1826" s="9"/>
      <c r="AD1826" s="9"/>
      <c r="AE1826" s="9"/>
      <c r="AF1826" s="9"/>
      <c r="AG1826" s="9"/>
      <c r="AH1826" s="9"/>
      <c r="AI1826" s="9"/>
      <c r="AJ1826" s="9"/>
      <c r="AK1826" s="9"/>
      <c r="AL1826" s="9"/>
      <c r="AM1826" s="9"/>
      <c r="AN1826" s="9"/>
      <c r="AO1826" s="9"/>
      <c r="AP1826" s="9"/>
      <c r="AQ1826" s="9"/>
      <c r="AR1826" s="9"/>
      <c r="AS1826" s="9"/>
      <c r="AT1826" s="9"/>
      <c r="AU1826" s="9"/>
      <c r="AV1826" s="9"/>
      <c r="AW1826" s="9"/>
      <c r="AX1826" s="4" t="s">
        <v>38</v>
      </c>
      <c r="AY1826" s="5" t="s">
        <v>7999</v>
      </c>
      <c r="AZ1826" s="5" t="s">
        <v>38</v>
      </c>
      <c r="BA1826" s="12"/>
      <c r="BB1826" s="12"/>
      <c r="BC1826" s="12"/>
      <c r="BD1826" s="11">
        <v>0</v>
      </c>
      <c r="BE1826" s="11">
        <v>0</v>
      </c>
    </row>
    <row x14ac:dyDescent="0.25" r="1827" customHeight="1" ht="17.25">
      <c r="A1827" s="11">
        <v>496683</v>
      </c>
      <c r="B1827" s="4" t="s">
        <v>8000</v>
      </c>
      <c r="C1827" s="5" t="s">
        <v>8001</v>
      </c>
      <c r="D1827" s="5" t="s">
        <v>8002</v>
      </c>
      <c r="E1827" s="12"/>
      <c r="F1827" s="13">
        <f>"0805083235"</f>
      </c>
      <c r="G1827" s="13">
        <f>"9780805083231"</f>
      </c>
      <c r="H1827" s="11">
        <v>0</v>
      </c>
      <c r="I1827" s="14">
        <v>4.05</v>
      </c>
      <c r="J1827" s="7" t="s">
        <v>5591</v>
      </c>
      <c r="K1827" s="5" t="s">
        <v>60</v>
      </c>
      <c r="L1827" s="11">
        <v>320</v>
      </c>
      <c r="M1827" s="11">
        <v>2007</v>
      </c>
      <c r="N1827" s="11">
        <v>2006</v>
      </c>
      <c r="O1827" s="15"/>
      <c r="P1827" s="9">
        <v>44165</v>
      </c>
      <c r="Q1827" s="9"/>
      <c r="R1827" s="9"/>
      <c r="S1827" s="9"/>
      <c r="T1827" s="9"/>
      <c r="U1827" s="9"/>
      <c r="V1827" s="9"/>
      <c r="W1827" s="9"/>
      <c r="X1827" s="9"/>
      <c r="Y1827" s="9"/>
      <c r="Z1827" s="9"/>
      <c r="AA1827" s="9"/>
      <c r="AB1827" s="9"/>
      <c r="AC1827" s="9"/>
      <c r="AD1827" s="9"/>
      <c r="AE1827" s="9"/>
      <c r="AF1827" s="9"/>
      <c r="AG1827" s="9"/>
      <c r="AH1827" s="9"/>
      <c r="AI1827" s="9"/>
      <c r="AJ1827" s="9"/>
      <c r="AK1827" s="9"/>
      <c r="AL1827" s="9"/>
      <c r="AM1827" s="9"/>
      <c r="AN1827" s="9"/>
      <c r="AO1827" s="9"/>
      <c r="AP1827" s="9"/>
      <c r="AQ1827" s="9"/>
      <c r="AR1827" s="9"/>
      <c r="AS1827" s="9"/>
      <c r="AT1827" s="9"/>
      <c r="AU1827" s="9"/>
      <c r="AV1827" s="9"/>
      <c r="AW1827" s="9"/>
      <c r="AX1827" s="4" t="s">
        <v>38</v>
      </c>
      <c r="AY1827" s="5" t="s">
        <v>8003</v>
      </c>
      <c r="AZ1827" s="5" t="s">
        <v>38</v>
      </c>
      <c r="BA1827" s="12"/>
      <c r="BB1827" s="12"/>
      <c r="BC1827" s="12"/>
      <c r="BD1827" s="11">
        <v>0</v>
      </c>
      <c r="BE1827" s="11">
        <v>0</v>
      </c>
    </row>
    <row x14ac:dyDescent="0.25" r="1828" customHeight="1" ht="17.25">
      <c r="A1828" s="11">
        <v>67145</v>
      </c>
      <c r="B1828" s="4" t="s">
        <v>8004</v>
      </c>
      <c r="C1828" s="5" t="s">
        <v>8005</v>
      </c>
      <c r="D1828" s="5" t="s">
        <v>8006</v>
      </c>
      <c r="E1828" s="5" t="s">
        <v>8007</v>
      </c>
      <c r="F1828" s="13">
        <f>"1586420054"</f>
      </c>
      <c r="G1828" s="13">
        <f>"9781586420055"</f>
      </c>
      <c r="H1828" s="11">
        <v>0</v>
      </c>
      <c r="I1828" s="14">
        <v>3.74</v>
      </c>
      <c r="J1828" s="7" t="s">
        <v>8008</v>
      </c>
      <c r="K1828" s="5" t="s">
        <v>60</v>
      </c>
      <c r="L1828" s="11">
        <v>400</v>
      </c>
      <c r="M1828" s="11">
        <v>2000</v>
      </c>
      <c r="N1828" s="11">
        <v>1929</v>
      </c>
      <c r="O1828" s="15"/>
      <c r="P1828" s="9">
        <v>44158</v>
      </c>
      <c r="Q1828" s="9"/>
      <c r="R1828" s="9"/>
      <c r="S1828" s="9"/>
      <c r="T1828" s="9"/>
      <c r="U1828" s="9"/>
      <c r="V1828" s="9"/>
      <c r="W1828" s="9"/>
      <c r="X1828" s="9"/>
      <c r="Y1828" s="9"/>
      <c r="Z1828" s="9"/>
      <c r="AA1828" s="9"/>
      <c r="AB1828" s="9"/>
      <c r="AC1828" s="9"/>
      <c r="AD1828" s="9"/>
      <c r="AE1828" s="9"/>
      <c r="AF1828" s="9"/>
      <c r="AG1828" s="9"/>
      <c r="AH1828" s="9"/>
      <c r="AI1828" s="9"/>
      <c r="AJ1828" s="9"/>
      <c r="AK1828" s="9"/>
      <c r="AL1828" s="9"/>
      <c r="AM1828" s="9"/>
      <c r="AN1828" s="9"/>
      <c r="AO1828" s="9"/>
      <c r="AP1828" s="9"/>
      <c r="AQ1828" s="9"/>
      <c r="AR1828" s="9"/>
      <c r="AS1828" s="9"/>
      <c r="AT1828" s="9"/>
      <c r="AU1828" s="9"/>
      <c r="AV1828" s="9"/>
      <c r="AW1828" s="9"/>
      <c r="AX1828" s="4" t="s">
        <v>38</v>
      </c>
      <c r="AY1828" s="5" t="s">
        <v>8009</v>
      </c>
      <c r="AZ1828" s="5" t="s">
        <v>38</v>
      </c>
      <c r="BA1828" s="12"/>
      <c r="BB1828" s="12"/>
      <c r="BC1828" s="12"/>
      <c r="BD1828" s="11">
        <v>0</v>
      </c>
      <c r="BE1828" s="11">
        <v>0</v>
      </c>
    </row>
    <row x14ac:dyDescent="0.25" r="1829" customHeight="1" ht="17.25">
      <c r="A1829" s="11">
        <v>51092826</v>
      </c>
      <c r="B1829" s="4" t="s">
        <v>8010</v>
      </c>
      <c r="C1829" s="5" t="s">
        <v>8011</v>
      </c>
      <c r="D1829" s="5" t="s">
        <v>8012</v>
      </c>
      <c r="E1829" s="12"/>
      <c r="F1829" s="13">
        <f>""</f>
      </c>
      <c r="G1829" s="13">
        <f>""</f>
      </c>
      <c r="H1829" s="11">
        <v>0</v>
      </c>
      <c r="I1829" s="14">
        <v>4.43</v>
      </c>
      <c r="J1829" s="7" t="s">
        <v>6506</v>
      </c>
      <c r="K1829" s="5" t="s">
        <v>90</v>
      </c>
      <c r="L1829" s="11">
        <v>127</v>
      </c>
      <c r="M1829" s="11">
        <v>2019</v>
      </c>
      <c r="N1829" s="16"/>
      <c r="O1829" s="15"/>
      <c r="P1829" s="9">
        <v>44157</v>
      </c>
      <c r="Q1829" s="9"/>
      <c r="R1829" s="9"/>
      <c r="S1829" s="9"/>
      <c r="T1829" s="9"/>
      <c r="U1829" s="9"/>
      <c r="V1829" s="9"/>
      <c r="W1829" s="9"/>
      <c r="X1829" s="9"/>
      <c r="Y1829" s="9"/>
      <c r="Z1829" s="9"/>
      <c r="AA1829" s="9"/>
      <c r="AB1829" s="9"/>
      <c r="AC1829" s="9"/>
      <c r="AD1829" s="9"/>
      <c r="AE1829" s="9"/>
      <c r="AF1829" s="9"/>
      <c r="AG1829" s="9"/>
      <c r="AH1829" s="9"/>
      <c r="AI1829" s="9"/>
      <c r="AJ1829" s="9"/>
      <c r="AK1829" s="9"/>
      <c r="AL1829" s="9"/>
      <c r="AM1829" s="9"/>
      <c r="AN1829" s="9"/>
      <c r="AO1829" s="9"/>
      <c r="AP1829" s="9"/>
      <c r="AQ1829" s="9"/>
      <c r="AR1829" s="9"/>
      <c r="AS1829" s="9"/>
      <c r="AT1829" s="9"/>
      <c r="AU1829" s="9"/>
      <c r="AV1829" s="9"/>
      <c r="AW1829" s="9"/>
      <c r="AX1829" s="4" t="s">
        <v>38</v>
      </c>
      <c r="AY1829" s="5" t="s">
        <v>8013</v>
      </c>
      <c r="AZ1829" s="5" t="s">
        <v>38</v>
      </c>
      <c r="BA1829" s="12"/>
      <c r="BB1829" s="12"/>
      <c r="BC1829" s="12"/>
      <c r="BD1829" s="11">
        <v>0</v>
      </c>
      <c r="BE1829" s="11">
        <v>0</v>
      </c>
    </row>
    <row x14ac:dyDescent="0.25" r="1830" customHeight="1" ht="17.25">
      <c r="A1830" s="11">
        <v>50788186</v>
      </c>
      <c r="B1830" s="4" t="s">
        <v>8014</v>
      </c>
      <c r="C1830" s="5" t="s">
        <v>8015</v>
      </c>
      <c r="D1830" s="5" t="s">
        <v>8016</v>
      </c>
      <c r="E1830" s="12"/>
      <c r="F1830" s="13">
        <f>"0593188950"</f>
      </c>
      <c r="G1830" s="13">
        <f>"9780593188958"</f>
      </c>
      <c r="H1830" s="11">
        <v>0</v>
      </c>
      <c r="I1830" s="14">
        <v>3.48</v>
      </c>
      <c r="J1830" s="7" t="s">
        <v>418</v>
      </c>
      <c r="K1830" s="5" t="s">
        <v>60</v>
      </c>
      <c r="L1830" s="11">
        <v>210</v>
      </c>
      <c r="M1830" s="11">
        <v>2020</v>
      </c>
      <c r="N1830" s="11">
        <v>2020</v>
      </c>
      <c r="O1830" s="15"/>
      <c r="P1830" s="9">
        <v>44155</v>
      </c>
      <c r="Q1830" s="9"/>
      <c r="R1830" s="9"/>
      <c r="S1830" s="9"/>
      <c r="T1830" s="9"/>
      <c r="U1830" s="9"/>
      <c r="V1830" s="9"/>
      <c r="W1830" s="9"/>
      <c r="X1830" s="9"/>
      <c r="Y1830" s="9"/>
      <c r="Z1830" s="9"/>
      <c r="AA1830" s="9"/>
      <c r="AB1830" s="9"/>
      <c r="AC1830" s="9"/>
      <c r="AD1830" s="9"/>
      <c r="AE1830" s="9"/>
      <c r="AF1830" s="9"/>
      <c r="AG1830" s="9"/>
      <c r="AH1830" s="9"/>
      <c r="AI1830" s="9"/>
      <c r="AJ1830" s="9"/>
      <c r="AK1830" s="9"/>
      <c r="AL1830" s="9"/>
      <c r="AM1830" s="9"/>
      <c r="AN1830" s="9"/>
      <c r="AO1830" s="9"/>
      <c r="AP1830" s="9"/>
      <c r="AQ1830" s="9"/>
      <c r="AR1830" s="9"/>
      <c r="AS1830" s="9"/>
      <c r="AT1830" s="9"/>
      <c r="AU1830" s="9"/>
      <c r="AV1830" s="9"/>
      <c r="AW1830" s="9"/>
      <c r="AX1830" s="4" t="s">
        <v>38</v>
      </c>
      <c r="AY1830" s="5" t="s">
        <v>8017</v>
      </c>
      <c r="AZ1830" s="5" t="s">
        <v>38</v>
      </c>
      <c r="BA1830" s="12"/>
      <c r="BB1830" s="12"/>
      <c r="BC1830" s="12"/>
      <c r="BD1830" s="11">
        <v>0</v>
      </c>
      <c r="BE1830" s="11">
        <v>0</v>
      </c>
    </row>
    <row x14ac:dyDescent="0.25" r="1831" customHeight="1" ht="17.25">
      <c r="A1831" s="11">
        <v>53401989</v>
      </c>
      <c r="B1831" s="4" t="s">
        <v>8018</v>
      </c>
      <c r="C1831" s="5" t="s">
        <v>8019</v>
      </c>
      <c r="D1831" s="5" t="s">
        <v>8020</v>
      </c>
      <c r="E1831" s="5" t="s">
        <v>8021</v>
      </c>
      <c r="F1831" s="13">
        <f>"1632062712"</f>
      </c>
      <c r="G1831" s="13">
        <f>"9781632062710"</f>
      </c>
      <c r="H1831" s="11">
        <v>0</v>
      </c>
      <c r="I1831" s="14">
        <v>4.06</v>
      </c>
      <c r="J1831" s="7" t="s">
        <v>7983</v>
      </c>
      <c r="K1831" s="5" t="s">
        <v>72</v>
      </c>
      <c r="L1831" s="11">
        <v>176</v>
      </c>
      <c r="M1831" s="11">
        <v>2020</v>
      </c>
      <c r="N1831" s="11">
        <v>2017</v>
      </c>
      <c r="O1831" s="15"/>
      <c r="P1831" s="9">
        <v>44155</v>
      </c>
      <c r="Q1831" s="9"/>
      <c r="R1831" s="9"/>
      <c r="S1831" s="9"/>
      <c r="T1831" s="9"/>
      <c r="U1831" s="9"/>
      <c r="V1831" s="9"/>
      <c r="W1831" s="9"/>
      <c r="X1831" s="9"/>
      <c r="Y1831" s="9"/>
      <c r="Z1831" s="9"/>
      <c r="AA1831" s="9"/>
      <c r="AB1831" s="9"/>
      <c r="AC1831" s="9"/>
      <c r="AD1831" s="9"/>
      <c r="AE1831" s="9"/>
      <c r="AF1831" s="9"/>
      <c r="AG1831" s="9"/>
      <c r="AH1831" s="9"/>
      <c r="AI1831" s="9"/>
      <c r="AJ1831" s="9"/>
      <c r="AK1831" s="9"/>
      <c r="AL1831" s="9"/>
      <c r="AM1831" s="9"/>
      <c r="AN1831" s="9"/>
      <c r="AO1831" s="9"/>
      <c r="AP1831" s="9"/>
      <c r="AQ1831" s="9"/>
      <c r="AR1831" s="9"/>
      <c r="AS1831" s="9"/>
      <c r="AT1831" s="9"/>
      <c r="AU1831" s="9"/>
      <c r="AV1831" s="9"/>
      <c r="AW1831" s="9"/>
      <c r="AX1831" s="4" t="s">
        <v>38</v>
      </c>
      <c r="AY1831" s="5" t="s">
        <v>8022</v>
      </c>
      <c r="AZ1831" s="5" t="s">
        <v>38</v>
      </c>
      <c r="BA1831" s="12"/>
      <c r="BB1831" s="12"/>
      <c r="BC1831" s="12"/>
      <c r="BD1831" s="11">
        <v>0</v>
      </c>
      <c r="BE1831" s="11">
        <v>0</v>
      </c>
    </row>
    <row x14ac:dyDescent="0.25" r="1832" customHeight="1" ht="17.25">
      <c r="A1832" s="11">
        <v>25491</v>
      </c>
      <c r="B1832" s="4" t="s">
        <v>8023</v>
      </c>
      <c r="C1832" s="5" t="s">
        <v>7108</v>
      </c>
      <c r="D1832" s="5" t="s">
        <v>7109</v>
      </c>
      <c r="E1832" s="12"/>
      <c r="F1832" s="13">
        <f>"0805031499"</f>
      </c>
      <c r="G1832" s="13">
        <f>"9780805031492"</f>
      </c>
      <c r="H1832" s="11">
        <v>0</v>
      </c>
      <c r="I1832" s="14">
        <v>4.27</v>
      </c>
      <c r="J1832" s="7" t="s">
        <v>5591</v>
      </c>
      <c r="K1832" s="5" t="s">
        <v>60</v>
      </c>
      <c r="L1832" s="11">
        <v>301</v>
      </c>
      <c r="M1832" s="11">
        <v>1994</v>
      </c>
      <c r="N1832" s="11">
        <v>1941</v>
      </c>
      <c r="O1832" s="15"/>
      <c r="P1832" s="9">
        <v>44154</v>
      </c>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c r="AO1832" s="9"/>
      <c r="AP1832" s="9"/>
      <c r="AQ1832" s="9"/>
      <c r="AR1832" s="9"/>
      <c r="AS1832" s="9"/>
      <c r="AT1832" s="9"/>
      <c r="AU1832" s="9"/>
      <c r="AV1832" s="9"/>
      <c r="AW1832" s="9"/>
      <c r="AX1832" s="4" t="s">
        <v>38</v>
      </c>
      <c r="AY1832" s="5" t="s">
        <v>8024</v>
      </c>
      <c r="AZ1832" s="5" t="s">
        <v>38</v>
      </c>
      <c r="BA1832" s="12"/>
      <c r="BB1832" s="12"/>
      <c r="BC1832" s="12"/>
      <c r="BD1832" s="11">
        <v>0</v>
      </c>
      <c r="BE1832" s="11">
        <v>0</v>
      </c>
    </row>
    <row x14ac:dyDescent="0.25" r="1833" customHeight="1" ht="17.25">
      <c r="A1833" s="11">
        <v>22478</v>
      </c>
      <c r="B1833" s="4" t="s">
        <v>8025</v>
      </c>
      <c r="C1833" s="5" t="s">
        <v>8026</v>
      </c>
      <c r="D1833" s="5" t="s">
        <v>8027</v>
      </c>
      <c r="E1833" s="12"/>
      <c r="F1833" s="13">
        <f>"0618057072"</f>
      </c>
      <c r="G1833" s="13">
        <f>"9780618057078"</f>
      </c>
      <c r="H1833" s="11">
        <v>0</v>
      </c>
      <c r="I1833" s="14">
        <v>4.25</v>
      </c>
      <c r="J1833" s="7" t="s">
        <v>434</v>
      </c>
      <c r="K1833" s="5" t="s">
        <v>60</v>
      </c>
      <c r="L1833" s="11">
        <v>491</v>
      </c>
      <c r="M1833" s="11">
        <v>2000</v>
      </c>
      <c r="N1833" s="11">
        <v>1976</v>
      </c>
      <c r="O1833" s="15"/>
      <c r="P1833" s="9">
        <v>44153</v>
      </c>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c r="AO1833" s="9"/>
      <c r="AP1833" s="9"/>
      <c r="AQ1833" s="9"/>
      <c r="AR1833" s="9"/>
      <c r="AS1833" s="9"/>
      <c r="AT1833" s="9"/>
      <c r="AU1833" s="9"/>
      <c r="AV1833" s="9"/>
      <c r="AW1833" s="9"/>
      <c r="AX1833" s="4" t="s">
        <v>38</v>
      </c>
      <c r="AY1833" s="5" t="s">
        <v>8028</v>
      </c>
      <c r="AZ1833" s="5" t="s">
        <v>38</v>
      </c>
      <c r="BA1833" s="12"/>
      <c r="BB1833" s="12"/>
      <c r="BC1833" s="12"/>
      <c r="BD1833" s="11">
        <v>0</v>
      </c>
      <c r="BE1833" s="11">
        <v>0</v>
      </c>
    </row>
    <row x14ac:dyDescent="0.25" r="1834" customHeight="1" ht="17.25">
      <c r="A1834" s="11">
        <v>35242824</v>
      </c>
      <c r="B1834" s="4" t="s">
        <v>8029</v>
      </c>
      <c r="C1834" s="5" t="s">
        <v>8030</v>
      </c>
      <c r="D1834" s="5" t="s">
        <v>8031</v>
      </c>
      <c r="E1834" s="12"/>
      <c r="F1834" s="13">
        <f>"0143196421"</f>
      </c>
      <c r="G1834" s="13">
        <f>"9780143196426"</f>
      </c>
      <c r="H1834" s="11">
        <v>0</v>
      </c>
      <c r="I1834" s="14">
        <v>3.42</v>
      </c>
      <c r="J1834" s="7" t="s">
        <v>177</v>
      </c>
      <c r="K1834" s="5" t="s">
        <v>60</v>
      </c>
      <c r="L1834" s="11">
        <v>320</v>
      </c>
      <c r="M1834" s="11">
        <v>2018</v>
      </c>
      <c r="N1834" s="11">
        <v>2018</v>
      </c>
      <c r="O1834" s="15"/>
      <c r="P1834" s="9">
        <v>44152</v>
      </c>
      <c r="Q1834" s="9"/>
      <c r="R1834" s="9"/>
      <c r="S1834" s="9"/>
      <c r="T1834" s="9"/>
      <c r="U1834" s="9"/>
      <c r="V1834" s="9"/>
      <c r="W1834" s="9"/>
      <c r="X1834" s="9"/>
      <c r="Y1834" s="9"/>
      <c r="Z1834" s="9"/>
      <c r="AA1834" s="9"/>
      <c r="AB1834" s="9"/>
      <c r="AC1834" s="9"/>
      <c r="AD1834" s="9"/>
      <c r="AE1834" s="9"/>
      <c r="AF1834" s="9"/>
      <c r="AG1834" s="9"/>
      <c r="AH1834" s="9"/>
      <c r="AI1834" s="9"/>
      <c r="AJ1834" s="9"/>
      <c r="AK1834" s="9"/>
      <c r="AL1834" s="9"/>
      <c r="AM1834" s="9"/>
      <c r="AN1834" s="9"/>
      <c r="AO1834" s="9"/>
      <c r="AP1834" s="9"/>
      <c r="AQ1834" s="9"/>
      <c r="AR1834" s="9"/>
      <c r="AS1834" s="9"/>
      <c r="AT1834" s="9"/>
      <c r="AU1834" s="9"/>
      <c r="AV1834" s="9"/>
      <c r="AW1834" s="9"/>
      <c r="AX1834" s="4" t="s">
        <v>38</v>
      </c>
      <c r="AY1834" s="5" t="s">
        <v>8032</v>
      </c>
      <c r="AZ1834" s="5" t="s">
        <v>38</v>
      </c>
      <c r="BA1834" s="12"/>
      <c r="BB1834" s="12"/>
      <c r="BC1834" s="12"/>
      <c r="BD1834" s="11">
        <v>0</v>
      </c>
      <c r="BE1834" s="11">
        <v>0</v>
      </c>
    </row>
    <row x14ac:dyDescent="0.25" r="1835" customHeight="1" ht="17.25">
      <c r="A1835" s="11">
        <v>50998099</v>
      </c>
      <c r="B1835" s="4" t="s">
        <v>8033</v>
      </c>
      <c r="C1835" s="5" t="s">
        <v>8034</v>
      </c>
      <c r="D1835" s="5" t="s">
        <v>8035</v>
      </c>
      <c r="E1835" s="12"/>
      <c r="F1835" s="13">
        <f>"0316449822"</f>
      </c>
      <c r="G1835" s="13">
        <f>"9780316449823"</f>
      </c>
      <c r="H1835" s="11">
        <v>0</v>
      </c>
      <c r="I1835" s="14">
        <v>3.92</v>
      </c>
      <c r="J1835" s="7" t="s">
        <v>7171</v>
      </c>
      <c r="K1835" s="5" t="s">
        <v>72</v>
      </c>
      <c r="L1835" s="11">
        <v>243</v>
      </c>
      <c r="M1835" s="11">
        <v>2020</v>
      </c>
      <c r="N1835" s="11">
        <v>2020</v>
      </c>
      <c r="O1835" s="15"/>
      <c r="P1835" s="9">
        <v>44152</v>
      </c>
      <c r="Q1835" s="9"/>
      <c r="R1835" s="9"/>
      <c r="S1835" s="9"/>
      <c r="T1835" s="9"/>
      <c r="U1835" s="9"/>
      <c r="V1835" s="9"/>
      <c r="W1835" s="9"/>
      <c r="X1835" s="9"/>
      <c r="Y1835" s="9"/>
      <c r="Z1835" s="9"/>
      <c r="AA1835" s="9"/>
      <c r="AB1835" s="9"/>
      <c r="AC1835" s="9"/>
      <c r="AD1835" s="9"/>
      <c r="AE1835" s="9"/>
      <c r="AF1835" s="9"/>
      <c r="AG1835" s="9"/>
      <c r="AH1835" s="9"/>
      <c r="AI1835" s="9"/>
      <c r="AJ1835" s="9"/>
      <c r="AK1835" s="9"/>
      <c r="AL1835" s="9"/>
      <c r="AM1835" s="9"/>
      <c r="AN1835" s="9"/>
      <c r="AO1835" s="9"/>
      <c r="AP1835" s="9"/>
      <c r="AQ1835" s="9"/>
      <c r="AR1835" s="9"/>
      <c r="AS1835" s="9"/>
      <c r="AT1835" s="9"/>
      <c r="AU1835" s="9"/>
      <c r="AV1835" s="9"/>
      <c r="AW1835" s="9"/>
      <c r="AX1835" s="4" t="s">
        <v>38</v>
      </c>
      <c r="AY1835" s="5" t="s">
        <v>8036</v>
      </c>
      <c r="AZ1835" s="5" t="s">
        <v>38</v>
      </c>
      <c r="BA1835" s="12"/>
      <c r="BB1835" s="12"/>
      <c r="BC1835" s="12"/>
      <c r="BD1835" s="11">
        <v>0</v>
      </c>
      <c r="BE1835" s="11">
        <v>0</v>
      </c>
    </row>
    <row x14ac:dyDescent="0.25" r="1836" customHeight="1" ht="17.25">
      <c r="A1836" s="11">
        <v>460634</v>
      </c>
      <c r="B1836" s="4" t="s">
        <v>8037</v>
      </c>
      <c r="C1836" s="5" t="s">
        <v>4057</v>
      </c>
      <c r="D1836" s="5" t="s">
        <v>4058</v>
      </c>
      <c r="E1836" s="12"/>
      <c r="F1836" s="13">
        <f>"0679736565"</f>
      </c>
      <c r="G1836" s="13">
        <f>"9780679736561"</f>
      </c>
      <c r="H1836" s="11">
        <v>0</v>
      </c>
      <c r="I1836" s="14">
        <v>4.18</v>
      </c>
      <c r="J1836" s="7" t="s">
        <v>284</v>
      </c>
      <c r="K1836" s="5" t="s">
        <v>60</v>
      </c>
      <c r="L1836" s="11">
        <v>101</v>
      </c>
      <c r="M1836" s="11">
        <v>1991</v>
      </c>
      <c r="N1836" s="11">
        <v>1984</v>
      </c>
      <c r="O1836" s="15"/>
      <c r="P1836" s="8">
        <v>44144</v>
      </c>
      <c r="Q1836" s="8"/>
      <c r="R1836" s="8"/>
      <c r="S1836" s="8"/>
      <c r="T1836" s="8"/>
      <c r="U1836" s="8"/>
      <c r="V1836" s="8"/>
      <c r="W1836" s="8"/>
      <c r="X1836" s="8"/>
      <c r="Y1836" s="8"/>
      <c r="Z1836" s="8"/>
      <c r="AA1836" s="8"/>
      <c r="AB1836" s="8"/>
      <c r="AC1836" s="8"/>
      <c r="AD1836" s="8"/>
      <c r="AE1836" s="8"/>
      <c r="AF1836" s="8"/>
      <c r="AG1836" s="8"/>
      <c r="AH1836" s="8"/>
      <c r="AI1836" s="8"/>
      <c r="AJ1836" s="8"/>
      <c r="AK1836" s="8"/>
      <c r="AL1836" s="8"/>
      <c r="AM1836" s="8"/>
      <c r="AN1836" s="8"/>
      <c r="AO1836" s="8"/>
      <c r="AP1836" s="8"/>
      <c r="AQ1836" s="8"/>
      <c r="AR1836" s="8"/>
      <c r="AS1836" s="8"/>
      <c r="AT1836" s="8"/>
      <c r="AU1836" s="8"/>
      <c r="AV1836" s="8"/>
      <c r="AW1836" s="8"/>
      <c r="AX1836" s="4" t="s">
        <v>38</v>
      </c>
      <c r="AY1836" s="5" t="s">
        <v>8038</v>
      </c>
      <c r="AZ1836" s="5" t="s">
        <v>38</v>
      </c>
      <c r="BA1836" s="12"/>
      <c r="BB1836" s="12"/>
      <c r="BC1836" s="12"/>
      <c r="BD1836" s="11">
        <v>0</v>
      </c>
      <c r="BE1836" s="11">
        <v>0</v>
      </c>
    </row>
    <row x14ac:dyDescent="0.25" r="1837" customHeight="1" ht="17.25">
      <c r="A1837" s="11">
        <v>51042698</v>
      </c>
      <c r="B1837" s="4" t="s">
        <v>8039</v>
      </c>
      <c r="C1837" s="5" t="s">
        <v>8040</v>
      </c>
      <c r="D1837" s="5" t="s">
        <v>8041</v>
      </c>
      <c r="E1837" s="12"/>
      <c r="F1837" s="13">
        <f>"1946448648"</f>
      </c>
      <c r="G1837" s="13">
        <f>"9781946448644"</f>
      </c>
      <c r="H1837" s="11">
        <v>0</v>
      </c>
      <c r="I1837" s="14">
        <v>4.56</v>
      </c>
      <c r="J1837" s="7" t="s">
        <v>4577</v>
      </c>
      <c r="K1837" s="5" t="s">
        <v>60</v>
      </c>
      <c r="L1837" s="11">
        <v>104</v>
      </c>
      <c r="M1837" s="11">
        <v>2020</v>
      </c>
      <c r="N1837" s="11">
        <v>2020</v>
      </c>
      <c r="O1837" s="15"/>
      <c r="P1837" s="8">
        <v>44138</v>
      </c>
      <c r="Q1837" s="8"/>
      <c r="R1837" s="8"/>
      <c r="S1837" s="8"/>
      <c r="T1837" s="8"/>
      <c r="U1837" s="8"/>
      <c r="V1837" s="8"/>
      <c r="W1837" s="8"/>
      <c r="X1837" s="8"/>
      <c r="Y1837" s="8"/>
      <c r="Z1837" s="8"/>
      <c r="AA1837" s="8"/>
      <c r="AB1837" s="8"/>
      <c r="AC1837" s="8"/>
      <c r="AD1837" s="8"/>
      <c r="AE1837" s="8"/>
      <c r="AF1837" s="8"/>
      <c r="AG1837" s="8"/>
      <c r="AH1837" s="8"/>
      <c r="AI1837" s="8"/>
      <c r="AJ1837" s="8"/>
      <c r="AK1837" s="8"/>
      <c r="AL1837" s="8"/>
      <c r="AM1837" s="8"/>
      <c r="AN1837" s="8"/>
      <c r="AO1837" s="8"/>
      <c r="AP1837" s="8"/>
      <c r="AQ1837" s="8"/>
      <c r="AR1837" s="8"/>
      <c r="AS1837" s="8"/>
      <c r="AT1837" s="8"/>
      <c r="AU1837" s="8"/>
      <c r="AV1837" s="8"/>
      <c r="AW1837" s="8"/>
      <c r="AX1837" s="4" t="s">
        <v>38</v>
      </c>
      <c r="AY1837" s="5" t="s">
        <v>8042</v>
      </c>
      <c r="AZ1837" s="5" t="s">
        <v>38</v>
      </c>
      <c r="BA1837" s="12"/>
      <c r="BB1837" s="12"/>
      <c r="BC1837" s="12"/>
      <c r="BD1837" s="11">
        <v>0</v>
      </c>
      <c r="BE1837" s="11">
        <v>0</v>
      </c>
    </row>
    <row x14ac:dyDescent="0.25" r="1838" customHeight="1" ht="17.25">
      <c r="A1838" s="11">
        <v>42268742</v>
      </c>
      <c r="B1838" s="4" t="s">
        <v>8043</v>
      </c>
      <c r="C1838" s="5" t="s">
        <v>8044</v>
      </c>
      <c r="D1838" s="5" t="s">
        <v>8045</v>
      </c>
      <c r="E1838" s="5" t="s">
        <v>8046</v>
      </c>
      <c r="F1838" s="13">
        <f>"0811228789"</f>
      </c>
      <c r="G1838" s="13">
        <f>"9780811228787"</f>
      </c>
      <c r="H1838" s="11">
        <v>0</v>
      </c>
      <c r="I1838" s="14">
        <v>3.99</v>
      </c>
      <c r="J1838" s="7" t="s">
        <v>126</v>
      </c>
      <c r="K1838" s="5" t="s">
        <v>60</v>
      </c>
      <c r="L1838" s="11">
        <v>88</v>
      </c>
      <c r="M1838" s="11">
        <v>2019</v>
      </c>
      <c r="N1838" s="11">
        <v>1947</v>
      </c>
      <c r="O1838" s="15"/>
      <c r="P1838" s="9">
        <v>44128</v>
      </c>
      <c r="Q1838" s="9"/>
      <c r="R1838" s="9"/>
      <c r="S1838" s="9"/>
      <c r="T1838" s="9"/>
      <c r="U1838" s="9"/>
      <c r="V1838" s="9"/>
      <c r="W1838" s="9"/>
      <c r="X1838" s="9"/>
      <c r="Y1838" s="9"/>
      <c r="Z1838" s="9"/>
      <c r="AA1838" s="9"/>
      <c r="AB1838" s="9"/>
      <c r="AC1838" s="9"/>
      <c r="AD1838" s="9"/>
      <c r="AE1838" s="9"/>
      <c r="AF1838" s="9"/>
      <c r="AG1838" s="9"/>
      <c r="AH1838" s="9"/>
      <c r="AI1838" s="9"/>
      <c r="AJ1838" s="9"/>
      <c r="AK1838" s="9"/>
      <c r="AL1838" s="9"/>
      <c r="AM1838" s="9"/>
      <c r="AN1838" s="9"/>
      <c r="AO1838" s="9"/>
      <c r="AP1838" s="9"/>
      <c r="AQ1838" s="9"/>
      <c r="AR1838" s="9"/>
      <c r="AS1838" s="9"/>
      <c r="AT1838" s="9"/>
      <c r="AU1838" s="9"/>
      <c r="AV1838" s="9"/>
      <c r="AW1838" s="9"/>
      <c r="AX1838" s="4" t="s">
        <v>38</v>
      </c>
      <c r="AY1838" s="5" t="s">
        <v>8047</v>
      </c>
      <c r="AZ1838" s="5" t="s">
        <v>38</v>
      </c>
      <c r="BA1838" s="12"/>
      <c r="BB1838" s="12"/>
      <c r="BC1838" s="12"/>
      <c r="BD1838" s="11">
        <v>0</v>
      </c>
      <c r="BE1838" s="11">
        <v>0</v>
      </c>
    </row>
    <row x14ac:dyDescent="0.25" r="1839" customHeight="1" ht="17.25">
      <c r="A1839" s="11">
        <v>738965</v>
      </c>
      <c r="B1839" s="4" t="s">
        <v>8048</v>
      </c>
      <c r="C1839" s="5" t="s">
        <v>8049</v>
      </c>
      <c r="D1839" s="5" t="s">
        <v>8050</v>
      </c>
      <c r="E1839" s="12"/>
      <c r="F1839" s="13">
        <f>"0906500079"</f>
      </c>
      <c r="G1839" s="13">
        <f>"9780906500071"</f>
      </c>
      <c r="H1839" s="11">
        <v>0</v>
      </c>
      <c r="I1839" s="14">
        <v>4.29</v>
      </c>
      <c r="J1839" s="7" t="s">
        <v>8051</v>
      </c>
      <c r="K1839" s="5" t="s">
        <v>8052</v>
      </c>
      <c r="L1839" s="11">
        <v>32</v>
      </c>
      <c r="M1839" s="11">
        <v>1980</v>
      </c>
      <c r="N1839" s="11">
        <v>1980</v>
      </c>
      <c r="O1839" s="15"/>
      <c r="P1839" s="9">
        <v>44128</v>
      </c>
      <c r="Q1839" s="9"/>
      <c r="R1839" s="9"/>
      <c r="S1839" s="9"/>
      <c r="T1839" s="9"/>
      <c r="U1839" s="9"/>
      <c r="V1839" s="9"/>
      <c r="W1839" s="9"/>
      <c r="X1839" s="9"/>
      <c r="Y1839" s="9"/>
      <c r="Z1839" s="9"/>
      <c r="AA1839" s="9"/>
      <c r="AB1839" s="9"/>
      <c r="AC1839" s="9"/>
      <c r="AD1839" s="9"/>
      <c r="AE1839" s="9"/>
      <c r="AF1839" s="9"/>
      <c r="AG1839" s="9"/>
      <c r="AH1839" s="9"/>
      <c r="AI1839" s="9"/>
      <c r="AJ1839" s="9"/>
      <c r="AK1839" s="9"/>
      <c r="AL1839" s="9"/>
      <c r="AM1839" s="9"/>
      <c r="AN1839" s="9"/>
      <c r="AO1839" s="9"/>
      <c r="AP1839" s="9"/>
      <c r="AQ1839" s="9"/>
      <c r="AR1839" s="9"/>
      <c r="AS1839" s="9"/>
      <c r="AT1839" s="9"/>
      <c r="AU1839" s="9"/>
      <c r="AV1839" s="9"/>
      <c r="AW1839" s="9"/>
      <c r="AX1839" s="4" t="s">
        <v>38</v>
      </c>
      <c r="AY1839" s="5" t="s">
        <v>8053</v>
      </c>
      <c r="AZ1839" s="5" t="s">
        <v>38</v>
      </c>
      <c r="BA1839" s="12"/>
      <c r="BB1839" s="12"/>
      <c r="BC1839" s="12"/>
      <c r="BD1839" s="11">
        <v>0</v>
      </c>
      <c r="BE1839" s="11">
        <v>0</v>
      </c>
    </row>
    <row x14ac:dyDescent="0.25" r="1840" customHeight="1" ht="17.25">
      <c r="A1840" s="11">
        <v>74176</v>
      </c>
      <c r="B1840" s="4" t="s">
        <v>8054</v>
      </c>
      <c r="C1840" s="5" t="s">
        <v>8055</v>
      </c>
      <c r="D1840" s="5" t="s">
        <v>8056</v>
      </c>
      <c r="E1840" s="5" t="s">
        <v>8057</v>
      </c>
      <c r="F1840" s="13">
        <f>"048642703X"</f>
      </c>
      <c r="G1840" s="13">
        <f>"9780486427034"</f>
      </c>
      <c r="H1840" s="11">
        <v>0</v>
      </c>
      <c r="I1840" s="14">
        <v>3.91</v>
      </c>
      <c r="J1840" s="7" t="s">
        <v>571</v>
      </c>
      <c r="K1840" s="5" t="s">
        <v>60</v>
      </c>
      <c r="L1840" s="11">
        <v>320</v>
      </c>
      <c r="M1840" s="11">
        <v>2003</v>
      </c>
      <c r="N1840" s="11">
        <v>1904</v>
      </c>
      <c r="O1840" s="15"/>
      <c r="P1840" s="9">
        <v>44128</v>
      </c>
      <c r="Q1840" s="9"/>
      <c r="R1840" s="9"/>
      <c r="S1840" s="9"/>
      <c r="T1840" s="9"/>
      <c r="U1840" s="9"/>
      <c r="V1840" s="9"/>
      <c r="W1840" s="9"/>
      <c r="X1840" s="9"/>
      <c r="Y1840" s="9"/>
      <c r="Z1840" s="9"/>
      <c r="AA1840" s="9"/>
      <c r="AB1840" s="9"/>
      <c r="AC1840" s="9"/>
      <c r="AD1840" s="9"/>
      <c r="AE1840" s="9"/>
      <c r="AF1840" s="9"/>
      <c r="AG1840" s="9"/>
      <c r="AH1840" s="9"/>
      <c r="AI1840" s="9"/>
      <c r="AJ1840" s="9"/>
      <c r="AK1840" s="9"/>
      <c r="AL1840" s="9"/>
      <c r="AM1840" s="9"/>
      <c r="AN1840" s="9"/>
      <c r="AO1840" s="9"/>
      <c r="AP1840" s="9"/>
      <c r="AQ1840" s="9"/>
      <c r="AR1840" s="9"/>
      <c r="AS1840" s="9"/>
      <c r="AT1840" s="9"/>
      <c r="AU1840" s="9"/>
      <c r="AV1840" s="9"/>
      <c r="AW1840" s="9"/>
      <c r="AX1840" s="4" t="s">
        <v>38</v>
      </c>
      <c r="AY1840" s="5" t="s">
        <v>8058</v>
      </c>
      <c r="AZ1840" s="5" t="s">
        <v>38</v>
      </c>
      <c r="BA1840" s="12"/>
      <c r="BB1840" s="12"/>
      <c r="BC1840" s="12"/>
      <c r="BD1840" s="11">
        <v>0</v>
      </c>
      <c r="BE1840" s="11">
        <v>0</v>
      </c>
    </row>
    <row x14ac:dyDescent="0.25" r="1841" customHeight="1" ht="17.25">
      <c r="A1841" s="11">
        <v>232311</v>
      </c>
      <c r="B1841" s="4" t="s">
        <v>8059</v>
      </c>
      <c r="C1841" s="5" t="s">
        <v>8060</v>
      </c>
      <c r="D1841" s="5" t="s">
        <v>8061</v>
      </c>
      <c r="E1841" s="12"/>
      <c r="F1841" s="13">
        <f>"0393329801"</f>
      </c>
      <c r="G1841" s="13">
        <f>"9780393329803"</f>
      </c>
      <c r="H1841" s="11">
        <v>0</v>
      </c>
      <c r="I1841" s="14">
        <v>4.2</v>
      </c>
      <c r="J1841" s="7" t="s">
        <v>144</v>
      </c>
      <c r="K1841" s="5" t="s">
        <v>60</v>
      </c>
      <c r="L1841" s="11">
        <v>206</v>
      </c>
      <c r="M1841" s="11">
        <v>2007</v>
      </c>
      <c r="N1841" s="11">
        <v>2005</v>
      </c>
      <c r="O1841" s="15"/>
      <c r="P1841" s="9">
        <v>44128</v>
      </c>
      <c r="Q1841" s="9"/>
      <c r="R1841" s="9"/>
      <c r="S1841" s="9"/>
      <c r="T1841" s="9"/>
      <c r="U1841" s="9"/>
      <c r="V1841" s="9"/>
      <c r="W1841" s="9"/>
      <c r="X1841" s="9"/>
      <c r="Y1841" s="9"/>
      <c r="Z1841" s="9"/>
      <c r="AA1841" s="9"/>
      <c r="AB1841" s="9"/>
      <c r="AC1841" s="9"/>
      <c r="AD1841" s="9"/>
      <c r="AE1841" s="9"/>
      <c r="AF1841" s="9"/>
      <c r="AG1841" s="9"/>
      <c r="AH1841" s="9"/>
      <c r="AI1841" s="9"/>
      <c r="AJ1841" s="9"/>
      <c r="AK1841" s="9"/>
      <c r="AL1841" s="9"/>
      <c r="AM1841" s="9"/>
      <c r="AN1841" s="9"/>
      <c r="AO1841" s="9"/>
      <c r="AP1841" s="9"/>
      <c r="AQ1841" s="9"/>
      <c r="AR1841" s="9"/>
      <c r="AS1841" s="9"/>
      <c r="AT1841" s="9"/>
      <c r="AU1841" s="9"/>
      <c r="AV1841" s="9"/>
      <c r="AW1841" s="9"/>
      <c r="AX1841" s="4" t="s">
        <v>38</v>
      </c>
      <c r="AY1841" s="5" t="s">
        <v>8062</v>
      </c>
      <c r="AZ1841" s="5" t="s">
        <v>38</v>
      </c>
      <c r="BA1841" s="12"/>
      <c r="BB1841" s="12"/>
      <c r="BC1841" s="12"/>
      <c r="BD1841" s="11">
        <v>0</v>
      </c>
      <c r="BE1841" s="11">
        <v>0</v>
      </c>
    </row>
    <row x14ac:dyDescent="0.25" r="1842" customHeight="1" ht="17.25">
      <c r="A1842" s="11">
        <v>38357895</v>
      </c>
      <c r="B1842" s="4" t="s">
        <v>8063</v>
      </c>
      <c r="C1842" s="5" t="s">
        <v>8064</v>
      </c>
      <c r="D1842" s="5" t="s">
        <v>8065</v>
      </c>
      <c r="E1842" s="5" t="s">
        <v>8066</v>
      </c>
      <c r="F1842" s="13">
        <f>""</f>
      </c>
      <c r="G1842" s="13">
        <f>""</f>
      </c>
      <c r="H1842" s="11">
        <v>0</v>
      </c>
      <c r="I1842" s="14">
        <v>3.7</v>
      </c>
      <c r="J1842" s="7" t="s">
        <v>8067</v>
      </c>
      <c r="K1842" s="5" t="s">
        <v>60</v>
      </c>
      <c r="L1842" s="11">
        <v>163</v>
      </c>
      <c r="M1842" s="11">
        <v>2018</v>
      </c>
      <c r="N1842" s="11">
        <v>2016</v>
      </c>
      <c r="O1842" s="15"/>
      <c r="P1842" s="9">
        <v>44126</v>
      </c>
      <c r="Q1842" s="9"/>
      <c r="R1842" s="9"/>
      <c r="S1842" s="9"/>
      <c r="T1842" s="9"/>
      <c r="U1842" s="9"/>
      <c r="V1842" s="9"/>
      <c r="W1842" s="9"/>
      <c r="X1842" s="9"/>
      <c r="Y1842" s="9"/>
      <c r="Z1842" s="9"/>
      <c r="AA1842" s="9"/>
      <c r="AB1842" s="9"/>
      <c r="AC1842" s="9"/>
      <c r="AD1842" s="9"/>
      <c r="AE1842" s="9"/>
      <c r="AF1842" s="9"/>
      <c r="AG1842" s="9"/>
      <c r="AH1842" s="9"/>
      <c r="AI1842" s="9"/>
      <c r="AJ1842" s="9"/>
      <c r="AK1842" s="9"/>
      <c r="AL1842" s="9"/>
      <c r="AM1842" s="9"/>
      <c r="AN1842" s="9"/>
      <c r="AO1842" s="9"/>
      <c r="AP1842" s="9"/>
      <c r="AQ1842" s="9"/>
      <c r="AR1842" s="9"/>
      <c r="AS1842" s="9"/>
      <c r="AT1842" s="9"/>
      <c r="AU1842" s="9"/>
      <c r="AV1842" s="9"/>
      <c r="AW1842" s="9"/>
      <c r="AX1842" s="4" t="s">
        <v>38</v>
      </c>
      <c r="AY1842" s="5" t="s">
        <v>8068</v>
      </c>
      <c r="AZ1842" s="5" t="s">
        <v>38</v>
      </c>
      <c r="BA1842" s="12"/>
      <c r="BB1842" s="12"/>
      <c r="BC1842" s="12"/>
      <c r="BD1842" s="11">
        <v>0</v>
      </c>
      <c r="BE1842" s="11">
        <v>0</v>
      </c>
    </row>
    <row x14ac:dyDescent="0.25" r="1843" customHeight="1" ht="17.25">
      <c r="A1843" s="11">
        <v>36537921</v>
      </c>
      <c r="B1843" s="4" t="s">
        <v>8069</v>
      </c>
      <c r="C1843" s="5" t="s">
        <v>8070</v>
      </c>
      <c r="D1843" s="5" t="s">
        <v>8071</v>
      </c>
      <c r="E1843" s="5" t="s">
        <v>8072</v>
      </c>
      <c r="F1843" s="13">
        <f>""</f>
      </c>
      <c r="G1843" s="13">
        <f>""</f>
      </c>
      <c r="H1843" s="11">
        <v>0</v>
      </c>
      <c r="I1843" s="14">
        <v>3.58</v>
      </c>
      <c r="J1843" s="7" t="s">
        <v>8073</v>
      </c>
      <c r="K1843" s="5" t="s">
        <v>90</v>
      </c>
      <c r="L1843" s="11">
        <v>207</v>
      </c>
      <c r="M1843" s="11">
        <v>2017</v>
      </c>
      <c r="N1843" s="16"/>
      <c r="O1843" s="15"/>
      <c r="P1843" s="9">
        <v>44122</v>
      </c>
      <c r="Q1843" s="9"/>
      <c r="R1843" s="9"/>
      <c r="S1843" s="9"/>
      <c r="T1843" s="9"/>
      <c r="U1843" s="9"/>
      <c r="V1843" s="9"/>
      <c r="W1843" s="9"/>
      <c r="X1843" s="9"/>
      <c r="Y1843" s="9"/>
      <c r="Z1843" s="9"/>
      <c r="AA1843" s="9"/>
      <c r="AB1843" s="9"/>
      <c r="AC1843" s="9"/>
      <c r="AD1843" s="9"/>
      <c r="AE1843" s="9"/>
      <c r="AF1843" s="9"/>
      <c r="AG1843" s="9"/>
      <c r="AH1843" s="9"/>
      <c r="AI1843" s="9"/>
      <c r="AJ1843" s="9"/>
      <c r="AK1843" s="9"/>
      <c r="AL1843" s="9"/>
      <c r="AM1843" s="9"/>
      <c r="AN1843" s="9"/>
      <c r="AO1843" s="9"/>
      <c r="AP1843" s="9"/>
      <c r="AQ1843" s="9"/>
      <c r="AR1843" s="9"/>
      <c r="AS1843" s="9"/>
      <c r="AT1843" s="9"/>
      <c r="AU1843" s="9"/>
      <c r="AV1843" s="9"/>
      <c r="AW1843" s="9"/>
      <c r="AX1843" s="4" t="s">
        <v>38</v>
      </c>
      <c r="AY1843" s="5" t="s">
        <v>8074</v>
      </c>
      <c r="AZ1843" s="5" t="s">
        <v>38</v>
      </c>
      <c r="BA1843" s="12"/>
      <c r="BB1843" s="12"/>
      <c r="BC1843" s="12"/>
      <c r="BD1843" s="11">
        <v>0</v>
      </c>
      <c r="BE1843" s="11">
        <v>0</v>
      </c>
    </row>
    <row x14ac:dyDescent="0.25" r="1844" customHeight="1" ht="17.25">
      <c r="A1844" s="11">
        <v>13128268</v>
      </c>
      <c r="B1844" s="4" t="s">
        <v>8075</v>
      </c>
      <c r="C1844" s="5" t="s">
        <v>8076</v>
      </c>
      <c r="D1844" s="5" t="s">
        <v>8077</v>
      </c>
      <c r="E1844" s="12"/>
      <c r="F1844" s="13">
        <f>"9870415938"</f>
      </c>
      <c r="G1844" s="13">
        <f>"9789870415930"</f>
      </c>
      <c r="H1844" s="11">
        <v>0</v>
      </c>
      <c r="I1844" s="14">
        <v>4.41</v>
      </c>
      <c r="J1844" s="7" t="s">
        <v>8078</v>
      </c>
      <c r="K1844" s="5" t="s">
        <v>60</v>
      </c>
      <c r="L1844" s="11">
        <v>512</v>
      </c>
      <c r="M1844" s="11">
        <v>2010</v>
      </c>
      <c r="N1844" s="11">
        <v>2010</v>
      </c>
      <c r="O1844" s="15"/>
      <c r="P1844" s="9">
        <v>44118</v>
      </c>
      <c r="Q1844" s="9"/>
      <c r="R1844" s="9"/>
      <c r="S1844" s="9"/>
      <c r="T1844" s="9"/>
      <c r="U1844" s="9"/>
      <c r="V1844" s="9"/>
      <c r="W1844" s="9"/>
      <c r="X1844" s="9"/>
      <c r="Y1844" s="9"/>
      <c r="Z1844" s="9"/>
      <c r="AA1844" s="9"/>
      <c r="AB1844" s="9"/>
      <c r="AC1844" s="9"/>
      <c r="AD1844" s="9"/>
      <c r="AE1844" s="9"/>
      <c r="AF1844" s="9"/>
      <c r="AG1844" s="9"/>
      <c r="AH1844" s="9"/>
      <c r="AI1844" s="9"/>
      <c r="AJ1844" s="9"/>
      <c r="AK1844" s="9"/>
      <c r="AL1844" s="9"/>
      <c r="AM1844" s="9"/>
      <c r="AN1844" s="9"/>
      <c r="AO1844" s="9"/>
      <c r="AP1844" s="9"/>
      <c r="AQ1844" s="9"/>
      <c r="AR1844" s="9"/>
      <c r="AS1844" s="9"/>
      <c r="AT1844" s="9"/>
      <c r="AU1844" s="9"/>
      <c r="AV1844" s="9"/>
      <c r="AW1844" s="9"/>
      <c r="AX1844" s="4" t="s">
        <v>38</v>
      </c>
      <c r="AY1844" s="5" t="s">
        <v>8079</v>
      </c>
      <c r="AZ1844" s="5" t="s">
        <v>38</v>
      </c>
      <c r="BA1844" s="12"/>
      <c r="BB1844" s="12"/>
      <c r="BC1844" s="12"/>
      <c r="BD1844" s="11">
        <v>0</v>
      </c>
      <c r="BE1844" s="11">
        <v>0</v>
      </c>
    </row>
    <row x14ac:dyDescent="0.25" r="1845" customHeight="1" ht="17.25">
      <c r="A1845" s="11">
        <v>19337365</v>
      </c>
      <c r="B1845" s="4" t="s">
        <v>8080</v>
      </c>
      <c r="C1845" s="5" t="s">
        <v>8081</v>
      </c>
      <c r="D1845" s="5" t="s">
        <v>8082</v>
      </c>
      <c r="E1845" s="5" t="s">
        <v>8083</v>
      </c>
      <c r="F1845" s="13">
        <f>"1937658228"</f>
      </c>
      <c r="G1845" s="13">
        <f>"9781937658229"</f>
      </c>
      <c r="H1845" s="11">
        <v>0</v>
      </c>
      <c r="I1845" s="14">
        <v>4.36</v>
      </c>
      <c r="J1845" s="7" t="s">
        <v>1279</v>
      </c>
      <c r="K1845" s="5" t="s">
        <v>8084</v>
      </c>
      <c r="L1845" s="11">
        <v>584</v>
      </c>
      <c r="M1845" s="11">
        <v>2014</v>
      </c>
      <c r="N1845" s="11">
        <v>2001</v>
      </c>
      <c r="O1845" s="15"/>
      <c r="P1845" s="9">
        <v>44118</v>
      </c>
      <c r="Q1845" s="9"/>
      <c r="R1845" s="9"/>
      <c r="S1845" s="9"/>
      <c r="T1845" s="9"/>
      <c r="U1845" s="9"/>
      <c r="V1845" s="9"/>
      <c r="W1845" s="9"/>
      <c r="X1845" s="9"/>
      <c r="Y1845" s="9"/>
      <c r="Z1845" s="9"/>
      <c r="AA1845" s="9"/>
      <c r="AB1845" s="9"/>
      <c r="AC1845" s="9"/>
      <c r="AD1845" s="9"/>
      <c r="AE1845" s="9"/>
      <c r="AF1845" s="9"/>
      <c r="AG1845" s="9"/>
      <c r="AH1845" s="9"/>
      <c r="AI1845" s="9"/>
      <c r="AJ1845" s="9"/>
      <c r="AK1845" s="9"/>
      <c r="AL1845" s="9"/>
      <c r="AM1845" s="9"/>
      <c r="AN1845" s="9"/>
      <c r="AO1845" s="9"/>
      <c r="AP1845" s="9"/>
      <c r="AQ1845" s="9"/>
      <c r="AR1845" s="9"/>
      <c r="AS1845" s="9"/>
      <c r="AT1845" s="9"/>
      <c r="AU1845" s="9"/>
      <c r="AV1845" s="9"/>
      <c r="AW1845" s="9"/>
      <c r="AX1845" s="4" t="s">
        <v>38</v>
      </c>
      <c r="AY1845" s="5" t="s">
        <v>8085</v>
      </c>
      <c r="AZ1845" s="5" t="s">
        <v>38</v>
      </c>
      <c r="BA1845" s="12"/>
      <c r="BB1845" s="12"/>
      <c r="BC1845" s="12"/>
      <c r="BD1845" s="11">
        <v>0</v>
      </c>
      <c r="BE1845" s="11">
        <v>0</v>
      </c>
    </row>
    <row x14ac:dyDescent="0.25" r="1846" customHeight="1" ht="17.25">
      <c r="A1846" s="11">
        <v>29875846</v>
      </c>
      <c r="B1846" s="4" t="s">
        <v>8086</v>
      </c>
      <c r="C1846" s="5" t="s">
        <v>8087</v>
      </c>
      <c r="D1846" s="5" t="s">
        <v>8088</v>
      </c>
      <c r="E1846" s="12"/>
      <c r="F1846" s="13">
        <f>"0374535957"</f>
      </c>
      <c r="G1846" s="13">
        <f>"9780374535957"</f>
      </c>
      <c r="H1846" s="11">
        <v>0</v>
      </c>
      <c r="I1846" s="14">
        <v>4.04</v>
      </c>
      <c r="J1846" s="7" t="s">
        <v>1143</v>
      </c>
      <c r="K1846" s="5" t="s">
        <v>60</v>
      </c>
      <c r="L1846" s="11">
        <v>221</v>
      </c>
      <c r="M1846" s="11">
        <v>2017</v>
      </c>
      <c r="N1846" s="11">
        <v>2017</v>
      </c>
      <c r="O1846" s="15"/>
      <c r="P1846" s="9">
        <v>44118</v>
      </c>
      <c r="Q1846" s="9"/>
      <c r="R1846" s="9"/>
      <c r="S1846" s="9"/>
      <c r="T1846" s="9"/>
      <c r="U1846" s="9"/>
      <c r="V1846" s="9"/>
      <c r="W1846" s="9"/>
      <c r="X1846" s="9"/>
      <c r="Y1846" s="9"/>
      <c r="Z1846" s="9"/>
      <c r="AA1846" s="9"/>
      <c r="AB1846" s="9"/>
      <c r="AC1846" s="9"/>
      <c r="AD1846" s="9"/>
      <c r="AE1846" s="9"/>
      <c r="AF1846" s="9"/>
      <c r="AG1846" s="9"/>
      <c r="AH1846" s="9"/>
      <c r="AI1846" s="9"/>
      <c r="AJ1846" s="9"/>
      <c r="AK1846" s="9"/>
      <c r="AL1846" s="9"/>
      <c r="AM1846" s="9"/>
      <c r="AN1846" s="9"/>
      <c r="AO1846" s="9"/>
      <c r="AP1846" s="9"/>
      <c r="AQ1846" s="9"/>
      <c r="AR1846" s="9"/>
      <c r="AS1846" s="9"/>
      <c r="AT1846" s="9"/>
      <c r="AU1846" s="9"/>
      <c r="AV1846" s="9"/>
      <c r="AW1846" s="9"/>
      <c r="AX1846" s="4" t="s">
        <v>38</v>
      </c>
      <c r="AY1846" s="5" t="s">
        <v>8089</v>
      </c>
      <c r="AZ1846" s="5" t="s">
        <v>38</v>
      </c>
      <c r="BA1846" s="12"/>
      <c r="BB1846" s="12"/>
      <c r="BC1846" s="12"/>
      <c r="BD1846" s="11">
        <v>0</v>
      </c>
      <c r="BE1846" s="11">
        <v>0</v>
      </c>
    </row>
    <row x14ac:dyDescent="0.25" r="1847" customHeight="1" ht="17.25">
      <c r="A1847" s="11">
        <v>15805345</v>
      </c>
      <c r="B1847" s="4" t="s">
        <v>8090</v>
      </c>
      <c r="C1847" s="5" t="s">
        <v>8091</v>
      </c>
      <c r="D1847" s="5" t="s">
        <v>8092</v>
      </c>
      <c r="E1847" s="12"/>
      <c r="F1847" s="13">
        <f>"0299289702"</f>
      </c>
      <c r="G1847" s="13">
        <f>"9780299289706"</f>
      </c>
      <c r="H1847" s="11">
        <v>0</v>
      </c>
      <c r="I1847" s="14">
        <v>4.07</v>
      </c>
      <c r="J1847" s="7" t="s">
        <v>206</v>
      </c>
      <c r="K1847" s="5" t="s">
        <v>72</v>
      </c>
      <c r="L1847" s="11">
        <v>275</v>
      </c>
      <c r="M1847" s="11">
        <v>2012</v>
      </c>
      <c r="N1847" s="11">
        <v>2012</v>
      </c>
      <c r="O1847" s="15"/>
      <c r="P1847" s="9">
        <v>44118</v>
      </c>
      <c r="Q1847" s="9"/>
      <c r="R1847" s="9"/>
      <c r="S1847" s="9"/>
      <c r="T1847" s="9"/>
      <c r="U1847" s="9"/>
      <c r="V1847" s="9"/>
      <c r="W1847" s="9"/>
      <c r="X1847" s="9"/>
      <c r="Y1847" s="9"/>
      <c r="Z1847" s="9"/>
      <c r="AA1847" s="9"/>
      <c r="AB1847" s="9"/>
      <c r="AC1847" s="9"/>
      <c r="AD1847" s="9"/>
      <c r="AE1847" s="9"/>
      <c r="AF1847" s="9"/>
      <c r="AG1847" s="9"/>
      <c r="AH1847" s="9"/>
      <c r="AI1847" s="9"/>
      <c r="AJ1847" s="9"/>
      <c r="AK1847" s="9"/>
      <c r="AL1847" s="9"/>
      <c r="AM1847" s="9"/>
      <c r="AN1847" s="9"/>
      <c r="AO1847" s="9"/>
      <c r="AP1847" s="9"/>
      <c r="AQ1847" s="9"/>
      <c r="AR1847" s="9"/>
      <c r="AS1847" s="9"/>
      <c r="AT1847" s="9"/>
      <c r="AU1847" s="9"/>
      <c r="AV1847" s="9"/>
      <c r="AW1847" s="9"/>
      <c r="AX1847" s="4" t="s">
        <v>38</v>
      </c>
      <c r="AY1847" s="5" t="s">
        <v>8093</v>
      </c>
      <c r="AZ1847" s="5" t="s">
        <v>38</v>
      </c>
      <c r="BA1847" s="12"/>
      <c r="BB1847" s="12"/>
      <c r="BC1847" s="12"/>
      <c r="BD1847" s="11">
        <v>0</v>
      </c>
      <c r="BE1847" s="11">
        <v>0</v>
      </c>
    </row>
    <row x14ac:dyDescent="0.25" r="1848" customHeight="1" ht="17.25">
      <c r="A1848" s="11">
        <v>179404</v>
      </c>
      <c r="B1848" s="4" t="s">
        <v>8094</v>
      </c>
      <c r="C1848" s="5" t="s">
        <v>8095</v>
      </c>
      <c r="D1848" s="5" t="s">
        <v>8096</v>
      </c>
      <c r="E1848" s="12"/>
      <c r="F1848" s="13">
        <f>"089281506X"</f>
      </c>
      <c r="G1848" s="13">
        <f>"9780892815067"</f>
      </c>
      <c r="H1848" s="11">
        <v>0</v>
      </c>
      <c r="I1848" s="14">
        <v>4.03</v>
      </c>
      <c r="J1848" s="7" t="s">
        <v>8097</v>
      </c>
      <c r="K1848" s="5" t="s">
        <v>72</v>
      </c>
      <c r="L1848" s="11">
        <v>375</v>
      </c>
      <c r="M1848" s="11">
        <v>1995</v>
      </c>
      <c r="N1848" s="11">
        <v>1934</v>
      </c>
      <c r="O1848" s="15"/>
      <c r="P1848" s="9">
        <v>44118</v>
      </c>
      <c r="Q1848" s="9"/>
      <c r="R1848" s="9"/>
      <c r="S1848" s="9"/>
      <c r="T1848" s="9"/>
      <c r="U1848" s="9"/>
      <c r="V1848" s="9"/>
      <c r="W1848" s="9"/>
      <c r="X1848" s="9"/>
      <c r="Y1848" s="9"/>
      <c r="Z1848" s="9"/>
      <c r="AA1848" s="9"/>
      <c r="AB1848" s="9"/>
      <c r="AC1848" s="9"/>
      <c r="AD1848" s="9"/>
      <c r="AE1848" s="9"/>
      <c r="AF1848" s="9"/>
      <c r="AG1848" s="9"/>
      <c r="AH1848" s="9"/>
      <c r="AI1848" s="9"/>
      <c r="AJ1848" s="9"/>
      <c r="AK1848" s="9"/>
      <c r="AL1848" s="9"/>
      <c r="AM1848" s="9"/>
      <c r="AN1848" s="9"/>
      <c r="AO1848" s="9"/>
      <c r="AP1848" s="9"/>
      <c r="AQ1848" s="9"/>
      <c r="AR1848" s="9"/>
      <c r="AS1848" s="9"/>
      <c r="AT1848" s="9"/>
      <c r="AU1848" s="9"/>
      <c r="AV1848" s="9"/>
      <c r="AW1848" s="9"/>
      <c r="AX1848" s="4" t="s">
        <v>38</v>
      </c>
      <c r="AY1848" s="5" t="s">
        <v>8098</v>
      </c>
      <c r="AZ1848" s="5" t="s">
        <v>38</v>
      </c>
      <c r="BA1848" s="12"/>
      <c r="BB1848" s="12"/>
      <c r="BC1848" s="12"/>
      <c r="BD1848" s="11">
        <v>0</v>
      </c>
      <c r="BE1848" s="11">
        <v>0</v>
      </c>
    </row>
    <row x14ac:dyDescent="0.25" r="1849" customHeight="1" ht="17.25">
      <c r="A1849" s="11">
        <v>3549014</v>
      </c>
      <c r="B1849" s="4" t="s">
        <v>8099</v>
      </c>
      <c r="C1849" s="5" t="s">
        <v>8100</v>
      </c>
      <c r="D1849" s="5" t="s">
        <v>8101</v>
      </c>
      <c r="E1849" s="12"/>
      <c r="F1849" s="13">
        <f>"8432208760"</f>
      </c>
      <c r="G1849" s="13">
        <f>"9788432208768"</f>
      </c>
      <c r="H1849" s="11">
        <v>0</v>
      </c>
      <c r="I1849" s="14">
        <v>4.12</v>
      </c>
      <c r="J1849" s="7" t="s">
        <v>3469</v>
      </c>
      <c r="K1849" s="5" t="s">
        <v>60</v>
      </c>
      <c r="L1849" s="11">
        <v>544</v>
      </c>
      <c r="M1849" s="11">
        <v>2003</v>
      </c>
      <c r="N1849" s="11">
        <v>2003</v>
      </c>
      <c r="O1849" s="15"/>
      <c r="P1849" s="9">
        <v>44118</v>
      </c>
      <c r="Q1849" s="9"/>
      <c r="R1849" s="9"/>
      <c r="S1849" s="9"/>
      <c r="T1849" s="9"/>
      <c r="U1849" s="9"/>
      <c r="V1849" s="9"/>
      <c r="W1849" s="9"/>
      <c r="X1849" s="9"/>
      <c r="Y1849" s="9"/>
      <c r="Z1849" s="9"/>
      <c r="AA1849" s="9"/>
      <c r="AB1849" s="9"/>
      <c r="AC1849" s="9"/>
      <c r="AD1849" s="9"/>
      <c r="AE1849" s="9"/>
      <c r="AF1849" s="9"/>
      <c r="AG1849" s="9"/>
      <c r="AH1849" s="9"/>
      <c r="AI1849" s="9"/>
      <c r="AJ1849" s="9"/>
      <c r="AK1849" s="9"/>
      <c r="AL1849" s="9"/>
      <c r="AM1849" s="9"/>
      <c r="AN1849" s="9"/>
      <c r="AO1849" s="9"/>
      <c r="AP1849" s="9"/>
      <c r="AQ1849" s="9"/>
      <c r="AR1849" s="9"/>
      <c r="AS1849" s="9"/>
      <c r="AT1849" s="9"/>
      <c r="AU1849" s="9"/>
      <c r="AV1849" s="9"/>
      <c r="AW1849" s="9"/>
      <c r="AX1849" s="4" t="s">
        <v>38</v>
      </c>
      <c r="AY1849" s="5" t="s">
        <v>8102</v>
      </c>
      <c r="AZ1849" s="5" t="s">
        <v>38</v>
      </c>
      <c r="BA1849" s="12"/>
      <c r="BB1849" s="12"/>
      <c r="BC1849" s="12"/>
      <c r="BD1849" s="11">
        <v>0</v>
      </c>
      <c r="BE1849" s="11">
        <v>0</v>
      </c>
    </row>
    <row x14ac:dyDescent="0.25" r="1850" customHeight="1" ht="17.25">
      <c r="A1850" s="11">
        <v>52366322</v>
      </c>
      <c r="B1850" s="4" t="s">
        <v>8103</v>
      </c>
      <c r="C1850" s="5" t="s">
        <v>8104</v>
      </c>
      <c r="D1850" s="5" t="s">
        <v>8105</v>
      </c>
      <c r="E1850" s="12"/>
      <c r="F1850" s="13">
        <f>"1524747165"</f>
      </c>
      <c r="G1850" s="13">
        <f>"9781524747169"</f>
      </c>
      <c r="H1850" s="11">
        <v>0</v>
      </c>
      <c r="I1850" s="14">
        <v>4.28</v>
      </c>
      <c r="J1850" s="7" t="s">
        <v>5464</v>
      </c>
      <c r="K1850" s="5" t="s">
        <v>72</v>
      </c>
      <c r="L1850" s="11">
        <v>208</v>
      </c>
      <c r="M1850" s="11">
        <v>2020</v>
      </c>
      <c r="N1850" s="11">
        <v>2020</v>
      </c>
      <c r="O1850" s="15"/>
      <c r="P1850" s="9">
        <v>44116</v>
      </c>
      <c r="Q1850" s="9"/>
      <c r="R1850" s="9"/>
      <c r="S1850" s="9"/>
      <c r="T1850" s="9"/>
      <c r="U1850" s="9"/>
      <c r="V1850" s="9"/>
      <c r="W1850" s="9"/>
      <c r="X1850" s="9"/>
      <c r="Y1850" s="9"/>
      <c r="Z1850" s="9"/>
      <c r="AA1850" s="9"/>
      <c r="AB1850" s="9"/>
      <c r="AC1850" s="9"/>
      <c r="AD1850" s="9"/>
      <c r="AE1850" s="9"/>
      <c r="AF1850" s="9"/>
      <c r="AG1850" s="9"/>
      <c r="AH1850" s="9"/>
      <c r="AI1850" s="9"/>
      <c r="AJ1850" s="9"/>
      <c r="AK1850" s="9"/>
      <c r="AL1850" s="9"/>
      <c r="AM1850" s="9"/>
      <c r="AN1850" s="9"/>
      <c r="AO1850" s="9"/>
      <c r="AP1850" s="9"/>
      <c r="AQ1850" s="9"/>
      <c r="AR1850" s="9"/>
      <c r="AS1850" s="9"/>
      <c r="AT1850" s="9"/>
      <c r="AU1850" s="9"/>
      <c r="AV1850" s="9"/>
      <c r="AW1850" s="9"/>
      <c r="AX1850" s="4" t="s">
        <v>38</v>
      </c>
      <c r="AY1850" s="5" t="s">
        <v>8106</v>
      </c>
      <c r="AZ1850" s="5" t="s">
        <v>38</v>
      </c>
      <c r="BA1850" s="12"/>
      <c r="BB1850" s="12"/>
      <c r="BC1850" s="12"/>
      <c r="BD1850" s="11">
        <v>0</v>
      </c>
      <c r="BE1850" s="11">
        <v>0</v>
      </c>
    </row>
    <row x14ac:dyDescent="0.25" r="1851" customHeight="1" ht="17.25">
      <c r="A1851" s="11">
        <v>670089</v>
      </c>
      <c r="B1851" s="4" t="s">
        <v>8107</v>
      </c>
      <c r="C1851" s="5" t="s">
        <v>8108</v>
      </c>
      <c r="D1851" s="5" t="s">
        <v>8109</v>
      </c>
      <c r="E1851" s="5" t="s">
        <v>8110</v>
      </c>
      <c r="F1851" s="13">
        <f>"0767900464"</f>
      </c>
      <c r="G1851" s="13">
        <f>"9780767900461"</f>
      </c>
      <c r="H1851" s="11">
        <v>0</v>
      </c>
      <c r="I1851" s="14">
        <v>3.89</v>
      </c>
      <c r="J1851" s="7" t="s">
        <v>3196</v>
      </c>
      <c r="K1851" s="5" t="s">
        <v>60</v>
      </c>
      <c r="L1851" s="11">
        <v>400</v>
      </c>
      <c r="M1851" s="11">
        <v>1997</v>
      </c>
      <c r="N1851" s="11">
        <v>1996</v>
      </c>
      <c r="O1851" s="15"/>
      <c r="P1851" s="8">
        <v>44107</v>
      </c>
      <c r="Q1851" s="8"/>
      <c r="R1851" s="8"/>
      <c r="S1851" s="8"/>
      <c r="T1851" s="8"/>
      <c r="U1851" s="8"/>
      <c r="V1851" s="8"/>
      <c r="W1851" s="8"/>
      <c r="X1851" s="8"/>
      <c r="Y1851" s="8"/>
      <c r="Z1851" s="8"/>
      <c r="AA1851" s="8"/>
      <c r="AB1851" s="8"/>
      <c r="AC1851" s="8"/>
      <c r="AD1851" s="8"/>
      <c r="AE1851" s="8"/>
      <c r="AF1851" s="8"/>
      <c r="AG1851" s="8"/>
      <c r="AH1851" s="8"/>
      <c r="AI1851" s="8"/>
      <c r="AJ1851" s="8"/>
      <c r="AK1851" s="8"/>
      <c r="AL1851" s="8"/>
      <c r="AM1851" s="8"/>
      <c r="AN1851" s="8"/>
      <c r="AO1851" s="8"/>
      <c r="AP1851" s="8"/>
      <c r="AQ1851" s="8"/>
      <c r="AR1851" s="8"/>
      <c r="AS1851" s="8"/>
      <c r="AT1851" s="8"/>
      <c r="AU1851" s="8"/>
      <c r="AV1851" s="8"/>
      <c r="AW1851" s="8"/>
      <c r="AX1851" s="4" t="s">
        <v>38</v>
      </c>
      <c r="AY1851" s="5" t="s">
        <v>8111</v>
      </c>
      <c r="AZ1851" s="5" t="s">
        <v>38</v>
      </c>
      <c r="BA1851" s="12"/>
      <c r="BB1851" s="12"/>
      <c r="BC1851" s="12"/>
      <c r="BD1851" s="11">
        <v>0</v>
      </c>
      <c r="BE1851" s="11">
        <v>0</v>
      </c>
    </row>
    <row x14ac:dyDescent="0.25" r="1852" customHeight="1" ht="17.25">
      <c r="A1852" s="11">
        <v>582067</v>
      </c>
      <c r="B1852" s="4" t="s">
        <v>8112</v>
      </c>
      <c r="C1852" s="5" t="s">
        <v>2752</v>
      </c>
      <c r="D1852" s="5" t="s">
        <v>2753</v>
      </c>
      <c r="E1852" s="12"/>
      <c r="F1852" s="13">
        <f>"0394703170"</f>
      </c>
      <c r="G1852" s="13">
        <f>"9780394703176"</f>
      </c>
      <c r="H1852" s="11">
        <v>0</v>
      </c>
      <c r="I1852" s="14">
        <v>4.13</v>
      </c>
      <c r="J1852" s="7" t="s">
        <v>114</v>
      </c>
      <c r="K1852" s="5" t="s">
        <v>60</v>
      </c>
      <c r="L1852" s="11">
        <v>434</v>
      </c>
      <c r="M1852" s="11">
        <v>1964</v>
      </c>
      <c r="N1852" s="11">
        <v>1963</v>
      </c>
      <c r="O1852" s="15"/>
      <c r="P1852" s="8">
        <v>44107</v>
      </c>
      <c r="Q1852" s="8"/>
      <c r="R1852" s="8"/>
      <c r="S1852" s="8"/>
      <c r="T1852" s="8"/>
      <c r="U1852" s="8"/>
      <c r="V1852" s="8"/>
      <c r="W1852" s="8"/>
      <c r="X1852" s="8"/>
      <c r="Y1852" s="8"/>
      <c r="Z1852" s="8"/>
      <c r="AA1852" s="8"/>
      <c r="AB1852" s="8"/>
      <c r="AC1852" s="8"/>
      <c r="AD1852" s="8"/>
      <c r="AE1852" s="8"/>
      <c r="AF1852" s="8"/>
      <c r="AG1852" s="8"/>
      <c r="AH1852" s="8"/>
      <c r="AI1852" s="8"/>
      <c r="AJ1852" s="8"/>
      <c r="AK1852" s="8"/>
      <c r="AL1852" s="8"/>
      <c r="AM1852" s="8"/>
      <c r="AN1852" s="8"/>
      <c r="AO1852" s="8"/>
      <c r="AP1852" s="8"/>
      <c r="AQ1852" s="8"/>
      <c r="AR1852" s="8"/>
      <c r="AS1852" s="8"/>
      <c r="AT1852" s="8"/>
      <c r="AU1852" s="8"/>
      <c r="AV1852" s="8"/>
      <c r="AW1852" s="8"/>
      <c r="AX1852" s="4" t="s">
        <v>38</v>
      </c>
      <c r="AY1852" s="5" t="s">
        <v>8113</v>
      </c>
      <c r="AZ1852" s="5" t="s">
        <v>38</v>
      </c>
      <c r="BA1852" s="12"/>
      <c r="BB1852" s="12"/>
      <c r="BC1852" s="12"/>
      <c r="BD1852" s="11">
        <v>0</v>
      </c>
      <c r="BE1852" s="11">
        <v>0</v>
      </c>
    </row>
    <row x14ac:dyDescent="0.25" r="1853" customHeight="1" ht="17.25">
      <c r="A1853" s="11">
        <v>416129</v>
      </c>
      <c r="B1853" s="4" t="s">
        <v>8114</v>
      </c>
      <c r="C1853" s="5" t="s">
        <v>8115</v>
      </c>
      <c r="D1853" s="5" t="s">
        <v>8116</v>
      </c>
      <c r="E1853" s="12"/>
      <c r="F1853" s="13">
        <f>"0807079170"</f>
      </c>
      <c r="G1853" s="13">
        <f>"9780807079171"</f>
      </c>
      <c r="H1853" s="11">
        <v>0</v>
      </c>
      <c r="I1853" s="14">
        <v>4.17</v>
      </c>
      <c r="J1853" s="7" t="s">
        <v>861</v>
      </c>
      <c r="K1853" s="5" t="s">
        <v>60</v>
      </c>
      <c r="L1853" s="11">
        <v>132</v>
      </c>
      <c r="M1853" s="11">
        <v>1992</v>
      </c>
      <c r="N1853" s="11">
        <v>1980</v>
      </c>
      <c r="O1853" s="15"/>
      <c r="P1853" s="8">
        <v>44107</v>
      </c>
      <c r="Q1853" s="8"/>
      <c r="R1853" s="8"/>
      <c r="S1853" s="8"/>
      <c r="T1853" s="8"/>
      <c r="U1853" s="8"/>
      <c r="V1853" s="8"/>
      <c r="W1853" s="8"/>
      <c r="X1853" s="8"/>
      <c r="Y1853" s="8"/>
      <c r="Z1853" s="8"/>
      <c r="AA1853" s="8"/>
      <c r="AB1853" s="8"/>
      <c r="AC1853" s="8"/>
      <c r="AD1853" s="8"/>
      <c r="AE1853" s="8"/>
      <c r="AF1853" s="8"/>
      <c r="AG1853" s="8"/>
      <c r="AH1853" s="8"/>
      <c r="AI1853" s="8"/>
      <c r="AJ1853" s="8"/>
      <c r="AK1853" s="8"/>
      <c r="AL1853" s="8"/>
      <c r="AM1853" s="8"/>
      <c r="AN1853" s="8"/>
      <c r="AO1853" s="8"/>
      <c r="AP1853" s="8"/>
      <c r="AQ1853" s="8"/>
      <c r="AR1853" s="8"/>
      <c r="AS1853" s="8"/>
      <c r="AT1853" s="8"/>
      <c r="AU1853" s="8"/>
      <c r="AV1853" s="8"/>
      <c r="AW1853" s="8"/>
      <c r="AX1853" s="4" t="s">
        <v>38</v>
      </c>
      <c r="AY1853" s="5" t="s">
        <v>8117</v>
      </c>
      <c r="AZ1853" s="5" t="s">
        <v>38</v>
      </c>
      <c r="BA1853" s="12"/>
      <c r="BB1853" s="12"/>
      <c r="BC1853" s="12"/>
      <c r="BD1853" s="11">
        <v>0</v>
      </c>
      <c r="BE1853" s="11">
        <v>0</v>
      </c>
    </row>
    <row x14ac:dyDescent="0.25" r="1854" customHeight="1" ht="17.25">
      <c r="A1854" s="11">
        <v>4344454</v>
      </c>
      <c r="B1854" s="4" t="s">
        <v>8118</v>
      </c>
      <c r="C1854" s="5" t="s">
        <v>8119</v>
      </c>
      <c r="D1854" s="5" t="s">
        <v>8120</v>
      </c>
      <c r="E1854" s="12"/>
      <c r="F1854" s="13">
        <f>"1564785181"</f>
      </c>
      <c r="G1854" s="13">
        <f>"9781564785183"</f>
      </c>
      <c r="H1854" s="11">
        <v>0</v>
      </c>
      <c r="I1854" s="14">
        <v>3.54</v>
      </c>
      <c r="J1854" s="7" t="s">
        <v>59</v>
      </c>
      <c r="K1854" s="5" t="s">
        <v>60</v>
      </c>
      <c r="L1854" s="11">
        <v>102</v>
      </c>
      <c r="M1854" s="11">
        <v>2008</v>
      </c>
      <c r="N1854" s="11">
        <v>1985</v>
      </c>
      <c r="O1854" s="15"/>
      <c r="P1854" s="8">
        <v>44107</v>
      </c>
      <c r="Q1854" s="8"/>
      <c r="R1854" s="8"/>
      <c r="S1854" s="8"/>
      <c r="T1854" s="8"/>
      <c r="U1854" s="8"/>
      <c r="V1854" s="8"/>
      <c r="W1854" s="8"/>
      <c r="X1854" s="8"/>
      <c r="Y1854" s="8"/>
      <c r="Z1854" s="8"/>
      <c r="AA1854" s="8"/>
      <c r="AB1854" s="8"/>
      <c r="AC1854" s="8"/>
      <c r="AD1854" s="8"/>
      <c r="AE1854" s="8"/>
      <c r="AF1854" s="8"/>
      <c r="AG1854" s="8"/>
      <c r="AH1854" s="8"/>
      <c r="AI1854" s="8"/>
      <c r="AJ1854" s="8"/>
      <c r="AK1854" s="8"/>
      <c r="AL1854" s="8"/>
      <c r="AM1854" s="8"/>
      <c r="AN1854" s="8"/>
      <c r="AO1854" s="8"/>
      <c r="AP1854" s="8"/>
      <c r="AQ1854" s="8"/>
      <c r="AR1854" s="8"/>
      <c r="AS1854" s="8"/>
      <c r="AT1854" s="8"/>
      <c r="AU1854" s="8"/>
      <c r="AV1854" s="8"/>
      <c r="AW1854" s="8"/>
      <c r="AX1854" s="4" t="s">
        <v>38</v>
      </c>
      <c r="AY1854" s="5" t="s">
        <v>8121</v>
      </c>
      <c r="AZ1854" s="5" t="s">
        <v>38</v>
      </c>
      <c r="BA1854" s="12"/>
      <c r="BB1854" s="12"/>
      <c r="BC1854" s="12"/>
      <c r="BD1854" s="11">
        <v>0</v>
      </c>
      <c r="BE1854" s="11">
        <v>0</v>
      </c>
    </row>
    <row x14ac:dyDescent="0.25" r="1855" customHeight="1" ht="17.25">
      <c r="A1855" s="11">
        <v>1464794</v>
      </c>
      <c r="B1855" s="4" t="s">
        <v>8122</v>
      </c>
      <c r="C1855" s="5" t="s">
        <v>8123</v>
      </c>
      <c r="D1855" s="5" t="s">
        <v>8124</v>
      </c>
      <c r="E1855" s="12"/>
      <c r="F1855" s="13">
        <f>"0500284709"</f>
      </c>
      <c r="G1855" s="13">
        <f>"9780500284704"</f>
      </c>
      <c r="H1855" s="11">
        <v>0</v>
      </c>
      <c r="I1855" s="14">
        <v>4.37</v>
      </c>
      <c r="J1855" s="7" t="s">
        <v>466</v>
      </c>
      <c r="K1855" s="5" t="s">
        <v>60</v>
      </c>
      <c r="L1855" s="11">
        <v>335</v>
      </c>
      <c r="M1855" s="11">
        <v>2004</v>
      </c>
      <c r="N1855" s="11">
        <v>2000</v>
      </c>
      <c r="O1855" s="15"/>
      <c r="P1855" s="8">
        <v>44107</v>
      </c>
      <c r="Q1855" s="8"/>
      <c r="R1855" s="8"/>
      <c r="S1855" s="8"/>
      <c r="T1855" s="8"/>
      <c r="U1855" s="8"/>
      <c r="V1855" s="8"/>
      <c r="W1855" s="8"/>
      <c r="X1855" s="8"/>
      <c r="Y1855" s="8"/>
      <c r="Z1855" s="8"/>
      <c r="AA1855" s="8"/>
      <c r="AB1855" s="8"/>
      <c r="AC1855" s="8"/>
      <c r="AD1855" s="8"/>
      <c r="AE1855" s="8"/>
      <c r="AF1855" s="8"/>
      <c r="AG1855" s="8"/>
      <c r="AH1855" s="8"/>
      <c r="AI1855" s="8"/>
      <c r="AJ1855" s="8"/>
      <c r="AK1855" s="8"/>
      <c r="AL1855" s="8"/>
      <c r="AM1855" s="8"/>
      <c r="AN1855" s="8"/>
      <c r="AO1855" s="8"/>
      <c r="AP1855" s="8"/>
      <c r="AQ1855" s="8"/>
      <c r="AR1855" s="8"/>
      <c r="AS1855" s="8"/>
      <c r="AT1855" s="8"/>
      <c r="AU1855" s="8"/>
      <c r="AV1855" s="8"/>
      <c r="AW1855" s="8"/>
      <c r="AX1855" s="4" t="s">
        <v>38</v>
      </c>
      <c r="AY1855" s="5" t="s">
        <v>8125</v>
      </c>
      <c r="AZ1855" s="5" t="s">
        <v>38</v>
      </c>
      <c r="BA1855" s="12"/>
      <c r="BB1855" s="12"/>
      <c r="BC1855" s="12"/>
      <c r="BD1855" s="11">
        <v>0</v>
      </c>
      <c r="BE1855" s="11">
        <v>0</v>
      </c>
    </row>
    <row x14ac:dyDescent="0.25" r="1856" customHeight="1" ht="17.25">
      <c r="A1856" s="11">
        <v>46123478</v>
      </c>
      <c r="B1856" s="4" t="s">
        <v>8126</v>
      </c>
      <c r="C1856" s="5" t="s">
        <v>8127</v>
      </c>
      <c r="D1856" s="5" t="s">
        <v>8128</v>
      </c>
      <c r="E1856" s="5" t="s">
        <v>8129</v>
      </c>
      <c r="F1856" s="13">
        <f>""</f>
      </c>
      <c r="G1856" s="13">
        <f>""</f>
      </c>
      <c r="H1856" s="11">
        <v>0</v>
      </c>
      <c r="I1856" s="14">
        <v>3.63</v>
      </c>
      <c r="J1856" s="7" t="s">
        <v>1710</v>
      </c>
      <c r="K1856" s="5" t="s">
        <v>90</v>
      </c>
      <c r="L1856" s="11">
        <v>177</v>
      </c>
      <c r="M1856" s="11">
        <v>2019</v>
      </c>
      <c r="N1856" s="11">
        <v>2019</v>
      </c>
      <c r="O1856" s="15"/>
      <c r="P1856" s="8">
        <v>44103</v>
      </c>
      <c r="Q1856" s="8"/>
      <c r="R1856" s="8"/>
      <c r="S1856" s="8"/>
      <c r="T1856" s="8"/>
      <c r="U1856" s="8"/>
      <c r="V1856" s="8"/>
      <c r="W1856" s="8"/>
      <c r="X1856" s="8"/>
      <c r="Y1856" s="8"/>
      <c r="Z1856" s="8"/>
      <c r="AA1856" s="8"/>
      <c r="AB1856" s="8"/>
      <c r="AC1856" s="8"/>
      <c r="AD1856" s="8"/>
      <c r="AE1856" s="8"/>
      <c r="AF1856" s="8"/>
      <c r="AG1856" s="8"/>
      <c r="AH1856" s="8"/>
      <c r="AI1856" s="8"/>
      <c r="AJ1856" s="8"/>
      <c r="AK1856" s="8"/>
      <c r="AL1856" s="8"/>
      <c r="AM1856" s="8"/>
      <c r="AN1856" s="8"/>
      <c r="AO1856" s="8"/>
      <c r="AP1856" s="8"/>
      <c r="AQ1856" s="8"/>
      <c r="AR1856" s="8"/>
      <c r="AS1856" s="8"/>
      <c r="AT1856" s="8"/>
      <c r="AU1856" s="8"/>
      <c r="AV1856" s="8"/>
      <c r="AW1856" s="8"/>
      <c r="AX1856" s="4" t="s">
        <v>38</v>
      </c>
      <c r="AY1856" s="5" t="s">
        <v>8130</v>
      </c>
      <c r="AZ1856" s="5" t="s">
        <v>38</v>
      </c>
      <c r="BA1856" s="12"/>
      <c r="BB1856" s="12"/>
      <c r="BC1856" s="12"/>
      <c r="BD1856" s="11">
        <v>0</v>
      </c>
      <c r="BE1856" s="11">
        <v>0</v>
      </c>
    </row>
    <row x14ac:dyDescent="0.25" r="1857" customHeight="1" ht="17.25">
      <c r="A1857" s="11">
        <v>5954</v>
      </c>
      <c r="B1857" s="4" t="s">
        <v>8131</v>
      </c>
      <c r="C1857" s="5" t="s">
        <v>8132</v>
      </c>
      <c r="D1857" s="5" t="s">
        <v>8133</v>
      </c>
      <c r="E1857" s="5" t="s">
        <v>8134</v>
      </c>
      <c r="F1857" s="13">
        <f>"0374506841"</f>
      </c>
      <c r="G1857" s="13">
        <f>"9780374506841"</f>
      </c>
      <c r="H1857" s="11">
        <v>0</v>
      </c>
      <c r="I1857" s="14">
        <v>4.22</v>
      </c>
      <c r="J1857" s="7" t="s">
        <v>8135</v>
      </c>
      <c r="K1857" s="5" t="s">
        <v>60</v>
      </c>
      <c r="L1857" s="11">
        <v>320</v>
      </c>
      <c r="M1857" s="11">
        <v>1997</v>
      </c>
      <c r="N1857" s="11">
        <v>1930</v>
      </c>
      <c r="O1857" s="15"/>
      <c r="P1857" s="8">
        <v>44103</v>
      </c>
      <c r="Q1857" s="8"/>
      <c r="R1857" s="8"/>
      <c r="S1857" s="8"/>
      <c r="T1857" s="8"/>
      <c r="U1857" s="8"/>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8"/>
      <c r="AR1857" s="8"/>
      <c r="AS1857" s="8"/>
      <c r="AT1857" s="8"/>
      <c r="AU1857" s="8"/>
      <c r="AV1857" s="8"/>
      <c r="AW1857" s="8"/>
      <c r="AX1857" s="4" t="s">
        <v>38</v>
      </c>
      <c r="AY1857" s="5" t="s">
        <v>8136</v>
      </c>
      <c r="AZ1857" s="5" t="s">
        <v>38</v>
      </c>
      <c r="BA1857" s="12"/>
      <c r="BB1857" s="12"/>
      <c r="BC1857" s="12"/>
      <c r="BD1857" s="11">
        <v>0</v>
      </c>
      <c r="BE1857" s="11">
        <v>0</v>
      </c>
    </row>
    <row x14ac:dyDescent="0.25" r="1858" customHeight="1" ht="17.25">
      <c r="A1858" s="11">
        <v>36376166</v>
      </c>
      <c r="B1858" s="4" t="s">
        <v>8137</v>
      </c>
      <c r="C1858" s="5" t="s">
        <v>8138</v>
      </c>
      <c r="D1858" s="5" t="s">
        <v>8139</v>
      </c>
      <c r="E1858" s="5" t="s">
        <v>8129</v>
      </c>
      <c r="F1858" s="13">
        <f>"8416290644"</f>
      </c>
      <c r="G1858" s="13">
        <f>"9788416290642"</f>
      </c>
      <c r="H1858" s="11">
        <v>0</v>
      </c>
      <c r="I1858" s="14">
        <v>3.69</v>
      </c>
      <c r="J1858" s="7" t="s">
        <v>8140</v>
      </c>
      <c r="K1858" s="5" t="s">
        <v>72</v>
      </c>
      <c r="L1858" s="11">
        <v>213</v>
      </c>
      <c r="M1858" s="11">
        <v>2017</v>
      </c>
      <c r="N1858" s="11">
        <v>2015</v>
      </c>
      <c r="O1858" s="15"/>
      <c r="P1858" s="8">
        <v>44103</v>
      </c>
      <c r="Q1858" s="8"/>
      <c r="R1858" s="8"/>
      <c r="S1858" s="8"/>
      <c r="T1858" s="8"/>
      <c r="U1858" s="8"/>
      <c r="V1858" s="8"/>
      <c r="W1858" s="8"/>
      <c r="X1858" s="8"/>
      <c r="Y1858" s="8"/>
      <c r="Z1858" s="8"/>
      <c r="AA1858" s="8"/>
      <c r="AB1858" s="8"/>
      <c r="AC1858" s="8"/>
      <c r="AD1858" s="8"/>
      <c r="AE1858" s="8"/>
      <c r="AF1858" s="8"/>
      <c r="AG1858" s="8"/>
      <c r="AH1858" s="8"/>
      <c r="AI1858" s="8"/>
      <c r="AJ1858" s="8"/>
      <c r="AK1858" s="8"/>
      <c r="AL1858" s="8"/>
      <c r="AM1858" s="8"/>
      <c r="AN1858" s="8"/>
      <c r="AO1858" s="8"/>
      <c r="AP1858" s="8"/>
      <c r="AQ1858" s="8"/>
      <c r="AR1858" s="8"/>
      <c r="AS1858" s="8"/>
      <c r="AT1858" s="8"/>
      <c r="AU1858" s="8"/>
      <c r="AV1858" s="8"/>
      <c r="AW1858" s="8"/>
      <c r="AX1858" s="4" t="s">
        <v>38</v>
      </c>
      <c r="AY1858" s="5" t="s">
        <v>8141</v>
      </c>
      <c r="AZ1858" s="5" t="s">
        <v>38</v>
      </c>
      <c r="BA1858" s="12"/>
      <c r="BB1858" s="12"/>
      <c r="BC1858" s="12"/>
      <c r="BD1858" s="11">
        <v>0</v>
      </c>
      <c r="BE1858" s="11">
        <v>0</v>
      </c>
    </row>
    <row x14ac:dyDescent="0.25" r="1859" customHeight="1" ht="17.25">
      <c r="A1859" s="11">
        <v>350</v>
      </c>
      <c r="B1859" s="4" t="s">
        <v>8142</v>
      </c>
      <c r="C1859" s="5" t="s">
        <v>7002</v>
      </c>
      <c r="D1859" s="5" t="s">
        <v>7003</v>
      </c>
      <c r="E1859" s="5" t="s">
        <v>8143</v>
      </c>
      <c r="F1859" s="13">
        <f>""</f>
      </c>
      <c r="G1859" s="13">
        <f>""</f>
      </c>
      <c r="H1859" s="11">
        <v>0</v>
      </c>
      <c r="I1859" s="14">
        <v>3.92</v>
      </c>
      <c r="J1859" s="7" t="s">
        <v>2511</v>
      </c>
      <c r="K1859" s="5" t="s">
        <v>60</v>
      </c>
      <c r="L1859" s="11">
        <v>525</v>
      </c>
      <c r="M1859" s="11">
        <v>1991</v>
      </c>
      <c r="N1859" s="11">
        <v>1961</v>
      </c>
      <c r="O1859" s="15"/>
      <c r="P1859" s="8">
        <v>44102</v>
      </c>
      <c r="Q1859" s="8"/>
      <c r="R1859" s="8"/>
      <c r="S1859" s="8"/>
      <c r="T1859" s="8"/>
      <c r="U1859" s="8"/>
      <c r="V1859" s="8"/>
      <c r="W1859" s="8"/>
      <c r="X1859" s="8"/>
      <c r="Y1859" s="8"/>
      <c r="Z1859" s="8"/>
      <c r="AA1859" s="8"/>
      <c r="AB1859" s="8"/>
      <c r="AC1859" s="8"/>
      <c r="AD1859" s="8"/>
      <c r="AE1859" s="8"/>
      <c r="AF1859" s="8"/>
      <c r="AG1859" s="8"/>
      <c r="AH1859" s="8"/>
      <c r="AI1859" s="8"/>
      <c r="AJ1859" s="8"/>
      <c r="AK1859" s="8"/>
      <c r="AL1859" s="8"/>
      <c r="AM1859" s="8"/>
      <c r="AN1859" s="8"/>
      <c r="AO1859" s="8"/>
      <c r="AP1859" s="8"/>
      <c r="AQ1859" s="8"/>
      <c r="AR1859" s="8"/>
      <c r="AS1859" s="8"/>
      <c r="AT1859" s="8"/>
      <c r="AU1859" s="8"/>
      <c r="AV1859" s="8"/>
      <c r="AW1859" s="8"/>
      <c r="AX1859" s="4" t="s">
        <v>38</v>
      </c>
      <c r="AY1859" s="5" t="s">
        <v>8144</v>
      </c>
      <c r="AZ1859" s="5" t="s">
        <v>38</v>
      </c>
      <c r="BA1859" s="12"/>
      <c r="BB1859" s="12"/>
      <c r="BC1859" s="12"/>
      <c r="BD1859" s="11">
        <v>0</v>
      </c>
      <c r="BE1859" s="11">
        <v>0</v>
      </c>
    </row>
    <row x14ac:dyDescent="0.25" r="1860" customHeight="1" ht="17.25">
      <c r="A1860" s="11">
        <v>31426504</v>
      </c>
      <c r="B1860" s="4" t="s">
        <v>8145</v>
      </c>
      <c r="C1860" s="5" t="s">
        <v>8146</v>
      </c>
      <c r="D1860" s="5" t="s">
        <v>8147</v>
      </c>
      <c r="E1860" s="12"/>
      <c r="F1860" s="13">
        <f>"9874568860"</f>
      </c>
      <c r="G1860" s="13">
        <f>"9789874568861"</f>
      </c>
      <c r="H1860" s="11">
        <v>0</v>
      </c>
      <c r="I1860" s="14">
        <v>3.6</v>
      </c>
      <c r="J1860" s="7" t="s">
        <v>8148</v>
      </c>
      <c r="K1860" s="5" t="s">
        <v>60</v>
      </c>
      <c r="L1860" s="11">
        <v>136</v>
      </c>
      <c r="M1860" s="11">
        <v>2016</v>
      </c>
      <c r="N1860" s="11">
        <v>1965</v>
      </c>
      <c r="O1860" s="15"/>
      <c r="P1860" s="8">
        <v>44100</v>
      </c>
      <c r="Q1860" s="8"/>
      <c r="R1860" s="8"/>
      <c r="S1860" s="8"/>
      <c r="T1860" s="8"/>
      <c r="U1860" s="8"/>
      <c r="V1860" s="8"/>
      <c r="W1860" s="8"/>
      <c r="X1860" s="8"/>
      <c r="Y1860" s="8"/>
      <c r="Z1860" s="8"/>
      <c r="AA1860" s="8"/>
      <c r="AB1860" s="8"/>
      <c r="AC1860" s="8"/>
      <c r="AD1860" s="8"/>
      <c r="AE1860" s="8"/>
      <c r="AF1860" s="8"/>
      <c r="AG1860" s="8"/>
      <c r="AH1860" s="8"/>
      <c r="AI1860" s="8"/>
      <c r="AJ1860" s="8"/>
      <c r="AK1860" s="8"/>
      <c r="AL1860" s="8"/>
      <c r="AM1860" s="8"/>
      <c r="AN1860" s="8"/>
      <c r="AO1860" s="8"/>
      <c r="AP1860" s="8"/>
      <c r="AQ1860" s="8"/>
      <c r="AR1860" s="8"/>
      <c r="AS1860" s="8"/>
      <c r="AT1860" s="8"/>
      <c r="AU1860" s="8"/>
      <c r="AV1860" s="8"/>
      <c r="AW1860" s="8"/>
      <c r="AX1860" s="4" t="s">
        <v>38</v>
      </c>
      <c r="AY1860" s="5" t="s">
        <v>8149</v>
      </c>
      <c r="AZ1860" s="5" t="s">
        <v>38</v>
      </c>
      <c r="BA1860" s="12"/>
      <c r="BB1860" s="12"/>
      <c r="BC1860" s="12"/>
      <c r="BD1860" s="11">
        <v>0</v>
      </c>
      <c r="BE1860" s="11">
        <v>0</v>
      </c>
    </row>
    <row x14ac:dyDescent="0.25" r="1861" customHeight="1" ht="17.25">
      <c r="A1861" s="11">
        <v>673628</v>
      </c>
      <c r="B1861" s="4" t="s">
        <v>8150</v>
      </c>
      <c r="C1861" s="5" t="s">
        <v>3268</v>
      </c>
      <c r="D1861" s="5" t="s">
        <v>3269</v>
      </c>
      <c r="E1861" s="12"/>
      <c r="F1861" s="13">
        <f>"8433924931"</f>
      </c>
      <c r="G1861" s="13">
        <f>"9788433924933"</f>
      </c>
      <c r="H1861" s="11">
        <v>0</v>
      </c>
      <c r="I1861" s="14">
        <v>3.86</v>
      </c>
      <c r="J1861" s="7" t="s">
        <v>1176</v>
      </c>
      <c r="K1861" s="5" t="s">
        <v>72</v>
      </c>
      <c r="L1861" s="11">
        <v>192</v>
      </c>
      <c r="M1861" s="11">
        <v>2002</v>
      </c>
      <c r="N1861" s="11">
        <v>1975</v>
      </c>
      <c r="O1861" s="15"/>
      <c r="P1861" s="8">
        <v>44099</v>
      </c>
      <c r="Q1861" s="8"/>
      <c r="R1861" s="8"/>
      <c r="S1861" s="8"/>
      <c r="T1861" s="8"/>
      <c r="U1861" s="8"/>
      <c r="V1861" s="8"/>
      <c r="W1861" s="8"/>
      <c r="X1861" s="8"/>
      <c r="Y1861" s="8"/>
      <c r="Z1861" s="8"/>
      <c r="AA1861" s="8"/>
      <c r="AB1861" s="8"/>
      <c r="AC1861" s="8"/>
      <c r="AD1861" s="8"/>
      <c r="AE1861" s="8"/>
      <c r="AF1861" s="8"/>
      <c r="AG1861" s="8"/>
      <c r="AH1861" s="8"/>
      <c r="AI1861" s="8"/>
      <c r="AJ1861" s="8"/>
      <c r="AK1861" s="8"/>
      <c r="AL1861" s="8"/>
      <c r="AM1861" s="8"/>
      <c r="AN1861" s="8"/>
      <c r="AO1861" s="8"/>
      <c r="AP1861" s="8"/>
      <c r="AQ1861" s="8"/>
      <c r="AR1861" s="8"/>
      <c r="AS1861" s="8"/>
      <c r="AT1861" s="8"/>
      <c r="AU1861" s="8"/>
      <c r="AV1861" s="8"/>
      <c r="AW1861" s="8"/>
      <c r="AX1861" s="4" t="s">
        <v>38</v>
      </c>
      <c r="AY1861" s="5" t="s">
        <v>8151</v>
      </c>
      <c r="AZ1861" s="5" t="s">
        <v>38</v>
      </c>
      <c r="BA1861" s="12"/>
      <c r="BB1861" s="12"/>
      <c r="BC1861" s="12"/>
      <c r="BD1861" s="11">
        <v>0</v>
      </c>
      <c r="BE1861" s="11">
        <v>0</v>
      </c>
    </row>
    <row x14ac:dyDescent="0.25" r="1862" customHeight="1" ht="17.25">
      <c r="A1862" s="11">
        <v>6277018</v>
      </c>
      <c r="B1862" s="4" t="s">
        <v>8152</v>
      </c>
      <c r="C1862" s="5" t="s">
        <v>8153</v>
      </c>
      <c r="D1862" s="5" t="s">
        <v>8154</v>
      </c>
      <c r="E1862" s="12"/>
      <c r="F1862" s="13">
        <f>""</f>
      </c>
      <c r="G1862" s="13">
        <f>""</f>
      </c>
      <c r="H1862" s="11">
        <v>0</v>
      </c>
      <c r="I1862" s="14">
        <v>4.18</v>
      </c>
      <c r="J1862" s="7" t="s">
        <v>8155</v>
      </c>
      <c r="K1862" s="5" t="s">
        <v>346</v>
      </c>
      <c r="L1862" s="11">
        <v>168</v>
      </c>
      <c r="M1862" s="11">
        <v>2007</v>
      </c>
      <c r="N1862" s="11">
        <v>2007</v>
      </c>
      <c r="O1862" s="15"/>
      <c r="P1862" s="8">
        <v>44099</v>
      </c>
      <c r="Q1862" s="8"/>
      <c r="R1862" s="8"/>
      <c r="S1862" s="8"/>
      <c r="T1862" s="8"/>
      <c r="U1862" s="8"/>
      <c r="V1862" s="8"/>
      <c r="W1862" s="8"/>
      <c r="X1862" s="8"/>
      <c r="Y1862" s="8"/>
      <c r="Z1862" s="8"/>
      <c r="AA1862" s="8"/>
      <c r="AB1862" s="8"/>
      <c r="AC1862" s="8"/>
      <c r="AD1862" s="8"/>
      <c r="AE1862" s="8"/>
      <c r="AF1862" s="8"/>
      <c r="AG1862" s="8"/>
      <c r="AH1862" s="8"/>
      <c r="AI1862" s="8"/>
      <c r="AJ1862" s="8"/>
      <c r="AK1862" s="8"/>
      <c r="AL1862" s="8"/>
      <c r="AM1862" s="8"/>
      <c r="AN1862" s="8"/>
      <c r="AO1862" s="8"/>
      <c r="AP1862" s="8"/>
      <c r="AQ1862" s="8"/>
      <c r="AR1862" s="8"/>
      <c r="AS1862" s="8"/>
      <c r="AT1862" s="8"/>
      <c r="AU1862" s="8"/>
      <c r="AV1862" s="8"/>
      <c r="AW1862" s="8"/>
      <c r="AX1862" s="4" t="s">
        <v>38</v>
      </c>
      <c r="AY1862" s="5" t="s">
        <v>8156</v>
      </c>
      <c r="AZ1862" s="5" t="s">
        <v>38</v>
      </c>
      <c r="BA1862" s="12"/>
      <c r="BB1862" s="12"/>
      <c r="BC1862" s="12"/>
      <c r="BD1862" s="11">
        <v>0</v>
      </c>
      <c r="BE1862" s="11">
        <v>0</v>
      </c>
    </row>
    <row x14ac:dyDescent="0.25" r="1863" customHeight="1" ht="17.25">
      <c r="A1863" s="11">
        <v>8686178</v>
      </c>
      <c r="B1863" s="4" t="s">
        <v>8157</v>
      </c>
      <c r="C1863" s="5" t="s">
        <v>8158</v>
      </c>
      <c r="D1863" s="5" t="s">
        <v>8159</v>
      </c>
      <c r="E1863" s="12"/>
      <c r="F1863" s="13">
        <f>"8449300487"</f>
      </c>
      <c r="G1863" s="13">
        <f>"9788449300486"</f>
      </c>
      <c r="H1863" s="11">
        <v>0</v>
      </c>
      <c r="I1863" s="14">
        <v>3.64</v>
      </c>
      <c r="J1863" s="7" t="s">
        <v>8160</v>
      </c>
      <c r="K1863" s="5" t="s">
        <v>72</v>
      </c>
      <c r="L1863" s="11">
        <v>485</v>
      </c>
      <c r="M1863" s="11">
        <v>1994</v>
      </c>
      <c r="N1863" s="11">
        <v>1991</v>
      </c>
      <c r="O1863" s="15"/>
      <c r="P1863" s="8">
        <v>44099</v>
      </c>
      <c r="Q1863" s="8"/>
      <c r="R1863" s="8"/>
      <c r="S1863" s="8"/>
      <c r="T1863" s="8"/>
      <c r="U1863" s="8"/>
      <c r="V1863" s="8"/>
      <c r="W1863" s="8"/>
      <c r="X1863" s="8"/>
      <c r="Y1863" s="8"/>
      <c r="Z1863" s="8"/>
      <c r="AA1863" s="8"/>
      <c r="AB1863" s="8"/>
      <c r="AC1863" s="8"/>
      <c r="AD1863" s="8"/>
      <c r="AE1863" s="8"/>
      <c r="AF1863" s="8"/>
      <c r="AG1863" s="8"/>
      <c r="AH1863" s="8"/>
      <c r="AI1863" s="8"/>
      <c r="AJ1863" s="8"/>
      <c r="AK1863" s="8"/>
      <c r="AL1863" s="8"/>
      <c r="AM1863" s="8"/>
      <c r="AN1863" s="8"/>
      <c r="AO1863" s="8"/>
      <c r="AP1863" s="8"/>
      <c r="AQ1863" s="8"/>
      <c r="AR1863" s="8"/>
      <c r="AS1863" s="8"/>
      <c r="AT1863" s="8"/>
      <c r="AU1863" s="8"/>
      <c r="AV1863" s="8"/>
      <c r="AW1863" s="8"/>
      <c r="AX1863" s="4" t="s">
        <v>38</v>
      </c>
      <c r="AY1863" s="5" t="s">
        <v>8161</v>
      </c>
      <c r="AZ1863" s="5" t="s">
        <v>38</v>
      </c>
      <c r="BA1863" s="12"/>
      <c r="BB1863" s="12"/>
      <c r="BC1863" s="12"/>
      <c r="BD1863" s="11">
        <v>0</v>
      </c>
      <c r="BE1863" s="11">
        <v>0</v>
      </c>
    </row>
    <row x14ac:dyDescent="0.25" r="1864" customHeight="1" ht="17.25">
      <c r="A1864" s="11">
        <v>26828302</v>
      </c>
      <c r="B1864" s="4" t="s">
        <v>8162</v>
      </c>
      <c r="C1864" s="5" t="s">
        <v>8163</v>
      </c>
      <c r="D1864" s="5" t="s">
        <v>8164</v>
      </c>
      <c r="E1864" s="12"/>
      <c r="F1864" s="13">
        <f>"6073134150"</f>
      </c>
      <c r="G1864" s="13">
        <f>"9786073134156"</f>
      </c>
      <c r="H1864" s="11">
        <v>0</v>
      </c>
      <c r="I1864" s="14">
        <v>3.89</v>
      </c>
      <c r="J1864" s="7" t="s">
        <v>8165</v>
      </c>
      <c r="K1864" s="5" t="s">
        <v>90</v>
      </c>
      <c r="L1864" s="11">
        <v>303</v>
      </c>
      <c r="M1864" s="11">
        <v>2015</v>
      </c>
      <c r="N1864" s="11">
        <v>2015</v>
      </c>
      <c r="O1864" s="15"/>
      <c r="P1864" s="8">
        <v>44097</v>
      </c>
      <c r="Q1864" s="8"/>
      <c r="R1864" s="8"/>
      <c r="S1864" s="8"/>
      <c r="T1864" s="8"/>
      <c r="U1864" s="8"/>
      <c r="V1864" s="8"/>
      <c r="W1864" s="8"/>
      <c r="X1864" s="8"/>
      <c r="Y1864" s="8"/>
      <c r="Z1864" s="8"/>
      <c r="AA1864" s="8"/>
      <c r="AB1864" s="8"/>
      <c r="AC1864" s="8"/>
      <c r="AD1864" s="8"/>
      <c r="AE1864" s="8"/>
      <c r="AF1864" s="8"/>
      <c r="AG1864" s="8"/>
      <c r="AH1864" s="8"/>
      <c r="AI1864" s="8"/>
      <c r="AJ1864" s="8"/>
      <c r="AK1864" s="8"/>
      <c r="AL1864" s="8"/>
      <c r="AM1864" s="8"/>
      <c r="AN1864" s="8"/>
      <c r="AO1864" s="8"/>
      <c r="AP1864" s="8"/>
      <c r="AQ1864" s="8"/>
      <c r="AR1864" s="8"/>
      <c r="AS1864" s="8"/>
      <c r="AT1864" s="8"/>
      <c r="AU1864" s="8"/>
      <c r="AV1864" s="8"/>
      <c r="AW1864" s="8"/>
      <c r="AX1864" s="4" t="s">
        <v>38</v>
      </c>
      <c r="AY1864" s="5" t="s">
        <v>8166</v>
      </c>
      <c r="AZ1864" s="5" t="s">
        <v>38</v>
      </c>
      <c r="BA1864" s="12"/>
      <c r="BB1864" s="12"/>
      <c r="BC1864" s="12"/>
      <c r="BD1864" s="11">
        <v>0</v>
      </c>
      <c r="BE1864" s="11">
        <v>0</v>
      </c>
    </row>
    <row x14ac:dyDescent="0.25" r="1865" customHeight="1" ht="17.25">
      <c r="A1865" s="11">
        <v>15826372</v>
      </c>
      <c r="B1865" s="4" t="s">
        <v>8167</v>
      </c>
      <c r="C1865" s="5" t="s">
        <v>8168</v>
      </c>
      <c r="D1865" s="5" t="s">
        <v>8169</v>
      </c>
      <c r="E1865" s="12"/>
      <c r="F1865" s="13">
        <f>"841560100X"</f>
      </c>
      <c r="G1865" s="13">
        <f>"9788415601005"</f>
      </c>
      <c r="H1865" s="11">
        <v>0</v>
      </c>
      <c r="I1865" s="14">
        <v>3.61</v>
      </c>
      <c r="J1865" s="7" t="s">
        <v>8170</v>
      </c>
      <c r="K1865" s="5" t="s">
        <v>60</v>
      </c>
      <c r="L1865" s="11">
        <v>280</v>
      </c>
      <c r="M1865" s="11">
        <v>2012</v>
      </c>
      <c r="N1865" s="11">
        <v>2012</v>
      </c>
      <c r="O1865" s="15"/>
      <c r="P1865" s="8">
        <v>44097</v>
      </c>
      <c r="Q1865" s="8"/>
      <c r="R1865" s="8"/>
      <c r="S1865" s="8"/>
      <c r="T1865" s="8"/>
      <c r="U1865" s="8"/>
      <c r="V1865" s="8"/>
      <c r="W1865" s="8"/>
      <c r="X1865" s="8"/>
      <c r="Y1865" s="8"/>
      <c r="Z1865" s="8"/>
      <c r="AA1865" s="8"/>
      <c r="AB1865" s="8"/>
      <c r="AC1865" s="8"/>
      <c r="AD1865" s="8"/>
      <c r="AE1865" s="8"/>
      <c r="AF1865" s="8"/>
      <c r="AG1865" s="8"/>
      <c r="AH1865" s="8"/>
      <c r="AI1865" s="8"/>
      <c r="AJ1865" s="8"/>
      <c r="AK1865" s="8"/>
      <c r="AL1865" s="8"/>
      <c r="AM1865" s="8"/>
      <c r="AN1865" s="8"/>
      <c r="AO1865" s="8"/>
      <c r="AP1865" s="8"/>
      <c r="AQ1865" s="8"/>
      <c r="AR1865" s="8"/>
      <c r="AS1865" s="8"/>
      <c r="AT1865" s="8"/>
      <c r="AU1865" s="8"/>
      <c r="AV1865" s="8"/>
      <c r="AW1865" s="8"/>
      <c r="AX1865" s="4" t="s">
        <v>38</v>
      </c>
      <c r="AY1865" s="5" t="s">
        <v>8171</v>
      </c>
      <c r="AZ1865" s="5" t="s">
        <v>38</v>
      </c>
      <c r="BA1865" s="12"/>
      <c r="BB1865" s="12"/>
      <c r="BC1865" s="12"/>
      <c r="BD1865" s="11">
        <v>0</v>
      </c>
      <c r="BE1865" s="11">
        <v>0</v>
      </c>
    </row>
    <row x14ac:dyDescent="0.25" r="1866" customHeight="1" ht="17.25">
      <c r="A1866" s="11">
        <v>17706541</v>
      </c>
      <c r="B1866" s="4" t="s">
        <v>8172</v>
      </c>
      <c r="C1866" s="5" t="s">
        <v>8173</v>
      </c>
      <c r="D1866" s="5" t="s">
        <v>8174</v>
      </c>
      <c r="E1866" s="12"/>
      <c r="F1866" s="13">
        <f>"6074111197"</f>
      </c>
      <c r="G1866" s="13">
        <f>"9786074111194"</f>
      </c>
      <c r="H1866" s="11">
        <v>0</v>
      </c>
      <c r="I1866" s="14">
        <v>3.7</v>
      </c>
      <c r="J1866" s="7" t="s">
        <v>8175</v>
      </c>
      <c r="K1866" s="5" t="s">
        <v>60</v>
      </c>
      <c r="L1866" s="11">
        <v>214</v>
      </c>
      <c r="M1866" s="11">
        <v>2013</v>
      </c>
      <c r="N1866" s="11">
        <v>2013</v>
      </c>
      <c r="O1866" s="15"/>
      <c r="P1866" s="8">
        <v>44097</v>
      </c>
      <c r="Q1866" s="8"/>
      <c r="R1866" s="8"/>
      <c r="S1866" s="8"/>
      <c r="T1866" s="8"/>
      <c r="U1866" s="8"/>
      <c r="V1866" s="8"/>
      <c r="W1866" s="8"/>
      <c r="X1866" s="8"/>
      <c r="Y1866" s="8"/>
      <c r="Z1866" s="8"/>
      <c r="AA1866" s="8"/>
      <c r="AB1866" s="8"/>
      <c r="AC1866" s="8"/>
      <c r="AD1866" s="8"/>
      <c r="AE1866" s="8"/>
      <c r="AF1866" s="8"/>
      <c r="AG1866" s="8"/>
      <c r="AH1866" s="8"/>
      <c r="AI1866" s="8"/>
      <c r="AJ1866" s="8"/>
      <c r="AK1866" s="8"/>
      <c r="AL1866" s="8"/>
      <c r="AM1866" s="8"/>
      <c r="AN1866" s="8"/>
      <c r="AO1866" s="8"/>
      <c r="AP1866" s="8"/>
      <c r="AQ1866" s="8"/>
      <c r="AR1866" s="8"/>
      <c r="AS1866" s="8"/>
      <c r="AT1866" s="8"/>
      <c r="AU1866" s="8"/>
      <c r="AV1866" s="8"/>
      <c r="AW1866" s="8"/>
      <c r="AX1866" s="4" t="s">
        <v>38</v>
      </c>
      <c r="AY1866" s="5" t="s">
        <v>8176</v>
      </c>
      <c r="AZ1866" s="5" t="s">
        <v>38</v>
      </c>
      <c r="BA1866" s="12"/>
      <c r="BB1866" s="12"/>
      <c r="BC1866" s="12"/>
      <c r="BD1866" s="11">
        <v>0</v>
      </c>
      <c r="BE1866" s="11">
        <v>0</v>
      </c>
    </row>
    <row x14ac:dyDescent="0.25" r="1867" customHeight="1" ht="17.25">
      <c r="A1867" s="11">
        <v>36526771</v>
      </c>
      <c r="B1867" s="4" t="s">
        <v>8177</v>
      </c>
      <c r="C1867" s="5" t="s">
        <v>8178</v>
      </c>
      <c r="D1867" s="5" t="s">
        <v>8179</v>
      </c>
      <c r="E1867" s="5" t="s">
        <v>8180</v>
      </c>
      <c r="F1867" s="13">
        <f>"8416291578"</f>
      </c>
      <c r="G1867" s="13">
        <f>"9788416291571"</f>
      </c>
      <c r="H1867" s="11">
        <v>0</v>
      </c>
      <c r="I1867" s="14">
        <v>3.71</v>
      </c>
      <c r="J1867" s="7" t="s">
        <v>8181</v>
      </c>
      <c r="K1867" s="5" t="s">
        <v>60</v>
      </c>
      <c r="L1867" s="11">
        <v>288</v>
      </c>
      <c r="M1867" s="11">
        <v>2017</v>
      </c>
      <c r="N1867" s="11">
        <v>1963</v>
      </c>
      <c r="O1867" s="15"/>
      <c r="P1867" s="8">
        <v>44097</v>
      </c>
      <c r="Q1867" s="8"/>
      <c r="R1867" s="8"/>
      <c r="S1867" s="8"/>
      <c r="T1867" s="8"/>
      <c r="U1867" s="8"/>
      <c r="V1867" s="8"/>
      <c r="W1867" s="8"/>
      <c r="X1867" s="8"/>
      <c r="Y1867" s="8"/>
      <c r="Z1867" s="8"/>
      <c r="AA1867" s="8"/>
      <c r="AB1867" s="8"/>
      <c r="AC1867" s="8"/>
      <c r="AD1867" s="8"/>
      <c r="AE1867" s="8"/>
      <c r="AF1867" s="8"/>
      <c r="AG1867" s="8"/>
      <c r="AH1867" s="8"/>
      <c r="AI1867" s="8"/>
      <c r="AJ1867" s="8"/>
      <c r="AK1867" s="8"/>
      <c r="AL1867" s="8"/>
      <c r="AM1867" s="8"/>
      <c r="AN1867" s="8"/>
      <c r="AO1867" s="8"/>
      <c r="AP1867" s="8"/>
      <c r="AQ1867" s="8"/>
      <c r="AR1867" s="8"/>
      <c r="AS1867" s="8"/>
      <c r="AT1867" s="8"/>
      <c r="AU1867" s="8"/>
      <c r="AV1867" s="8"/>
      <c r="AW1867" s="8"/>
      <c r="AX1867" s="4" t="s">
        <v>38</v>
      </c>
      <c r="AY1867" s="5" t="s">
        <v>8182</v>
      </c>
      <c r="AZ1867" s="5" t="s">
        <v>38</v>
      </c>
      <c r="BA1867" s="12"/>
      <c r="BB1867" s="12"/>
      <c r="BC1867" s="12"/>
      <c r="BD1867" s="11">
        <v>0</v>
      </c>
      <c r="BE1867" s="11">
        <v>0</v>
      </c>
    </row>
    <row x14ac:dyDescent="0.25" r="1868" customHeight="1" ht="17.25">
      <c r="A1868" s="11">
        <v>44151421</v>
      </c>
      <c r="B1868" s="4" t="s">
        <v>8183</v>
      </c>
      <c r="C1868" s="5" t="s">
        <v>8184</v>
      </c>
      <c r="D1868" s="5" t="s">
        <v>8185</v>
      </c>
      <c r="E1868" s="12"/>
      <c r="F1868" s="13">
        <f>"8417747109"</f>
      </c>
      <c r="G1868" s="13">
        <f>"9788417747107"</f>
      </c>
      <c r="H1868" s="11">
        <v>0</v>
      </c>
      <c r="I1868" s="14">
        <v>3.78</v>
      </c>
      <c r="J1868" s="7" t="s">
        <v>8186</v>
      </c>
      <c r="K1868" s="5" t="s">
        <v>60</v>
      </c>
      <c r="L1868" s="11">
        <v>240</v>
      </c>
      <c r="M1868" s="11">
        <v>2019</v>
      </c>
      <c r="N1868" s="16"/>
      <c r="O1868" s="15"/>
      <c r="P1868" s="8">
        <v>44095</v>
      </c>
      <c r="Q1868" s="8"/>
      <c r="R1868" s="8"/>
      <c r="S1868" s="8"/>
      <c r="T1868" s="8"/>
      <c r="U1868" s="8"/>
      <c r="V1868" s="8"/>
      <c r="W1868" s="8"/>
      <c r="X1868" s="8"/>
      <c r="Y1868" s="8"/>
      <c r="Z1868" s="8"/>
      <c r="AA1868" s="8"/>
      <c r="AB1868" s="8"/>
      <c r="AC1868" s="8"/>
      <c r="AD1868" s="8"/>
      <c r="AE1868" s="8"/>
      <c r="AF1868" s="8"/>
      <c r="AG1868" s="8"/>
      <c r="AH1868" s="8"/>
      <c r="AI1868" s="8"/>
      <c r="AJ1868" s="8"/>
      <c r="AK1868" s="8"/>
      <c r="AL1868" s="8"/>
      <c r="AM1868" s="8"/>
      <c r="AN1868" s="8"/>
      <c r="AO1868" s="8"/>
      <c r="AP1868" s="8"/>
      <c r="AQ1868" s="8"/>
      <c r="AR1868" s="8"/>
      <c r="AS1868" s="8"/>
      <c r="AT1868" s="8"/>
      <c r="AU1868" s="8"/>
      <c r="AV1868" s="8"/>
      <c r="AW1868" s="8"/>
      <c r="AX1868" s="4" t="s">
        <v>38</v>
      </c>
      <c r="AY1868" s="5" t="s">
        <v>8187</v>
      </c>
      <c r="AZ1868" s="5" t="s">
        <v>38</v>
      </c>
      <c r="BA1868" s="12"/>
      <c r="BB1868" s="12"/>
      <c r="BC1868" s="12"/>
      <c r="BD1868" s="11">
        <v>0</v>
      </c>
      <c r="BE1868" s="11">
        <v>0</v>
      </c>
    </row>
    <row x14ac:dyDescent="0.25" r="1869" customHeight="1" ht="17.25">
      <c r="A1869" s="11">
        <v>41587567</v>
      </c>
      <c r="B1869" s="4" t="s">
        <v>8188</v>
      </c>
      <c r="C1869" s="5" t="s">
        <v>8189</v>
      </c>
      <c r="D1869" s="5" t="s">
        <v>8190</v>
      </c>
      <c r="E1869" s="5" t="s">
        <v>8191</v>
      </c>
      <c r="F1869" s="13">
        <f>"8417059997"</f>
      </c>
      <c r="G1869" s="13">
        <f>"9788417059996"</f>
      </c>
      <c r="H1869" s="11">
        <v>0</v>
      </c>
      <c r="I1869" s="14">
        <v>3.81</v>
      </c>
      <c r="J1869" s="7" t="s">
        <v>8140</v>
      </c>
      <c r="K1869" s="5" t="s">
        <v>72</v>
      </c>
      <c r="L1869" s="11">
        <v>221</v>
      </c>
      <c r="M1869" s="11">
        <v>2018</v>
      </c>
      <c r="N1869" s="11">
        <v>2018</v>
      </c>
      <c r="O1869" s="15"/>
      <c r="P1869" s="8">
        <v>44095</v>
      </c>
      <c r="Q1869" s="8"/>
      <c r="R1869" s="8"/>
      <c r="S1869" s="8"/>
      <c r="T1869" s="8"/>
      <c r="U1869" s="8"/>
      <c r="V1869" s="8"/>
      <c r="W1869" s="8"/>
      <c r="X1869" s="8"/>
      <c r="Y1869" s="8"/>
      <c r="Z1869" s="8"/>
      <c r="AA1869" s="8"/>
      <c r="AB1869" s="8"/>
      <c r="AC1869" s="8"/>
      <c r="AD1869" s="8"/>
      <c r="AE1869" s="8"/>
      <c r="AF1869" s="8"/>
      <c r="AG1869" s="8"/>
      <c r="AH1869" s="8"/>
      <c r="AI1869" s="8"/>
      <c r="AJ1869" s="8"/>
      <c r="AK1869" s="8"/>
      <c r="AL1869" s="8"/>
      <c r="AM1869" s="8"/>
      <c r="AN1869" s="8"/>
      <c r="AO1869" s="8"/>
      <c r="AP1869" s="8"/>
      <c r="AQ1869" s="8"/>
      <c r="AR1869" s="8"/>
      <c r="AS1869" s="8"/>
      <c r="AT1869" s="8"/>
      <c r="AU1869" s="8"/>
      <c r="AV1869" s="8"/>
      <c r="AW1869" s="8"/>
      <c r="AX1869" s="4" t="s">
        <v>38</v>
      </c>
      <c r="AY1869" s="5" t="s">
        <v>8192</v>
      </c>
      <c r="AZ1869" s="5" t="s">
        <v>38</v>
      </c>
      <c r="BA1869" s="12"/>
      <c r="BB1869" s="12"/>
      <c r="BC1869" s="12"/>
      <c r="BD1869" s="11">
        <v>0</v>
      </c>
      <c r="BE1869" s="11">
        <v>0</v>
      </c>
    </row>
    <row x14ac:dyDescent="0.25" r="1870" customHeight="1" ht="17.25">
      <c r="A1870" s="11">
        <v>52159531</v>
      </c>
      <c r="B1870" s="4" t="s">
        <v>8193</v>
      </c>
      <c r="C1870" s="5" t="s">
        <v>8194</v>
      </c>
      <c r="D1870" s="5" t="s">
        <v>8195</v>
      </c>
      <c r="E1870" s="12"/>
      <c r="F1870" s="13">
        <f>"8420438928"</f>
      </c>
      <c r="G1870" s="13">
        <f>"9788420438924"</f>
      </c>
      <c r="H1870" s="11">
        <v>0</v>
      </c>
      <c r="I1870" s="14">
        <v>3.77</v>
      </c>
      <c r="J1870" s="7" t="s">
        <v>8078</v>
      </c>
      <c r="K1870" s="5" t="s">
        <v>60</v>
      </c>
      <c r="L1870" s="11">
        <v>248</v>
      </c>
      <c r="M1870" s="11">
        <v>2020</v>
      </c>
      <c r="N1870" s="11">
        <v>2020</v>
      </c>
      <c r="O1870" s="15"/>
      <c r="P1870" s="8">
        <v>44095</v>
      </c>
      <c r="Q1870" s="8"/>
      <c r="R1870" s="8"/>
      <c r="S1870" s="8"/>
      <c r="T1870" s="8"/>
      <c r="U1870" s="8"/>
      <c r="V1870" s="8"/>
      <c r="W1870" s="8"/>
      <c r="X1870" s="8"/>
      <c r="Y1870" s="8"/>
      <c r="Z1870" s="8"/>
      <c r="AA1870" s="8"/>
      <c r="AB1870" s="8"/>
      <c r="AC1870" s="8"/>
      <c r="AD1870" s="8"/>
      <c r="AE1870" s="8"/>
      <c r="AF1870" s="8"/>
      <c r="AG1870" s="8"/>
      <c r="AH1870" s="8"/>
      <c r="AI1870" s="8"/>
      <c r="AJ1870" s="8"/>
      <c r="AK1870" s="8"/>
      <c r="AL1870" s="8"/>
      <c r="AM1870" s="8"/>
      <c r="AN1870" s="8"/>
      <c r="AO1870" s="8"/>
      <c r="AP1870" s="8"/>
      <c r="AQ1870" s="8"/>
      <c r="AR1870" s="8"/>
      <c r="AS1870" s="8"/>
      <c r="AT1870" s="8"/>
      <c r="AU1870" s="8"/>
      <c r="AV1870" s="8"/>
      <c r="AW1870" s="8"/>
      <c r="AX1870" s="4" t="s">
        <v>38</v>
      </c>
      <c r="AY1870" s="5" t="s">
        <v>8196</v>
      </c>
      <c r="AZ1870" s="5" t="s">
        <v>38</v>
      </c>
      <c r="BA1870" s="12"/>
      <c r="BB1870" s="12"/>
      <c r="BC1870" s="12"/>
      <c r="BD1870" s="11">
        <v>0</v>
      </c>
      <c r="BE1870" s="11">
        <v>0</v>
      </c>
    </row>
    <row x14ac:dyDescent="0.25" r="1871" customHeight="1" ht="17.25">
      <c r="A1871" s="11">
        <v>24507899</v>
      </c>
      <c r="B1871" s="4" t="s">
        <v>8197</v>
      </c>
      <c r="C1871" s="5" t="s">
        <v>8198</v>
      </c>
      <c r="D1871" s="5" t="s">
        <v>8199</v>
      </c>
      <c r="E1871" s="12"/>
      <c r="F1871" s="13">
        <f>""</f>
      </c>
      <c r="G1871" s="13">
        <f>""</f>
      </c>
      <c r="H1871" s="11">
        <v>0</v>
      </c>
      <c r="I1871" s="11">
        <v>0</v>
      </c>
      <c r="J1871" s="7" t="s">
        <v>6077</v>
      </c>
      <c r="K1871" s="5" t="s">
        <v>90</v>
      </c>
      <c r="L1871" s="11">
        <v>339</v>
      </c>
      <c r="M1871" s="16"/>
      <c r="N1871" s="16"/>
      <c r="O1871" s="15"/>
      <c r="P1871" s="8">
        <v>44095</v>
      </c>
      <c r="Q1871" s="8"/>
      <c r="R1871" s="8"/>
      <c r="S1871" s="8"/>
      <c r="T1871" s="8"/>
      <c r="U1871" s="8"/>
      <c r="V1871" s="8"/>
      <c r="W1871" s="8"/>
      <c r="X1871" s="8"/>
      <c r="Y1871" s="8"/>
      <c r="Z1871" s="8"/>
      <c r="AA1871" s="8"/>
      <c r="AB1871" s="8"/>
      <c r="AC1871" s="8"/>
      <c r="AD1871" s="8"/>
      <c r="AE1871" s="8"/>
      <c r="AF1871" s="8"/>
      <c r="AG1871" s="8"/>
      <c r="AH1871" s="8"/>
      <c r="AI1871" s="8"/>
      <c r="AJ1871" s="8"/>
      <c r="AK1871" s="8"/>
      <c r="AL1871" s="8"/>
      <c r="AM1871" s="8"/>
      <c r="AN1871" s="8"/>
      <c r="AO1871" s="8"/>
      <c r="AP1871" s="8"/>
      <c r="AQ1871" s="8"/>
      <c r="AR1871" s="8"/>
      <c r="AS1871" s="8"/>
      <c r="AT1871" s="8"/>
      <c r="AU1871" s="8"/>
      <c r="AV1871" s="8"/>
      <c r="AW1871" s="8"/>
      <c r="AX1871" s="4" t="s">
        <v>38</v>
      </c>
      <c r="AY1871" s="5" t="s">
        <v>8200</v>
      </c>
      <c r="AZ1871" s="5" t="s">
        <v>38</v>
      </c>
      <c r="BA1871" s="12"/>
      <c r="BB1871" s="12"/>
      <c r="BC1871" s="12"/>
      <c r="BD1871" s="11">
        <v>0</v>
      </c>
      <c r="BE1871" s="11">
        <v>0</v>
      </c>
    </row>
    <row x14ac:dyDescent="0.25" r="1872" customHeight="1" ht="17.25">
      <c r="A1872" s="11">
        <v>376894</v>
      </c>
      <c r="B1872" s="4" t="s">
        <v>8201</v>
      </c>
      <c r="C1872" s="5" t="s">
        <v>2982</v>
      </c>
      <c r="D1872" s="5" t="s">
        <v>2983</v>
      </c>
      <c r="E1872" s="5" t="s">
        <v>8202</v>
      </c>
      <c r="F1872" s="13">
        <f>"8474430178"</f>
      </c>
      <c r="G1872" s="13">
        <f>"9788474430172"</f>
      </c>
      <c r="H1872" s="11">
        <v>0</v>
      </c>
      <c r="I1872" s="14">
        <v>4.24</v>
      </c>
      <c r="J1872" s="7" t="s">
        <v>8203</v>
      </c>
      <c r="K1872" s="5" t="s">
        <v>60</v>
      </c>
      <c r="L1872" s="11">
        <v>192</v>
      </c>
      <c r="M1872" s="11">
        <v>1991</v>
      </c>
      <c r="N1872" s="11">
        <v>1977</v>
      </c>
      <c r="O1872" s="15"/>
      <c r="P1872" s="8">
        <v>44094</v>
      </c>
      <c r="Q1872" s="8"/>
      <c r="R1872" s="8"/>
      <c r="S1872" s="8"/>
      <c r="T1872" s="8"/>
      <c r="U1872" s="8"/>
      <c r="V1872" s="8"/>
      <c r="W1872" s="8"/>
      <c r="X1872" s="8"/>
      <c r="Y1872" s="8"/>
      <c r="Z1872" s="8"/>
      <c r="AA1872" s="8"/>
      <c r="AB1872" s="8"/>
      <c r="AC1872" s="8"/>
      <c r="AD1872" s="8"/>
      <c r="AE1872" s="8"/>
      <c r="AF1872" s="8"/>
      <c r="AG1872" s="8"/>
      <c r="AH1872" s="8"/>
      <c r="AI1872" s="8"/>
      <c r="AJ1872" s="8"/>
      <c r="AK1872" s="8"/>
      <c r="AL1872" s="8"/>
      <c r="AM1872" s="8"/>
      <c r="AN1872" s="8"/>
      <c r="AO1872" s="8"/>
      <c r="AP1872" s="8"/>
      <c r="AQ1872" s="8"/>
      <c r="AR1872" s="8"/>
      <c r="AS1872" s="8"/>
      <c r="AT1872" s="8"/>
      <c r="AU1872" s="8"/>
      <c r="AV1872" s="8"/>
      <c r="AW1872" s="8"/>
      <c r="AX1872" s="4" t="s">
        <v>38</v>
      </c>
      <c r="AY1872" s="5" t="s">
        <v>8204</v>
      </c>
      <c r="AZ1872" s="5" t="s">
        <v>38</v>
      </c>
      <c r="BA1872" s="12"/>
      <c r="BB1872" s="12"/>
      <c r="BC1872" s="12"/>
      <c r="BD1872" s="11">
        <v>0</v>
      </c>
      <c r="BE1872" s="11">
        <v>0</v>
      </c>
    </row>
    <row x14ac:dyDescent="0.25" r="1873" customHeight="1" ht="17.25">
      <c r="A1873" s="11">
        <v>2005829</v>
      </c>
      <c r="B1873" s="4" t="s">
        <v>8205</v>
      </c>
      <c r="C1873" s="5" t="s">
        <v>8206</v>
      </c>
      <c r="D1873" s="5" t="s">
        <v>8207</v>
      </c>
      <c r="E1873" s="12"/>
      <c r="F1873" s="13">
        <f>"8483101734"</f>
      </c>
      <c r="G1873" s="13">
        <f>"9788483101735"</f>
      </c>
      <c r="H1873" s="11">
        <v>0</v>
      </c>
      <c r="I1873" s="14">
        <v>4.25</v>
      </c>
      <c r="J1873" s="7" t="s">
        <v>7773</v>
      </c>
      <c r="K1873" s="5" t="s">
        <v>60</v>
      </c>
      <c r="L1873" s="11">
        <v>654</v>
      </c>
      <c r="M1873" s="11">
        <v>2001</v>
      </c>
      <c r="N1873" s="11">
        <v>1999</v>
      </c>
      <c r="O1873" s="15"/>
      <c r="P1873" s="8">
        <v>44094</v>
      </c>
      <c r="Q1873" s="8"/>
      <c r="R1873" s="8"/>
      <c r="S1873" s="8"/>
      <c r="T1873" s="8"/>
      <c r="U1873" s="8"/>
      <c r="V1873" s="8"/>
      <c r="W1873" s="8"/>
      <c r="X1873" s="8"/>
      <c r="Y1873" s="8"/>
      <c r="Z1873" s="8"/>
      <c r="AA1873" s="8"/>
      <c r="AB1873" s="8"/>
      <c r="AC1873" s="8"/>
      <c r="AD1873" s="8"/>
      <c r="AE1873" s="8"/>
      <c r="AF1873" s="8"/>
      <c r="AG1873" s="8"/>
      <c r="AH1873" s="8"/>
      <c r="AI1873" s="8"/>
      <c r="AJ1873" s="8"/>
      <c r="AK1873" s="8"/>
      <c r="AL1873" s="8"/>
      <c r="AM1873" s="8"/>
      <c r="AN1873" s="8"/>
      <c r="AO1873" s="8"/>
      <c r="AP1873" s="8"/>
      <c r="AQ1873" s="8"/>
      <c r="AR1873" s="8"/>
      <c r="AS1873" s="8"/>
      <c r="AT1873" s="8"/>
      <c r="AU1873" s="8"/>
      <c r="AV1873" s="8"/>
      <c r="AW1873" s="8"/>
      <c r="AX1873" s="4" t="s">
        <v>38</v>
      </c>
      <c r="AY1873" s="5" t="s">
        <v>8208</v>
      </c>
      <c r="AZ1873" s="5" t="s">
        <v>38</v>
      </c>
      <c r="BA1873" s="12"/>
      <c r="BB1873" s="12"/>
      <c r="BC1873" s="12"/>
      <c r="BD1873" s="11">
        <v>0</v>
      </c>
      <c r="BE1873" s="11">
        <v>0</v>
      </c>
    </row>
    <row x14ac:dyDescent="0.25" r="1874" customHeight="1" ht="17.25">
      <c r="A1874" s="11">
        <v>16115297</v>
      </c>
      <c r="B1874" s="4" t="s">
        <v>8209</v>
      </c>
      <c r="C1874" s="5" t="s">
        <v>8210</v>
      </c>
      <c r="D1874" s="5" t="s">
        <v>8211</v>
      </c>
      <c r="E1874" s="12"/>
      <c r="F1874" s="13">
        <f>"8492865571"</f>
      </c>
      <c r="G1874" s="13">
        <f>"9788492865574"</f>
      </c>
      <c r="H1874" s="11">
        <v>0</v>
      </c>
      <c r="I1874" s="14">
        <v>3.74</v>
      </c>
      <c r="J1874" s="7" t="s">
        <v>8181</v>
      </c>
      <c r="K1874" s="5" t="s">
        <v>60</v>
      </c>
      <c r="L1874" s="11">
        <v>216</v>
      </c>
      <c r="M1874" s="11">
        <v>2013</v>
      </c>
      <c r="N1874" s="11">
        <v>2007</v>
      </c>
      <c r="O1874" s="15"/>
      <c r="P1874" s="8">
        <v>44094</v>
      </c>
      <c r="Q1874" s="8"/>
      <c r="R1874" s="8"/>
      <c r="S1874" s="8"/>
      <c r="T1874" s="8"/>
      <c r="U1874" s="8"/>
      <c r="V1874" s="8"/>
      <c r="W1874" s="8"/>
      <c r="X1874" s="8"/>
      <c r="Y1874" s="8"/>
      <c r="Z1874" s="8"/>
      <c r="AA1874" s="8"/>
      <c r="AB1874" s="8"/>
      <c r="AC1874" s="8"/>
      <c r="AD1874" s="8"/>
      <c r="AE1874" s="8"/>
      <c r="AF1874" s="8"/>
      <c r="AG1874" s="8"/>
      <c r="AH1874" s="8"/>
      <c r="AI1874" s="8"/>
      <c r="AJ1874" s="8"/>
      <c r="AK1874" s="8"/>
      <c r="AL1874" s="8"/>
      <c r="AM1874" s="8"/>
      <c r="AN1874" s="8"/>
      <c r="AO1874" s="8"/>
      <c r="AP1874" s="8"/>
      <c r="AQ1874" s="8"/>
      <c r="AR1874" s="8"/>
      <c r="AS1874" s="8"/>
      <c r="AT1874" s="8"/>
      <c r="AU1874" s="8"/>
      <c r="AV1874" s="8"/>
      <c r="AW1874" s="8"/>
      <c r="AX1874" s="4" t="s">
        <v>38</v>
      </c>
      <c r="AY1874" s="5" t="s">
        <v>8212</v>
      </c>
      <c r="AZ1874" s="5" t="s">
        <v>38</v>
      </c>
      <c r="BA1874" s="12"/>
      <c r="BB1874" s="12"/>
      <c r="BC1874" s="12"/>
      <c r="BD1874" s="11">
        <v>0</v>
      </c>
      <c r="BE1874" s="11">
        <v>0</v>
      </c>
    </row>
    <row x14ac:dyDescent="0.25" r="1875" customHeight="1" ht="17.25">
      <c r="A1875" s="11">
        <v>3232405</v>
      </c>
      <c r="B1875" s="4" t="s">
        <v>8213</v>
      </c>
      <c r="C1875" s="5" t="s">
        <v>8214</v>
      </c>
      <c r="D1875" s="5" t="s">
        <v>8215</v>
      </c>
      <c r="E1875" s="12"/>
      <c r="F1875" s="13">
        <f>"9500708876"</f>
      </c>
      <c r="G1875" s="13">
        <f>"9789500708876"</f>
      </c>
      <c r="H1875" s="11">
        <v>0</v>
      </c>
      <c r="I1875" s="14">
        <v>3.9</v>
      </c>
      <c r="J1875" s="7" t="s">
        <v>1171</v>
      </c>
      <c r="K1875" s="5" t="s">
        <v>60</v>
      </c>
      <c r="L1875" s="11">
        <v>399</v>
      </c>
      <c r="M1875" s="11">
        <v>1993</v>
      </c>
      <c r="N1875" s="11">
        <v>1993</v>
      </c>
      <c r="O1875" s="15"/>
      <c r="P1875" s="8">
        <v>44094</v>
      </c>
      <c r="Q1875" s="8"/>
      <c r="R1875" s="8"/>
      <c r="S1875" s="8"/>
      <c r="T1875" s="8"/>
      <c r="U1875" s="8"/>
      <c r="V1875" s="8"/>
      <c r="W1875" s="8"/>
      <c r="X1875" s="8"/>
      <c r="Y1875" s="8"/>
      <c r="Z1875" s="8"/>
      <c r="AA1875" s="8"/>
      <c r="AB1875" s="8"/>
      <c r="AC1875" s="8"/>
      <c r="AD1875" s="8"/>
      <c r="AE1875" s="8"/>
      <c r="AF1875" s="8"/>
      <c r="AG1875" s="8"/>
      <c r="AH1875" s="8"/>
      <c r="AI1875" s="8"/>
      <c r="AJ1875" s="8"/>
      <c r="AK1875" s="8"/>
      <c r="AL1875" s="8"/>
      <c r="AM1875" s="8"/>
      <c r="AN1875" s="8"/>
      <c r="AO1875" s="8"/>
      <c r="AP1875" s="8"/>
      <c r="AQ1875" s="8"/>
      <c r="AR1875" s="8"/>
      <c r="AS1875" s="8"/>
      <c r="AT1875" s="8"/>
      <c r="AU1875" s="8"/>
      <c r="AV1875" s="8"/>
      <c r="AW1875" s="8"/>
      <c r="AX1875" s="4" t="s">
        <v>38</v>
      </c>
      <c r="AY1875" s="5" t="s">
        <v>8216</v>
      </c>
      <c r="AZ1875" s="5" t="s">
        <v>38</v>
      </c>
      <c r="BA1875" s="12"/>
      <c r="BB1875" s="12"/>
      <c r="BC1875" s="12"/>
      <c r="BD1875" s="11">
        <v>0</v>
      </c>
      <c r="BE1875" s="11">
        <v>0</v>
      </c>
    </row>
    <row x14ac:dyDescent="0.25" r="1876" customHeight="1" ht="17.25">
      <c r="A1876" s="11">
        <v>31178501</v>
      </c>
      <c r="B1876" s="4" t="s">
        <v>8217</v>
      </c>
      <c r="C1876" s="5" t="s">
        <v>8218</v>
      </c>
      <c r="D1876" s="5" t="s">
        <v>8219</v>
      </c>
      <c r="E1876" s="12"/>
      <c r="F1876" s="13">
        <f>""</f>
      </c>
      <c r="G1876" s="13">
        <f>"9786079564117"</f>
      </c>
      <c r="H1876" s="11">
        <v>0</v>
      </c>
      <c r="I1876" s="14">
        <v>4.26</v>
      </c>
      <c r="J1876" s="7" t="s">
        <v>8220</v>
      </c>
      <c r="K1876" s="5" t="s">
        <v>60</v>
      </c>
      <c r="L1876" s="11">
        <v>368</v>
      </c>
      <c r="M1876" s="11">
        <v>2015</v>
      </c>
      <c r="N1876" s="11">
        <v>2015</v>
      </c>
      <c r="O1876" s="15"/>
      <c r="P1876" s="8">
        <v>44094</v>
      </c>
      <c r="Q1876" s="8"/>
      <c r="R1876" s="8"/>
      <c r="S1876" s="8"/>
      <c r="T1876" s="8"/>
      <c r="U1876" s="8"/>
      <c r="V1876" s="8"/>
      <c r="W1876" s="8"/>
      <c r="X1876" s="8"/>
      <c r="Y1876" s="8"/>
      <c r="Z1876" s="8"/>
      <c r="AA1876" s="8"/>
      <c r="AB1876" s="8"/>
      <c r="AC1876" s="8"/>
      <c r="AD1876" s="8"/>
      <c r="AE1876" s="8"/>
      <c r="AF1876" s="8"/>
      <c r="AG1876" s="8"/>
      <c r="AH1876" s="8"/>
      <c r="AI1876" s="8"/>
      <c r="AJ1876" s="8"/>
      <c r="AK1876" s="8"/>
      <c r="AL1876" s="8"/>
      <c r="AM1876" s="8"/>
      <c r="AN1876" s="8"/>
      <c r="AO1876" s="8"/>
      <c r="AP1876" s="8"/>
      <c r="AQ1876" s="8"/>
      <c r="AR1876" s="8"/>
      <c r="AS1876" s="8"/>
      <c r="AT1876" s="8"/>
      <c r="AU1876" s="8"/>
      <c r="AV1876" s="8"/>
      <c r="AW1876" s="8"/>
      <c r="AX1876" s="4" t="s">
        <v>38</v>
      </c>
      <c r="AY1876" s="5" t="s">
        <v>8221</v>
      </c>
      <c r="AZ1876" s="5" t="s">
        <v>38</v>
      </c>
      <c r="BA1876" s="12"/>
      <c r="BB1876" s="12"/>
      <c r="BC1876" s="12"/>
      <c r="BD1876" s="11">
        <v>0</v>
      </c>
      <c r="BE1876" s="11">
        <v>0</v>
      </c>
    </row>
    <row x14ac:dyDescent="0.25" r="1877" customHeight="1" ht="17.25">
      <c r="A1877" s="11">
        <v>327281</v>
      </c>
      <c r="B1877" s="4" t="s">
        <v>8222</v>
      </c>
      <c r="C1877" s="5" t="s">
        <v>8223</v>
      </c>
      <c r="D1877" s="5" t="s">
        <v>8224</v>
      </c>
      <c r="E1877" s="5" t="s">
        <v>8225</v>
      </c>
      <c r="F1877" s="13">
        <f>"8437615178"</f>
      </c>
      <c r="G1877" s="13">
        <f>"9788437615172"</f>
      </c>
      <c r="H1877" s="11">
        <v>0</v>
      </c>
      <c r="I1877" s="14">
        <v>3.98</v>
      </c>
      <c r="J1877" s="7" t="s">
        <v>3460</v>
      </c>
      <c r="K1877" s="5" t="s">
        <v>60</v>
      </c>
      <c r="L1877" s="11">
        <v>432</v>
      </c>
      <c r="M1877" s="11">
        <v>2005</v>
      </c>
      <c r="N1877" s="11">
        <v>1946</v>
      </c>
      <c r="O1877" s="15"/>
      <c r="P1877" s="8">
        <v>44094</v>
      </c>
      <c r="Q1877" s="8"/>
      <c r="R1877" s="8"/>
      <c r="S1877" s="8"/>
      <c r="T1877" s="8"/>
      <c r="U1877" s="8"/>
      <c r="V1877" s="8"/>
      <c r="W1877" s="8"/>
      <c r="X1877" s="8"/>
      <c r="Y1877" s="8"/>
      <c r="Z1877" s="8"/>
      <c r="AA1877" s="8"/>
      <c r="AB1877" s="8"/>
      <c r="AC1877" s="8"/>
      <c r="AD1877" s="8"/>
      <c r="AE1877" s="8"/>
      <c r="AF1877" s="8"/>
      <c r="AG1877" s="8"/>
      <c r="AH1877" s="8"/>
      <c r="AI1877" s="8"/>
      <c r="AJ1877" s="8"/>
      <c r="AK1877" s="8"/>
      <c r="AL1877" s="8"/>
      <c r="AM1877" s="8"/>
      <c r="AN1877" s="8"/>
      <c r="AO1877" s="8"/>
      <c r="AP1877" s="8"/>
      <c r="AQ1877" s="8"/>
      <c r="AR1877" s="8"/>
      <c r="AS1877" s="8"/>
      <c r="AT1877" s="8"/>
      <c r="AU1877" s="8"/>
      <c r="AV1877" s="8"/>
      <c r="AW1877" s="8"/>
      <c r="AX1877" s="4" t="s">
        <v>38</v>
      </c>
      <c r="AY1877" s="5" t="s">
        <v>8226</v>
      </c>
      <c r="AZ1877" s="5" t="s">
        <v>38</v>
      </c>
      <c r="BA1877" s="12"/>
      <c r="BB1877" s="12"/>
      <c r="BC1877" s="12"/>
      <c r="BD1877" s="11">
        <v>0</v>
      </c>
      <c r="BE1877" s="11">
        <v>0</v>
      </c>
    </row>
    <row x14ac:dyDescent="0.25" r="1878" customHeight="1" ht="17.25">
      <c r="A1878" s="11">
        <v>501817</v>
      </c>
      <c r="B1878" s="4" t="s">
        <v>8227</v>
      </c>
      <c r="C1878" s="5" t="s">
        <v>3747</v>
      </c>
      <c r="D1878" s="5" t="s">
        <v>3748</v>
      </c>
      <c r="E1878" s="12"/>
      <c r="F1878" s="13">
        <f>"1406832588"</f>
      </c>
      <c r="G1878" s="13">
        <f>"9781406832587"</f>
      </c>
      <c r="H1878" s="11">
        <v>0</v>
      </c>
      <c r="I1878" s="11">
        <v>4</v>
      </c>
      <c r="J1878" s="7" t="s">
        <v>6582</v>
      </c>
      <c r="K1878" s="5" t="s">
        <v>60</v>
      </c>
      <c r="L1878" s="11">
        <v>151</v>
      </c>
      <c r="M1878" s="11">
        <v>2006</v>
      </c>
      <c r="N1878" s="11">
        <v>1917</v>
      </c>
      <c r="O1878" s="15"/>
      <c r="P1878" s="8">
        <v>44093</v>
      </c>
      <c r="Q1878" s="8"/>
      <c r="R1878" s="8"/>
      <c r="S1878" s="8"/>
      <c r="T1878" s="8"/>
      <c r="U1878" s="8"/>
      <c r="V1878" s="8"/>
      <c r="W1878" s="8"/>
      <c r="X1878" s="8"/>
      <c r="Y1878" s="8"/>
      <c r="Z1878" s="8"/>
      <c r="AA1878" s="8"/>
      <c r="AB1878" s="8"/>
      <c r="AC1878" s="8"/>
      <c r="AD1878" s="8"/>
      <c r="AE1878" s="8"/>
      <c r="AF1878" s="8"/>
      <c r="AG1878" s="8"/>
      <c r="AH1878" s="8"/>
      <c r="AI1878" s="8"/>
      <c r="AJ1878" s="8"/>
      <c r="AK1878" s="8"/>
      <c r="AL1878" s="8"/>
      <c r="AM1878" s="8"/>
      <c r="AN1878" s="8"/>
      <c r="AO1878" s="8"/>
      <c r="AP1878" s="8"/>
      <c r="AQ1878" s="8"/>
      <c r="AR1878" s="8"/>
      <c r="AS1878" s="8"/>
      <c r="AT1878" s="8"/>
      <c r="AU1878" s="8"/>
      <c r="AV1878" s="8"/>
      <c r="AW1878" s="8"/>
      <c r="AX1878" s="4" t="s">
        <v>38</v>
      </c>
      <c r="AY1878" s="5" t="s">
        <v>8228</v>
      </c>
      <c r="AZ1878" s="5" t="s">
        <v>38</v>
      </c>
      <c r="BA1878" s="12"/>
      <c r="BB1878" s="12"/>
      <c r="BC1878" s="12"/>
      <c r="BD1878" s="11">
        <v>0</v>
      </c>
      <c r="BE1878" s="11">
        <v>0</v>
      </c>
    </row>
    <row x14ac:dyDescent="0.25" r="1879" customHeight="1" ht="17.25">
      <c r="A1879" s="11">
        <v>41397373</v>
      </c>
      <c r="B1879" s="4" t="s">
        <v>8229</v>
      </c>
      <c r="C1879" s="5" t="s">
        <v>8230</v>
      </c>
      <c r="D1879" s="5" t="s">
        <v>8231</v>
      </c>
      <c r="E1879" s="12"/>
      <c r="F1879" s="13">
        <f>"1939568269"</f>
      </c>
      <c r="G1879" s="13">
        <f>"9781939568267"</f>
      </c>
      <c r="H1879" s="11">
        <v>0</v>
      </c>
      <c r="I1879" s="14">
        <v>4.02</v>
      </c>
      <c r="J1879" s="7" t="s">
        <v>8232</v>
      </c>
      <c r="K1879" s="5" t="s">
        <v>60</v>
      </c>
      <c r="L1879" s="11">
        <v>184</v>
      </c>
      <c r="M1879" s="11">
        <v>2018</v>
      </c>
      <c r="N1879" s="11">
        <v>2018</v>
      </c>
      <c r="O1879" s="15"/>
      <c r="P1879" s="8">
        <v>44055</v>
      </c>
      <c r="Q1879" s="8"/>
      <c r="R1879" s="8"/>
      <c r="S1879" s="8"/>
      <c r="T1879" s="8"/>
      <c r="U1879" s="8"/>
      <c r="V1879" s="8"/>
      <c r="W1879" s="8"/>
      <c r="X1879" s="8"/>
      <c r="Y1879" s="8"/>
      <c r="Z1879" s="8"/>
      <c r="AA1879" s="8"/>
      <c r="AB1879" s="8"/>
      <c r="AC1879" s="8"/>
      <c r="AD1879" s="8"/>
      <c r="AE1879" s="8"/>
      <c r="AF1879" s="8"/>
      <c r="AG1879" s="8"/>
      <c r="AH1879" s="8"/>
      <c r="AI1879" s="8"/>
      <c r="AJ1879" s="8"/>
      <c r="AK1879" s="8"/>
      <c r="AL1879" s="8"/>
      <c r="AM1879" s="8"/>
      <c r="AN1879" s="8"/>
      <c r="AO1879" s="8"/>
      <c r="AP1879" s="8"/>
      <c r="AQ1879" s="8"/>
      <c r="AR1879" s="8"/>
      <c r="AS1879" s="8"/>
      <c r="AT1879" s="8"/>
      <c r="AU1879" s="8"/>
      <c r="AV1879" s="8"/>
      <c r="AW1879" s="8"/>
      <c r="AX1879" s="4" t="s">
        <v>38</v>
      </c>
      <c r="AY1879" s="5" t="s">
        <v>8233</v>
      </c>
      <c r="AZ1879" s="5" t="s">
        <v>38</v>
      </c>
      <c r="BA1879" s="12"/>
      <c r="BB1879" s="12"/>
      <c r="BC1879" s="12"/>
      <c r="BD1879" s="11">
        <v>0</v>
      </c>
      <c r="BE1879" s="11">
        <v>0</v>
      </c>
    </row>
    <row x14ac:dyDescent="0.25" r="1880" customHeight="1" ht="17.25">
      <c r="A1880" s="11">
        <v>13390438</v>
      </c>
      <c r="B1880" s="4" t="s">
        <v>8234</v>
      </c>
      <c r="C1880" s="5" t="s">
        <v>8235</v>
      </c>
      <c r="D1880" s="5" t="s">
        <v>8236</v>
      </c>
      <c r="E1880" s="12"/>
      <c r="F1880" s="13">
        <f>"0984459898"</f>
      </c>
      <c r="G1880" s="13">
        <f>"9780984459896"</f>
      </c>
      <c r="H1880" s="11">
        <v>0</v>
      </c>
      <c r="I1880" s="14">
        <v>4.33</v>
      </c>
      <c r="J1880" s="7" t="s">
        <v>1279</v>
      </c>
      <c r="K1880" s="5" t="s">
        <v>60</v>
      </c>
      <c r="L1880" s="11">
        <v>180</v>
      </c>
      <c r="M1880" s="11">
        <v>2012</v>
      </c>
      <c r="N1880" s="11">
        <v>2011</v>
      </c>
      <c r="O1880" s="15"/>
      <c r="P1880" s="8">
        <v>44053</v>
      </c>
      <c r="Q1880" s="8"/>
      <c r="R1880" s="8"/>
      <c r="S1880" s="8"/>
      <c r="T1880" s="8"/>
      <c r="U1880" s="8"/>
      <c r="V1880" s="8"/>
      <c r="W1880" s="8"/>
      <c r="X1880" s="8"/>
      <c r="Y1880" s="8"/>
      <c r="Z1880" s="8"/>
      <c r="AA1880" s="8"/>
      <c r="AB1880" s="8"/>
      <c r="AC1880" s="8"/>
      <c r="AD1880" s="8"/>
      <c r="AE1880" s="8"/>
      <c r="AF1880" s="8"/>
      <c r="AG1880" s="8"/>
      <c r="AH1880" s="8"/>
      <c r="AI1880" s="8"/>
      <c r="AJ1880" s="8"/>
      <c r="AK1880" s="8"/>
      <c r="AL1880" s="8"/>
      <c r="AM1880" s="8"/>
      <c r="AN1880" s="8"/>
      <c r="AO1880" s="8"/>
      <c r="AP1880" s="8"/>
      <c r="AQ1880" s="8"/>
      <c r="AR1880" s="8"/>
      <c r="AS1880" s="8"/>
      <c r="AT1880" s="8"/>
      <c r="AU1880" s="8"/>
      <c r="AV1880" s="8"/>
      <c r="AW1880" s="8"/>
      <c r="AX1880" s="4" t="s">
        <v>38</v>
      </c>
      <c r="AY1880" s="5" t="s">
        <v>8237</v>
      </c>
      <c r="AZ1880" s="5" t="s">
        <v>38</v>
      </c>
      <c r="BA1880" s="12"/>
      <c r="BB1880" s="12"/>
      <c r="BC1880" s="12"/>
      <c r="BD1880" s="11">
        <v>0</v>
      </c>
      <c r="BE1880" s="11">
        <v>0</v>
      </c>
    </row>
    <row x14ac:dyDescent="0.25" r="1881" customHeight="1" ht="17.25">
      <c r="A1881" s="11">
        <v>50698585</v>
      </c>
      <c r="B1881" s="4" t="s">
        <v>8238</v>
      </c>
      <c r="C1881" s="5" t="s">
        <v>8239</v>
      </c>
      <c r="D1881" s="5" t="s">
        <v>8240</v>
      </c>
      <c r="E1881" s="12"/>
      <c r="F1881" s="13">
        <f>"1948226960"</f>
      </c>
      <c r="G1881" s="13">
        <f>"9781948226967"</f>
      </c>
      <c r="H1881" s="11">
        <v>0</v>
      </c>
      <c r="I1881" s="14">
        <v>3.56</v>
      </c>
      <c r="J1881" s="7" t="s">
        <v>733</v>
      </c>
      <c r="K1881" s="5" t="s">
        <v>72</v>
      </c>
      <c r="L1881" s="11">
        <v>320</v>
      </c>
      <c r="M1881" s="11">
        <v>2020</v>
      </c>
      <c r="N1881" s="11">
        <v>2020</v>
      </c>
      <c r="O1881" s="15"/>
      <c r="P1881" s="8">
        <v>44049</v>
      </c>
      <c r="Q1881" s="8"/>
      <c r="R1881" s="8"/>
      <c r="S1881" s="8"/>
      <c r="T1881" s="8"/>
      <c r="U1881" s="8"/>
      <c r="V1881" s="8"/>
      <c r="W1881" s="8"/>
      <c r="X1881" s="8"/>
      <c r="Y1881" s="8"/>
      <c r="Z1881" s="8"/>
      <c r="AA1881" s="8"/>
      <c r="AB1881" s="8"/>
      <c r="AC1881" s="8"/>
      <c r="AD1881" s="8"/>
      <c r="AE1881" s="8"/>
      <c r="AF1881" s="8"/>
      <c r="AG1881" s="8"/>
      <c r="AH1881" s="8"/>
      <c r="AI1881" s="8"/>
      <c r="AJ1881" s="8"/>
      <c r="AK1881" s="8"/>
      <c r="AL1881" s="8"/>
      <c r="AM1881" s="8"/>
      <c r="AN1881" s="8"/>
      <c r="AO1881" s="8"/>
      <c r="AP1881" s="8"/>
      <c r="AQ1881" s="8"/>
      <c r="AR1881" s="8"/>
      <c r="AS1881" s="8"/>
      <c r="AT1881" s="8"/>
      <c r="AU1881" s="8"/>
      <c r="AV1881" s="8"/>
      <c r="AW1881" s="8"/>
      <c r="AX1881" s="4" t="s">
        <v>38</v>
      </c>
      <c r="AY1881" s="5" t="s">
        <v>8241</v>
      </c>
      <c r="AZ1881" s="5" t="s">
        <v>38</v>
      </c>
      <c r="BA1881" s="12"/>
      <c r="BB1881" s="12"/>
      <c r="BC1881" s="12"/>
      <c r="BD1881" s="11">
        <v>0</v>
      </c>
      <c r="BE1881" s="11">
        <v>0</v>
      </c>
    </row>
    <row x14ac:dyDescent="0.25" r="1882" customHeight="1" ht="17.25">
      <c r="A1882" s="11">
        <v>41793</v>
      </c>
      <c r="B1882" s="4" t="s">
        <v>8242</v>
      </c>
      <c r="C1882" s="5" t="s">
        <v>8243</v>
      </c>
      <c r="D1882" s="5" t="s">
        <v>8244</v>
      </c>
      <c r="E1882" s="12"/>
      <c r="F1882" s="13">
        <f>"0596006624"</f>
      </c>
      <c r="G1882" s="13">
        <f>"9780596006624"</f>
      </c>
      <c r="H1882" s="11">
        <v>0</v>
      </c>
      <c r="I1882" s="14">
        <v>4.06</v>
      </c>
      <c r="J1882" s="7" t="s">
        <v>8245</v>
      </c>
      <c r="K1882" s="5" t="s">
        <v>72</v>
      </c>
      <c r="L1882" s="11">
        <v>271</v>
      </c>
      <c r="M1882" s="11">
        <v>2004</v>
      </c>
      <c r="N1882" s="11">
        <v>2004</v>
      </c>
      <c r="O1882" s="15"/>
      <c r="P1882" s="8">
        <v>44043</v>
      </c>
      <c r="Q1882" s="8"/>
      <c r="R1882" s="8"/>
      <c r="S1882" s="8"/>
      <c r="T1882" s="8"/>
      <c r="U1882" s="8"/>
      <c r="V1882" s="8"/>
      <c r="W1882" s="8"/>
      <c r="X1882" s="8"/>
      <c r="Y1882" s="8"/>
      <c r="Z1882" s="8"/>
      <c r="AA1882" s="8"/>
      <c r="AB1882" s="8"/>
      <c r="AC1882" s="8"/>
      <c r="AD1882" s="8"/>
      <c r="AE1882" s="8"/>
      <c r="AF1882" s="8"/>
      <c r="AG1882" s="8"/>
      <c r="AH1882" s="8"/>
      <c r="AI1882" s="8"/>
      <c r="AJ1882" s="8"/>
      <c r="AK1882" s="8"/>
      <c r="AL1882" s="8"/>
      <c r="AM1882" s="8"/>
      <c r="AN1882" s="8"/>
      <c r="AO1882" s="8"/>
      <c r="AP1882" s="8"/>
      <c r="AQ1882" s="8"/>
      <c r="AR1882" s="8"/>
      <c r="AS1882" s="8"/>
      <c r="AT1882" s="8"/>
      <c r="AU1882" s="8"/>
      <c r="AV1882" s="8"/>
      <c r="AW1882" s="8"/>
      <c r="AX1882" s="4" t="s">
        <v>38</v>
      </c>
      <c r="AY1882" s="5" t="s">
        <v>8246</v>
      </c>
      <c r="AZ1882" s="5" t="s">
        <v>38</v>
      </c>
      <c r="BA1882" s="12"/>
      <c r="BB1882" s="12"/>
      <c r="BC1882" s="12"/>
      <c r="BD1882" s="11">
        <v>0</v>
      </c>
      <c r="BE1882" s="11">
        <v>0</v>
      </c>
    </row>
    <row x14ac:dyDescent="0.25" r="1883" customHeight="1" ht="17.25">
      <c r="A1883" s="11">
        <v>51542370</v>
      </c>
      <c r="B1883" s="4" t="s">
        <v>8247</v>
      </c>
      <c r="C1883" s="5" t="s">
        <v>8248</v>
      </c>
      <c r="D1883" s="5" t="s">
        <v>8249</v>
      </c>
      <c r="E1883" s="12"/>
      <c r="F1883" s="13">
        <f>"0374230927"</f>
      </c>
      <c r="G1883" s="13">
        <f>"9780374230920"</f>
      </c>
      <c r="H1883" s="11">
        <v>0</v>
      </c>
      <c r="I1883" s="14">
        <v>3.7</v>
      </c>
      <c r="J1883" s="7" t="s">
        <v>120</v>
      </c>
      <c r="K1883" s="5" t="s">
        <v>72</v>
      </c>
      <c r="L1883" s="11">
        <v>224</v>
      </c>
      <c r="M1883" s="11">
        <v>2020</v>
      </c>
      <c r="N1883" s="11">
        <v>2020</v>
      </c>
      <c r="O1883" s="15"/>
      <c r="P1883" s="8">
        <v>44034</v>
      </c>
      <c r="Q1883" s="8"/>
      <c r="R1883" s="8"/>
      <c r="S1883" s="8"/>
      <c r="T1883" s="8"/>
      <c r="U1883" s="8"/>
      <c r="V1883" s="8"/>
      <c r="W1883" s="8"/>
      <c r="X1883" s="8"/>
      <c r="Y1883" s="8"/>
      <c r="Z1883" s="8"/>
      <c r="AA1883" s="8"/>
      <c r="AB1883" s="8"/>
      <c r="AC1883" s="8"/>
      <c r="AD1883" s="8"/>
      <c r="AE1883" s="8"/>
      <c r="AF1883" s="8"/>
      <c r="AG1883" s="8"/>
      <c r="AH1883" s="8"/>
      <c r="AI1883" s="8"/>
      <c r="AJ1883" s="8"/>
      <c r="AK1883" s="8"/>
      <c r="AL1883" s="8"/>
      <c r="AM1883" s="8"/>
      <c r="AN1883" s="8"/>
      <c r="AO1883" s="8"/>
      <c r="AP1883" s="8"/>
      <c r="AQ1883" s="8"/>
      <c r="AR1883" s="8"/>
      <c r="AS1883" s="8"/>
      <c r="AT1883" s="8"/>
      <c r="AU1883" s="8"/>
      <c r="AV1883" s="8"/>
      <c r="AW1883" s="8"/>
      <c r="AX1883" s="4" t="s">
        <v>38</v>
      </c>
      <c r="AY1883" s="5" t="s">
        <v>8250</v>
      </c>
      <c r="AZ1883" s="5" t="s">
        <v>38</v>
      </c>
      <c r="BA1883" s="12"/>
      <c r="BB1883" s="12"/>
      <c r="BC1883" s="12"/>
      <c r="BD1883" s="11">
        <v>0</v>
      </c>
      <c r="BE1883" s="11">
        <v>0</v>
      </c>
    </row>
    <row x14ac:dyDescent="0.25" r="1884" customHeight="1" ht="17.25">
      <c r="A1884" s="11">
        <v>370645</v>
      </c>
      <c r="B1884" s="4" t="s">
        <v>8251</v>
      </c>
      <c r="C1884" s="5" t="s">
        <v>8252</v>
      </c>
      <c r="D1884" s="5" t="s">
        <v>8253</v>
      </c>
      <c r="E1884" s="12"/>
      <c r="F1884" s="13">
        <f>"1568985908"</f>
      </c>
      <c r="G1884" s="13">
        <f>"9781568985909"</f>
      </c>
      <c r="H1884" s="11">
        <v>0</v>
      </c>
      <c r="I1884" s="11">
        <v>4</v>
      </c>
      <c r="J1884" s="7" t="s">
        <v>8254</v>
      </c>
      <c r="K1884" s="5" t="s">
        <v>72</v>
      </c>
      <c r="L1884" s="11">
        <v>224</v>
      </c>
      <c r="M1884" s="11">
        <v>2007</v>
      </c>
      <c r="N1884" s="11">
        <v>2007</v>
      </c>
      <c r="O1884" s="15"/>
      <c r="P1884" s="8">
        <v>44033</v>
      </c>
      <c r="Q1884" s="8"/>
      <c r="R1884" s="8"/>
      <c r="S1884" s="8"/>
      <c r="T1884" s="8"/>
      <c r="U1884" s="8"/>
      <c r="V1884" s="8"/>
      <c r="W1884" s="8"/>
      <c r="X1884" s="8"/>
      <c r="Y1884" s="8"/>
      <c r="Z1884" s="8"/>
      <c r="AA1884" s="8"/>
      <c r="AB1884" s="8"/>
      <c r="AC1884" s="8"/>
      <c r="AD1884" s="8"/>
      <c r="AE1884" s="8"/>
      <c r="AF1884" s="8"/>
      <c r="AG1884" s="8"/>
      <c r="AH1884" s="8"/>
      <c r="AI1884" s="8"/>
      <c r="AJ1884" s="8"/>
      <c r="AK1884" s="8"/>
      <c r="AL1884" s="8"/>
      <c r="AM1884" s="8"/>
      <c r="AN1884" s="8"/>
      <c r="AO1884" s="8"/>
      <c r="AP1884" s="8"/>
      <c r="AQ1884" s="8"/>
      <c r="AR1884" s="8"/>
      <c r="AS1884" s="8"/>
      <c r="AT1884" s="8"/>
      <c r="AU1884" s="8"/>
      <c r="AV1884" s="8"/>
      <c r="AW1884" s="8"/>
      <c r="AX1884" s="4" t="s">
        <v>38</v>
      </c>
      <c r="AY1884" s="5" t="s">
        <v>8255</v>
      </c>
      <c r="AZ1884" s="5" t="s">
        <v>38</v>
      </c>
      <c r="BA1884" s="12"/>
      <c r="BB1884" s="12"/>
      <c r="BC1884" s="12"/>
      <c r="BD1884" s="11">
        <v>0</v>
      </c>
      <c r="BE1884" s="11">
        <v>0</v>
      </c>
    </row>
    <row x14ac:dyDescent="0.25" r="1885" customHeight="1" ht="17.25">
      <c r="A1885" s="11">
        <v>53161910</v>
      </c>
      <c r="B1885" s="4" t="s">
        <v>8256</v>
      </c>
      <c r="C1885" s="5" t="s">
        <v>8257</v>
      </c>
      <c r="D1885" s="5" t="s">
        <v>8258</v>
      </c>
      <c r="E1885" s="12"/>
      <c r="F1885" s="13">
        <f>"1786835444"</f>
      </c>
      <c r="G1885" s="13">
        <f>"9781786835444"</f>
      </c>
      <c r="H1885" s="11">
        <v>0</v>
      </c>
      <c r="I1885" s="14">
        <v>3.86</v>
      </c>
      <c r="J1885" s="7" t="s">
        <v>8259</v>
      </c>
      <c r="K1885" s="5" t="s">
        <v>60</v>
      </c>
      <c r="L1885" s="11">
        <v>272</v>
      </c>
      <c r="M1885" s="11">
        <v>2020</v>
      </c>
      <c r="N1885" s="16"/>
      <c r="O1885" s="15"/>
      <c r="P1885" s="8">
        <v>44031</v>
      </c>
      <c r="Q1885" s="8"/>
      <c r="R1885" s="8"/>
      <c r="S1885" s="8"/>
      <c r="T1885" s="8"/>
      <c r="U1885" s="8"/>
      <c r="V1885" s="8"/>
      <c r="W1885" s="8"/>
      <c r="X1885" s="8"/>
      <c r="Y1885" s="8"/>
      <c r="Z1885" s="8"/>
      <c r="AA1885" s="8"/>
      <c r="AB1885" s="8"/>
      <c r="AC1885" s="8"/>
      <c r="AD1885" s="8"/>
      <c r="AE1885" s="8"/>
      <c r="AF1885" s="8"/>
      <c r="AG1885" s="8"/>
      <c r="AH1885" s="8"/>
      <c r="AI1885" s="8"/>
      <c r="AJ1885" s="8"/>
      <c r="AK1885" s="8"/>
      <c r="AL1885" s="8"/>
      <c r="AM1885" s="8"/>
      <c r="AN1885" s="8"/>
      <c r="AO1885" s="8"/>
      <c r="AP1885" s="8"/>
      <c r="AQ1885" s="8"/>
      <c r="AR1885" s="8"/>
      <c r="AS1885" s="8"/>
      <c r="AT1885" s="8"/>
      <c r="AU1885" s="8"/>
      <c r="AV1885" s="8"/>
      <c r="AW1885" s="8"/>
      <c r="AX1885" s="4" t="s">
        <v>38</v>
      </c>
      <c r="AY1885" s="5" t="s">
        <v>8260</v>
      </c>
      <c r="AZ1885" s="5" t="s">
        <v>38</v>
      </c>
      <c r="BA1885" s="12"/>
      <c r="BB1885" s="12"/>
      <c r="BC1885" s="12"/>
      <c r="BD1885" s="11">
        <v>0</v>
      </c>
      <c r="BE1885" s="11">
        <v>0</v>
      </c>
    </row>
    <row x14ac:dyDescent="0.25" r="1886" customHeight="1" ht="17.25">
      <c r="A1886" s="11">
        <v>49663570</v>
      </c>
      <c r="B1886" s="4" t="s">
        <v>8261</v>
      </c>
      <c r="C1886" s="5" t="s">
        <v>8262</v>
      </c>
      <c r="D1886" s="5" t="s">
        <v>8263</v>
      </c>
      <c r="E1886" s="12"/>
      <c r="F1886" s="13">
        <f>"1982129301"</f>
      </c>
      <c r="G1886" s="13">
        <f>"9781982129309"</f>
      </c>
      <c r="H1886" s="11">
        <v>0</v>
      </c>
      <c r="I1886" s="14">
        <v>3.74</v>
      </c>
      <c r="J1886" s="7" t="s">
        <v>1800</v>
      </c>
      <c r="K1886" s="5" t="s">
        <v>60</v>
      </c>
      <c r="L1886" s="11">
        <v>240</v>
      </c>
      <c r="M1886" s="11">
        <v>2020</v>
      </c>
      <c r="N1886" s="11">
        <v>2020</v>
      </c>
      <c r="O1886" s="15"/>
      <c r="P1886" s="8">
        <v>44019</v>
      </c>
      <c r="Q1886" s="8"/>
      <c r="R1886" s="8"/>
      <c r="S1886" s="8"/>
      <c r="T1886" s="8"/>
      <c r="U1886" s="8"/>
      <c r="V1886" s="8"/>
      <c r="W1886" s="8"/>
      <c r="X1886" s="8"/>
      <c r="Y1886" s="8"/>
      <c r="Z1886" s="8"/>
      <c r="AA1886" s="8"/>
      <c r="AB1886" s="8"/>
      <c r="AC1886" s="8"/>
      <c r="AD1886" s="8"/>
      <c r="AE1886" s="8"/>
      <c r="AF1886" s="8"/>
      <c r="AG1886" s="8"/>
      <c r="AH1886" s="8"/>
      <c r="AI1886" s="8"/>
      <c r="AJ1886" s="8"/>
      <c r="AK1886" s="8"/>
      <c r="AL1886" s="8"/>
      <c r="AM1886" s="8"/>
      <c r="AN1886" s="8"/>
      <c r="AO1886" s="8"/>
      <c r="AP1886" s="8"/>
      <c r="AQ1886" s="8"/>
      <c r="AR1886" s="8"/>
      <c r="AS1886" s="8"/>
      <c r="AT1886" s="8"/>
      <c r="AU1886" s="8"/>
      <c r="AV1886" s="8"/>
      <c r="AW1886" s="8"/>
      <c r="AX1886" s="4" t="s">
        <v>38</v>
      </c>
      <c r="AY1886" s="5" t="s">
        <v>8264</v>
      </c>
      <c r="AZ1886" s="5" t="s">
        <v>38</v>
      </c>
      <c r="BA1886" s="12"/>
      <c r="BB1886" s="12"/>
      <c r="BC1886" s="12"/>
      <c r="BD1886" s="11">
        <v>0</v>
      </c>
      <c r="BE1886" s="11">
        <v>0</v>
      </c>
    </row>
    <row x14ac:dyDescent="0.25" r="1887" customHeight="1" ht="17.25">
      <c r="A1887" s="11">
        <v>49124686</v>
      </c>
      <c r="B1887" s="4" t="s">
        <v>8265</v>
      </c>
      <c r="C1887" s="5" t="s">
        <v>8266</v>
      </c>
      <c r="D1887" s="5" t="s">
        <v>8267</v>
      </c>
      <c r="E1887" s="12"/>
      <c r="F1887" s="13">
        <f>"1609386914"</f>
      </c>
      <c r="G1887" s="13">
        <f>"9781609386917"</f>
      </c>
      <c r="H1887" s="11">
        <v>0</v>
      </c>
      <c r="I1887" s="14">
        <v>4.44</v>
      </c>
      <c r="J1887" s="7" t="s">
        <v>7669</v>
      </c>
      <c r="K1887" s="5" t="s">
        <v>60</v>
      </c>
      <c r="L1887" s="11">
        <v>320</v>
      </c>
      <c r="M1887" s="11">
        <v>2020</v>
      </c>
      <c r="N1887" s="11">
        <v>2020</v>
      </c>
      <c r="O1887" s="15"/>
      <c r="P1887" s="8">
        <v>44019</v>
      </c>
      <c r="Q1887" s="8"/>
      <c r="R1887" s="8"/>
      <c r="S1887" s="8"/>
      <c r="T1887" s="8"/>
      <c r="U1887" s="8"/>
      <c r="V1887" s="8"/>
      <c r="W1887" s="8"/>
      <c r="X1887" s="8"/>
      <c r="Y1887" s="8"/>
      <c r="Z1887" s="8"/>
      <c r="AA1887" s="8"/>
      <c r="AB1887" s="8"/>
      <c r="AC1887" s="8"/>
      <c r="AD1887" s="8"/>
      <c r="AE1887" s="8"/>
      <c r="AF1887" s="8"/>
      <c r="AG1887" s="8"/>
      <c r="AH1887" s="8"/>
      <c r="AI1887" s="8"/>
      <c r="AJ1887" s="8"/>
      <c r="AK1887" s="8"/>
      <c r="AL1887" s="8"/>
      <c r="AM1887" s="8"/>
      <c r="AN1887" s="8"/>
      <c r="AO1887" s="8"/>
      <c r="AP1887" s="8"/>
      <c r="AQ1887" s="8"/>
      <c r="AR1887" s="8"/>
      <c r="AS1887" s="8"/>
      <c r="AT1887" s="8"/>
      <c r="AU1887" s="8"/>
      <c r="AV1887" s="8"/>
      <c r="AW1887" s="8"/>
      <c r="AX1887" s="4" t="s">
        <v>38</v>
      </c>
      <c r="AY1887" s="5" t="s">
        <v>8268</v>
      </c>
      <c r="AZ1887" s="5" t="s">
        <v>38</v>
      </c>
      <c r="BA1887" s="12"/>
      <c r="BB1887" s="12"/>
      <c r="BC1887" s="12"/>
      <c r="BD1887" s="11">
        <v>0</v>
      </c>
      <c r="BE1887" s="11">
        <v>0</v>
      </c>
    </row>
    <row x14ac:dyDescent="0.25" r="1888" customHeight="1" ht="17.25">
      <c r="A1888" s="11">
        <v>11208649</v>
      </c>
      <c r="B1888" s="4" t="s">
        <v>8269</v>
      </c>
      <c r="C1888" s="5" t="s">
        <v>8270</v>
      </c>
      <c r="D1888" s="5" t="s">
        <v>8271</v>
      </c>
      <c r="E1888" s="5" t="s">
        <v>8272</v>
      </c>
      <c r="F1888" s="13">
        <f>"1576875776"</f>
      </c>
      <c r="G1888" s="13">
        <f>"9781576875773"</f>
      </c>
      <c r="H1888" s="11">
        <v>0</v>
      </c>
      <c r="I1888" s="14">
        <v>4.47</v>
      </c>
      <c r="J1888" s="7" t="s">
        <v>8273</v>
      </c>
      <c r="K1888" s="5" t="s">
        <v>72</v>
      </c>
      <c r="L1888" s="11">
        <v>136</v>
      </c>
      <c r="M1888" s="11">
        <v>2011</v>
      </c>
      <c r="N1888" s="11">
        <v>2011</v>
      </c>
      <c r="O1888" s="15"/>
      <c r="P1888" s="8">
        <v>44018</v>
      </c>
      <c r="Q1888" s="8"/>
      <c r="R1888" s="8"/>
      <c r="S1888" s="8"/>
      <c r="T1888" s="8"/>
      <c r="U1888" s="8"/>
      <c r="V1888" s="8"/>
      <c r="W1888" s="8"/>
      <c r="X1888" s="8"/>
      <c r="Y1888" s="8"/>
      <c r="Z1888" s="8"/>
      <c r="AA1888" s="8"/>
      <c r="AB1888" s="8"/>
      <c r="AC1888" s="8"/>
      <c r="AD1888" s="8"/>
      <c r="AE1888" s="8"/>
      <c r="AF1888" s="8"/>
      <c r="AG1888" s="8"/>
      <c r="AH1888" s="8"/>
      <c r="AI1888" s="8"/>
      <c r="AJ1888" s="8"/>
      <c r="AK1888" s="8"/>
      <c r="AL1888" s="8"/>
      <c r="AM1888" s="8"/>
      <c r="AN1888" s="8"/>
      <c r="AO1888" s="8"/>
      <c r="AP1888" s="8"/>
      <c r="AQ1888" s="8"/>
      <c r="AR1888" s="8"/>
      <c r="AS1888" s="8"/>
      <c r="AT1888" s="8"/>
      <c r="AU1888" s="8"/>
      <c r="AV1888" s="8"/>
      <c r="AW1888" s="8"/>
      <c r="AX1888" s="4" t="s">
        <v>38</v>
      </c>
      <c r="AY1888" s="5" t="s">
        <v>8274</v>
      </c>
      <c r="AZ1888" s="5" t="s">
        <v>38</v>
      </c>
      <c r="BA1888" s="12"/>
      <c r="BB1888" s="12"/>
      <c r="BC1888" s="12"/>
      <c r="BD1888" s="11">
        <v>0</v>
      </c>
      <c r="BE1888" s="11">
        <v>0</v>
      </c>
    </row>
    <row x14ac:dyDescent="0.25" r="1889" customHeight="1" ht="17.25">
      <c r="A1889" s="11">
        <v>187149</v>
      </c>
      <c r="B1889" s="4" t="s">
        <v>8275</v>
      </c>
      <c r="C1889" s="5" t="s">
        <v>7959</v>
      </c>
      <c r="D1889" s="5" t="s">
        <v>7960</v>
      </c>
      <c r="E1889" s="5" t="s">
        <v>8276</v>
      </c>
      <c r="F1889" s="13">
        <f>"0853459916"</f>
      </c>
      <c r="G1889" s="13">
        <f>"9780853459910"</f>
      </c>
      <c r="H1889" s="11">
        <v>0</v>
      </c>
      <c r="I1889" s="14">
        <v>4.3</v>
      </c>
      <c r="J1889" s="7" t="s">
        <v>8277</v>
      </c>
      <c r="K1889" s="5" t="s">
        <v>60</v>
      </c>
      <c r="L1889" s="11">
        <v>317</v>
      </c>
      <c r="M1889" s="11">
        <v>1997</v>
      </c>
      <c r="N1889" s="11">
        <v>1971</v>
      </c>
      <c r="O1889" s="15"/>
      <c r="P1889" s="8">
        <v>44017</v>
      </c>
      <c r="Q1889" s="8"/>
      <c r="R1889" s="8"/>
      <c r="S1889" s="8"/>
      <c r="T1889" s="8"/>
      <c r="U1889" s="8"/>
      <c r="V1889" s="8"/>
      <c r="W1889" s="8"/>
      <c r="X1889" s="8"/>
      <c r="Y1889" s="8"/>
      <c r="Z1889" s="8"/>
      <c r="AA1889" s="8"/>
      <c r="AB1889" s="8"/>
      <c r="AC1889" s="8"/>
      <c r="AD1889" s="8"/>
      <c r="AE1889" s="8"/>
      <c r="AF1889" s="8"/>
      <c r="AG1889" s="8"/>
      <c r="AH1889" s="8"/>
      <c r="AI1889" s="8"/>
      <c r="AJ1889" s="8"/>
      <c r="AK1889" s="8"/>
      <c r="AL1889" s="8"/>
      <c r="AM1889" s="8"/>
      <c r="AN1889" s="8"/>
      <c r="AO1889" s="8"/>
      <c r="AP1889" s="8"/>
      <c r="AQ1889" s="8"/>
      <c r="AR1889" s="8"/>
      <c r="AS1889" s="8"/>
      <c r="AT1889" s="8"/>
      <c r="AU1889" s="8"/>
      <c r="AV1889" s="8"/>
      <c r="AW1889" s="8"/>
      <c r="AX1889" s="4" t="s">
        <v>38</v>
      </c>
      <c r="AY1889" s="5" t="s">
        <v>8278</v>
      </c>
      <c r="AZ1889" s="5" t="s">
        <v>38</v>
      </c>
      <c r="BA1889" s="12"/>
      <c r="BB1889" s="12"/>
      <c r="BC1889" s="12"/>
      <c r="BD1889" s="11">
        <v>0</v>
      </c>
      <c r="BE1889" s="11">
        <v>0</v>
      </c>
    </row>
    <row x14ac:dyDescent="0.25" r="1890" customHeight="1" ht="17.25">
      <c r="A1890" s="11">
        <v>14362</v>
      </c>
      <c r="B1890" s="4" t="s">
        <v>8279</v>
      </c>
      <c r="C1890" s="5" t="s">
        <v>8280</v>
      </c>
      <c r="D1890" s="5" t="s">
        <v>8281</v>
      </c>
      <c r="E1890" s="12"/>
      <c r="F1890" s="13">
        <f>"0446675369"</f>
      </c>
      <c r="G1890" s="13">
        <f>"9780446675369"</f>
      </c>
      <c r="H1890" s="11">
        <v>0</v>
      </c>
      <c r="I1890" s="14">
        <v>3.81</v>
      </c>
      <c r="J1890" s="7" t="s">
        <v>2275</v>
      </c>
      <c r="K1890" s="5" t="s">
        <v>60</v>
      </c>
      <c r="L1890" s="11">
        <v>290</v>
      </c>
      <c r="M1890" s="11">
        <v>1999</v>
      </c>
      <c r="N1890" s="11">
        <v>1972</v>
      </c>
      <c r="O1890" s="15"/>
      <c r="P1890" s="8">
        <v>44013</v>
      </c>
      <c r="Q1890" s="8"/>
      <c r="R1890" s="8"/>
      <c r="S1890" s="8"/>
      <c r="T1890" s="8"/>
      <c r="U1890" s="8"/>
      <c r="V1890" s="8"/>
      <c r="W1890" s="8"/>
      <c r="X1890" s="8"/>
      <c r="Y1890" s="8"/>
      <c r="Z1890" s="8"/>
      <c r="AA1890" s="8"/>
      <c r="AB1890" s="8"/>
      <c r="AC1890" s="8"/>
      <c r="AD1890" s="8"/>
      <c r="AE1890" s="8"/>
      <c r="AF1890" s="8"/>
      <c r="AG1890" s="8"/>
      <c r="AH1890" s="8"/>
      <c r="AI1890" s="8"/>
      <c r="AJ1890" s="8"/>
      <c r="AK1890" s="8"/>
      <c r="AL1890" s="8"/>
      <c r="AM1890" s="8"/>
      <c r="AN1890" s="8"/>
      <c r="AO1890" s="8"/>
      <c r="AP1890" s="8"/>
      <c r="AQ1890" s="8"/>
      <c r="AR1890" s="8"/>
      <c r="AS1890" s="8"/>
      <c r="AT1890" s="8"/>
      <c r="AU1890" s="8"/>
      <c r="AV1890" s="8"/>
      <c r="AW1890" s="8"/>
      <c r="AX1890" s="4" t="s">
        <v>38</v>
      </c>
      <c r="AY1890" s="5" t="s">
        <v>8282</v>
      </c>
      <c r="AZ1890" s="5" t="s">
        <v>38</v>
      </c>
      <c r="BA1890" s="12"/>
      <c r="BB1890" s="12"/>
      <c r="BC1890" s="12"/>
      <c r="BD1890" s="11">
        <v>0</v>
      </c>
      <c r="BE1890" s="11">
        <v>0</v>
      </c>
    </row>
    <row x14ac:dyDescent="0.25" r="1891" customHeight="1" ht="17.25">
      <c r="A1891" s="11">
        <v>61539</v>
      </c>
      <c r="B1891" s="4" t="s">
        <v>8283</v>
      </c>
      <c r="C1891" s="5" t="s">
        <v>8284</v>
      </c>
      <c r="D1891" s="5" t="s">
        <v>8285</v>
      </c>
      <c r="E1891" s="12"/>
      <c r="F1891" s="13">
        <f>"0226458083"</f>
      </c>
      <c r="G1891" s="13">
        <f>"9780226458083"</f>
      </c>
      <c r="H1891" s="11">
        <v>0</v>
      </c>
      <c r="I1891" s="14">
        <v>4.03</v>
      </c>
      <c r="J1891" s="7" t="s">
        <v>255</v>
      </c>
      <c r="K1891" s="5" t="s">
        <v>60</v>
      </c>
      <c r="L1891" s="11">
        <v>226</v>
      </c>
      <c r="M1891" s="11">
        <v>1996</v>
      </c>
      <c r="N1891" s="11">
        <v>1962</v>
      </c>
      <c r="O1891" s="15"/>
      <c r="P1891" s="8">
        <v>44005</v>
      </c>
      <c r="Q1891" s="8"/>
      <c r="R1891" s="8"/>
      <c r="S1891" s="8"/>
      <c r="T1891" s="8"/>
      <c r="U1891" s="8"/>
      <c r="V1891" s="8"/>
      <c r="W1891" s="8"/>
      <c r="X1891" s="8"/>
      <c r="Y1891" s="8"/>
      <c r="Z1891" s="8"/>
      <c r="AA1891" s="8"/>
      <c r="AB1891" s="8"/>
      <c r="AC1891" s="8"/>
      <c r="AD1891" s="8"/>
      <c r="AE1891" s="8"/>
      <c r="AF1891" s="8"/>
      <c r="AG1891" s="8"/>
      <c r="AH1891" s="8"/>
      <c r="AI1891" s="8"/>
      <c r="AJ1891" s="8"/>
      <c r="AK1891" s="8"/>
      <c r="AL1891" s="8"/>
      <c r="AM1891" s="8"/>
      <c r="AN1891" s="8"/>
      <c r="AO1891" s="8"/>
      <c r="AP1891" s="8"/>
      <c r="AQ1891" s="8"/>
      <c r="AR1891" s="8"/>
      <c r="AS1891" s="8"/>
      <c r="AT1891" s="8"/>
      <c r="AU1891" s="8"/>
      <c r="AV1891" s="8"/>
      <c r="AW1891" s="8"/>
      <c r="AX1891" s="4" t="s">
        <v>38</v>
      </c>
      <c r="AY1891" s="5" t="s">
        <v>8286</v>
      </c>
      <c r="AZ1891" s="5" t="s">
        <v>38</v>
      </c>
      <c r="BA1891" s="12"/>
      <c r="BB1891" s="12"/>
      <c r="BC1891" s="12"/>
      <c r="BD1891" s="11">
        <v>0</v>
      </c>
      <c r="BE1891" s="11">
        <v>0</v>
      </c>
    </row>
    <row x14ac:dyDescent="0.25" r="1892" customHeight="1" ht="17.25">
      <c r="A1892" s="11">
        <v>382975</v>
      </c>
      <c r="B1892" s="4" t="s">
        <v>8287</v>
      </c>
      <c r="C1892" s="5" t="s">
        <v>4281</v>
      </c>
      <c r="D1892" s="5" t="s">
        <v>4282</v>
      </c>
      <c r="E1892" s="5" t="s">
        <v>7637</v>
      </c>
      <c r="F1892" s="13">
        <f>"1567920462"</f>
      </c>
      <c r="G1892" s="13">
        <f>"9781567920468"</f>
      </c>
      <c r="H1892" s="11">
        <v>0</v>
      </c>
      <c r="I1892" s="14">
        <v>4.16</v>
      </c>
      <c r="J1892" s="7" t="s">
        <v>7916</v>
      </c>
      <c r="K1892" s="5" t="s">
        <v>60</v>
      </c>
      <c r="L1892" s="11">
        <v>438</v>
      </c>
      <c r="M1892" s="11">
        <v>2003</v>
      </c>
      <c r="N1892" s="11">
        <v>1970</v>
      </c>
      <c r="O1892" s="15"/>
      <c r="P1892" s="8">
        <v>44005</v>
      </c>
      <c r="Q1892" s="8"/>
      <c r="R1892" s="8"/>
      <c r="S1892" s="8"/>
      <c r="T1892" s="8"/>
      <c r="U1892" s="8"/>
      <c r="V1892" s="8"/>
      <c r="W1892" s="8"/>
      <c r="X1892" s="8"/>
      <c r="Y1892" s="8"/>
      <c r="Z1892" s="8"/>
      <c r="AA1892" s="8"/>
      <c r="AB1892" s="8"/>
      <c r="AC1892" s="8"/>
      <c r="AD1892" s="8"/>
      <c r="AE1892" s="8"/>
      <c r="AF1892" s="8"/>
      <c r="AG1892" s="8"/>
      <c r="AH1892" s="8"/>
      <c r="AI1892" s="8"/>
      <c r="AJ1892" s="8"/>
      <c r="AK1892" s="8"/>
      <c r="AL1892" s="8"/>
      <c r="AM1892" s="8"/>
      <c r="AN1892" s="8"/>
      <c r="AO1892" s="8"/>
      <c r="AP1892" s="8"/>
      <c r="AQ1892" s="8"/>
      <c r="AR1892" s="8"/>
      <c r="AS1892" s="8"/>
      <c r="AT1892" s="8"/>
      <c r="AU1892" s="8"/>
      <c r="AV1892" s="8"/>
      <c r="AW1892" s="8"/>
      <c r="AX1892" s="4" t="s">
        <v>38</v>
      </c>
      <c r="AY1892" s="5" t="s">
        <v>8288</v>
      </c>
      <c r="AZ1892" s="5" t="s">
        <v>38</v>
      </c>
      <c r="BA1892" s="12"/>
      <c r="BB1892" s="12"/>
      <c r="BC1892" s="12"/>
      <c r="BD1892" s="11">
        <v>0</v>
      </c>
      <c r="BE1892" s="11">
        <v>0</v>
      </c>
    </row>
    <row x14ac:dyDescent="0.25" r="1893" customHeight="1" ht="17.25">
      <c r="A1893" s="11">
        <v>3735293</v>
      </c>
      <c r="B1893" s="4" t="s">
        <v>8289</v>
      </c>
      <c r="C1893" s="5" t="s">
        <v>8290</v>
      </c>
      <c r="D1893" s="5" t="s">
        <v>8291</v>
      </c>
      <c r="E1893" s="12"/>
      <c r="F1893" s="13">
        <f>"0132350882"</f>
      </c>
      <c r="G1893" s="13">
        <f>"9780132350884"</f>
      </c>
      <c r="H1893" s="11">
        <v>0</v>
      </c>
      <c r="I1893" s="14">
        <v>4.38</v>
      </c>
      <c r="J1893" s="7" t="s">
        <v>3579</v>
      </c>
      <c r="K1893" s="5" t="s">
        <v>60</v>
      </c>
      <c r="L1893" s="11">
        <v>464</v>
      </c>
      <c r="M1893" s="11">
        <v>2008</v>
      </c>
      <c r="N1893" s="11">
        <v>2007</v>
      </c>
      <c r="O1893" s="15"/>
      <c r="P1893" s="8">
        <v>43999</v>
      </c>
      <c r="Q1893" s="8"/>
      <c r="R1893" s="8"/>
      <c r="S1893" s="8"/>
      <c r="T1893" s="8"/>
      <c r="U1893" s="8"/>
      <c r="V1893" s="8"/>
      <c r="W1893" s="8"/>
      <c r="X1893" s="8"/>
      <c r="Y1893" s="8"/>
      <c r="Z1893" s="8"/>
      <c r="AA1893" s="8"/>
      <c r="AB1893" s="8"/>
      <c r="AC1893" s="8"/>
      <c r="AD1893" s="8"/>
      <c r="AE1893" s="8"/>
      <c r="AF1893" s="8"/>
      <c r="AG1893" s="8"/>
      <c r="AH1893" s="8"/>
      <c r="AI1893" s="8"/>
      <c r="AJ1893" s="8"/>
      <c r="AK1893" s="8"/>
      <c r="AL1893" s="8"/>
      <c r="AM1893" s="8"/>
      <c r="AN1893" s="8"/>
      <c r="AO1893" s="8"/>
      <c r="AP1893" s="8"/>
      <c r="AQ1893" s="8"/>
      <c r="AR1893" s="8"/>
      <c r="AS1893" s="8"/>
      <c r="AT1893" s="8"/>
      <c r="AU1893" s="8"/>
      <c r="AV1893" s="8"/>
      <c r="AW1893" s="8"/>
      <c r="AX1893" s="4" t="s">
        <v>38</v>
      </c>
      <c r="AY1893" s="5" t="s">
        <v>8292</v>
      </c>
      <c r="AZ1893" s="5" t="s">
        <v>38</v>
      </c>
      <c r="BA1893" s="12"/>
      <c r="BB1893" s="12"/>
      <c r="BC1893" s="12"/>
      <c r="BD1893" s="11">
        <v>0</v>
      </c>
      <c r="BE1893" s="11">
        <v>0</v>
      </c>
    </row>
    <row x14ac:dyDescent="0.25" r="1894" customHeight="1" ht="17.25">
      <c r="A1894" s="11">
        <v>8910666</v>
      </c>
      <c r="B1894" s="4" t="s">
        <v>8293</v>
      </c>
      <c r="C1894" s="5" t="s">
        <v>8294</v>
      </c>
      <c r="D1894" s="5" t="s">
        <v>8295</v>
      </c>
      <c r="E1894" s="12"/>
      <c r="F1894" s="13">
        <f>"1593272820"</f>
      </c>
      <c r="G1894" s="13">
        <f>"9781593272821"</f>
      </c>
      <c r="H1894" s="11">
        <v>0</v>
      </c>
      <c r="I1894" s="14">
        <v>4.14</v>
      </c>
      <c r="J1894" s="7" t="s">
        <v>3446</v>
      </c>
      <c r="K1894" s="5" t="s">
        <v>60</v>
      </c>
      <c r="L1894" s="11">
        <v>224</v>
      </c>
      <c r="M1894" s="11">
        <v>2011</v>
      </c>
      <c r="N1894" s="11">
        <v>2010</v>
      </c>
      <c r="O1894" s="15"/>
      <c r="P1894" s="8">
        <v>43999</v>
      </c>
      <c r="Q1894" s="8"/>
      <c r="R1894" s="8"/>
      <c r="S1894" s="8"/>
      <c r="T1894" s="8"/>
      <c r="U1894" s="8"/>
      <c r="V1894" s="8"/>
      <c r="W1894" s="8"/>
      <c r="X1894" s="8"/>
      <c r="Y1894" s="8"/>
      <c r="Z1894" s="8"/>
      <c r="AA1894" s="8"/>
      <c r="AB1894" s="8"/>
      <c r="AC1894" s="8"/>
      <c r="AD1894" s="8"/>
      <c r="AE1894" s="8"/>
      <c r="AF1894" s="8"/>
      <c r="AG1894" s="8"/>
      <c r="AH1894" s="8"/>
      <c r="AI1894" s="8"/>
      <c r="AJ1894" s="8"/>
      <c r="AK1894" s="8"/>
      <c r="AL1894" s="8"/>
      <c r="AM1894" s="8"/>
      <c r="AN1894" s="8"/>
      <c r="AO1894" s="8"/>
      <c r="AP1894" s="8"/>
      <c r="AQ1894" s="8"/>
      <c r="AR1894" s="8"/>
      <c r="AS1894" s="8"/>
      <c r="AT1894" s="8"/>
      <c r="AU1894" s="8"/>
      <c r="AV1894" s="8"/>
      <c r="AW1894" s="8"/>
      <c r="AX1894" s="4" t="s">
        <v>38</v>
      </c>
      <c r="AY1894" s="5" t="s">
        <v>8296</v>
      </c>
      <c r="AZ1894" s="5" t="s">
        <v>38</v>
      </c>
      <c r="BA1894" s="12"/>
      <c r="BB1894" s="12"/>
      <c r="BC1894" s="12"/>
      <c r="BD1894" s="11">
        <v>0</v>
      </c>
      <c r="BE1894" s="11">
        <v>0</v>
      </c>
    </row>
    <row x14ac:dyDescent="0.25" r="1895" customHeight="1" ht="17.25">
      <c r="A1895" s="11">
        <v>277658</v>
      </c>
      <c r="B1895" s="4" t="s">
        <v>8297</v>
      </c>
      <c r="C1895" s="5" t="s">
        <v>8298</v>
      </c>
      <c r="D1895" s="5" t="s">
        <v>8299</v>
      </c>
      <c r="E1895" s="12"/>
      <c r="F1895" s="13">
        <f>"046502596X"</f>
      </c>
      <c r="G1895" s="13">
        <f>"9780465025961"</f>
      </c>
      <c r="H1895" s="11">
        <v>0</v>
      </c>
      <c r="I1895" s="14">
        <v>4.05</v>
      </c>
      <c r="J1895" s="7" t="s">
        <v>77</v>
      </c>
      <c r="K1895" s="5" t="s">
        <v>60</v>
      </c>
      <c r="L1895" s="11">
        <v>176</v>
      </c>
      <c r="M1895" s="11">
        <v>1999</v>
      </c>
      <c r="N1895" s="11">
        <v>1998</v>
      </c>
      <c r="O1895" s="15"/>
      <c r="P1895" s="8">
        <v>43999</v>
      </c>
      <c r="Q1895" s="8"/>
      <c r="R1895" s="8"/>
      <c r="S1895" s="8"/>
      <c r="T1895" s="8"/>
      <c r="U1895" s="8"/>
      <c r="V1895" s="8"/>
      <c r="W1895" s="8"/>
      <c r="X1895" s="8"/>
      <c r="Y1895" s="8"/>
      <c r="Z1895" s="8"/>
      <c r="AA1895" s="8"/>
      <c r="AB1895" s="8"/>
      <c r="AC1895" s="8"/>
      <c r="AD1895" s="8"/>
      <c r="AE1895" s="8"/>
      <c r="AF1895" s="8"/>
      <c r="AG1895" s="8"/>
      <c r="AH1895" s="8"/>
      <c r="AI1895" s="8"/>
      <c r="AJ1895" s="8"/>
      <c r="AK1895" s="8"/>
      <c r="AL1895" s="8"/>
      <c r="AM1895" s="8"/>
      <c r="AN1895" s="8"/>
      <c r="AO1895" s="8"/>
      <c r="AP1895" s="8"/>
      <c r="AQ1895" s="8"/>
      <c r="AR1895" s="8"/>
      <c r="AS1895" s="8"/>
      <c r="AT1895" s="8"/>
      <c r="AU1895" s="8"/>
      <c r="AV1895" s="8"/>
      <c r="AW1895" s="8"/>
      <c r="AX1895" s="4" t="s">
        <v>38</v>
      </c>
      <c r="AY1895" s="5" t="s">
        <v>8300</v>
      </c>
      <c r="AZ1895" s="5" t="s">
        <v>38</v>
      </c>
      <c r="BA1895" s="12"/>
      <c r="BB1895" s="12"/>
      <c r="BC1895" s="12"/>
      <c r="BD1895" s="11">
        <v>0</v>
      </c>
      <c r="BE1895" s="11">
        <v>0</v>
      </c>
    </row>
    <row x14ac:dyDescent="0.25" r="1896" customHeight="1" ht="17.25">
      <c r="A1896" s="11">
        <v>106835</v>
      </c>
      <c r="B1896" s="4" t="s">
        <v>8301</v>
      </c>
      <c r="C1896" s="5" t="s">
        <v>8302</v>
      </c>
      <c r="D1896" s="5" t="s">
        <v>8303</v>
      </c>
      <c r="E1896" s="5" t="s">
        <v>8304</v>
      </c>
      <c r="F1896" s="13">
        <f>"0060555661"</f>
      </c>
      <c r="G1896" s="13">
        <f>"9780060555665"</f>
      </c>
      <c r="H1896" s="11">
        <v>0</v>
      </c>
      <c r="I1896" s="14">
        <v>4.25</v>
      </c>
      <c r="J1896" s="7" t="s">
        <v>8305</v>
      </c>
      <c r="K1896" s="5" t="s">
        <v>60</v>
      </c>
      <c r="L1896" s="11">
        <v>623</v>
      </c>
      <c r="M1896" s="11">
        <v>2006</v>
      </c>
      <c r="N1896" s="11">
        <v>1949</v>
      </c>
      <c r="O1896" s="15"/>
      <c r="P1896" s="8">
        <v>43999</v>
      </c>
      <c r="Q1896" s="8"/>
      <c r="R1896" s="8"/>
      <c r="S1896" s="8"/>
      <c r="T1896" s="8"/>
      <c r="U1896" s="8"/>
      <c r="V1896" s="8"/>
      <c r="W1896" s="8"/>
      <c r="X1896" s="8"/>
      <c r="Y1896" s="8"/>
      <c r="Z1896" s="8"/>
      <c r="AA1896" s="8"/>
      <c r="AB1896" s="8"/>
      <c r="AC1896" s="8"/>
      <c r="AD1896" s="8"/>
      <c r="AE1896" s="8"/>
      <c r="AF1896" s="8"/>
      <c r="AG1896" s="8"/>
      <c r="AH1896" s="8"/>
      <c r="AI1896" s="8"/>
      <c r="AJ1896" s="8"/>
      <c r="AK1896" s="8"/>
      <c r="AL1896" s="8"/>
      <c r="AM1896" s="8"/>
      <c r="AN1896" s="8"/>
      <c r="AO1896" s="8"/>
      <c r="AP1896" s="8"/>
      <c r="AQ1896" s="8"/>
      <c r="AR1896" s="8"/>
      <c r="AS1896" s="8"/>
      <c r="AT1896" s="8"/>
      <c r="AU1896" s="8"/>
      <c r="AV1896" s="8"/>
      <c r="AW1896" s="8"/>
      <c r="AX1896" s="4" t="s">
        <v>38</v>
      </c>
      <c r="AY1896" s="5" t="s">
        <v>8306</v>
      </c>
      <c r="AZ1896" s="5" t="s">
        <v>38</v>
      </c>
      <c r="BA1896" s="12"/>
      <c r="BB1896" s="12"/>
      <c r="BC1896" s="12"/>
      <c r="BD1896" s="11">
        <v>0</v>
      </c>
      <c r="BE1896" s="11">
        <v>0</v>
      </c>
    </row>
    <row x14ac:dyDescent="0.25" r="1897" customHeight="1" ht="17.25">
      <c r="A1897" s="11">
        <v>3380813</v>
      </c>
      <c r="B1897" s="4" t="s">
        <v>8307</v>
      </c>
      <c r="C1897" s="5" t="s">
        <v>8308</v>
      </c>
      <c r="D1897" s="5" t="s">
        <v>8309</v>
      </c>
      <c r="E1897" s="12"/>
      <c r="F1897" s="13">
        <f>"0374194165"</f>
      </c>
      <c r="G1897" s="13">
        <f>"9780374194161"</f>
      </c>
      <c r="H1897" s="11">
        <v>0</v>
      </c>
      <c r="I1897" s="14">
        <v>3.19</v>
      </c>
      <c r="J1897" s="7" t="s">
        <v>120</v>
      </c>
      <c r="K1897" s="5" t="s">
        <v>72</v>
      </c>
      <c r="L1897" s="11">
        <v>258</v>
      </c>
      <c r="M1897" s="11">
        <v>2009</v>
      </c>
      <c r="N1897" s="11">
        <v>2009</v>
      </c>
      <c r="O1897" s="15"/>
      <c r="P1897" s="8">
        <v>43993</v>
      </c>
      <c r="Q1897" s="8"/>
      <c r="R1897" s="8"/>
      <c r="S1897" s="8"/>
      <c r="T1897" s="8"/>
      <c r="U1897" s="8"/>
      <c r="V1897" s="8"/>
      <c r="W1897" s="8"/>
      <c r="X1897" s="8"/>
      <c r="Y1897" s="8"/>
      <c r="Z1897" s="8"/>
      <c r="AA1897" s="8"/>
      <c r="AB1897" s="8"/>
      <c r="AC1897" s="8"/>
      <c r="AD1897" s="8"/>
      <c r="AE1897" s="8"/>
      <c r="AF1897" s="8"/>
      <c r="AG1897" s="8"/>
      <c r="AH1897" s="8"/>
      <c r="AI1897" s="8"/>
      <c r="AJ1897" s="8"/>
      <c r="AK1897" s="8"/>
      <c r="AL1897" s="8"/>
      <c r="AM1897" s="8"/>
      <c r="AN1897" s="8"/>
      <c r="AO1897" s="8"/>
      <c r="AP1897" s="8"/>
      <c r="AQ1897" s="8"/>
      <c r="AR1897" s="8"/>
      <c r="AS1897" s="8"/>
      <c r="AT1897" s="8"/>
      <c r="AU1897" s="8"/>
      <c r="AV1897" s="8"/>
      <c r="AW1897" s="8"/>
      <c r="AX1897" s="4" t="s">
        <v>38</v>
      </c>
      <c r="AY1897" s="5" t="s">
        <v>8310</v>
      </c>
      <c r="AZ1897" s="5" t="s">
        <v>38</v>
      </c>
      <c r="BA1897" s="12"/>
      <c r="BB1897" s="12"/>
      <c r="BC1897" s="12"/>
      <c r="BD1897" s="11">
        <v>0</v>
      </c>
      <c r="BE1897" s="11">
        <v>0</v>
      </c>
    </row>
    <row x14ac:dyDescent="0.25" r="1898" customHeight="1" ht="17.25">
      <c r="A1898" s="11">
        <v>1991</v>
      </c>
      <c r="B1898" s="4" t="s">
        <v>8311</v>
      </c>
      <c r="C1898" s="5" t="s">
        <v>8312</v>
      </c>
      <c r="D1898" s="5" t="s">
        <v>8313</v>
      </c>
      <c r="E1898" s="12"/>
      <c r="F1898" s="13">
        <f>"0465031269"</f>
      </c>
      <c r="G1898" s="13">
        <f>"9780465031269"</f>
      </c>
      <c r="H1898" s="11">
        <v>0</v>
      </c>
      <c r="I1898" s="14">
        <v>3.7</v>
      </c>
      <c r="J1898" s="7" t="s">
        <v>77</v>
      </c>
      <c r="K1898" s="5" t="s">
        <v>60</v>
      </c>
      <c r="L1898" s="11">
        <v>176</v>
      </c>
      <c r="M1898" s="11">
        <v>1998</v>
      </c>
      <c r="N1898" s="11">
        <v>1997</v>
      </c>
      <c r="O1898" s="15"/>
      <c r="P1898" s="8">
        <v>43992</v>
      </c>
      <c r="Q1898" s="8"/>
      <c r="R1898" s="8"/>
      <c r="S1898" s="8"/>
      <c r="T1898" s="8"/>
      <c r="U1898" s="8"/>
      <c r="V1898" s="8"/>
      <c r="W1898" s="8"/>
      <c r="X1898" s="8"/>
      <c r="Y1898" s="8"/>
      <c r="Z1898" s="8"/>
      <c r="AA1898" s="8"/>
      <c r="AB1898" s="8"/>
      <c r="AC1898" s="8"/>
      <c r="AD1898" s="8"/>
      <c r="AE1898" s="8"/>
      <c r="AF1898" s="8"/>
      <c r="AG1898" s="8"/>
      <c r="AH1898" s="8"/>
      <c r="AI1898" s="8"/>
      <c r="AJ1898" s="8"/>
      <c r="AK1898" s="8"/>
      <c r="AL1898" s="8"/>
      <c r="AM1898" s="8"/>
      <c r="AN1898" s="8"/>
      <c r="AO1898" s="8"/>
      <c r="AP1898" s="8"/>
      <c r="AQ1898" s="8"/>
      <c r="AR1898" s="8"/>
      <c r="AS1898" s="8"/>
      <c r="AT1898" s="8"/>
      <c r="AU1898" s="8"/>
      <c r="AV1898" s="8"/>
      <c r="AW1898" s="8"/>
      <c r="AX1898" s="4" t="s">
        <v>38</v>
      </c>
      <c r="AY1898" s="5" t="s">
        <v>8314</v>
      </c>
      <c r="AZ1898" s="5" t="s">
        <v>38</v>
      </c>
      <c r="BA1898" s="12"/>
      <c r="BB1898" s="12"/>
      <c r="BC1898" s="12"/>
      <c r="BD1898" s="11">
        <v>0</v>
      </c>
      <c r="BE1898" s="11">
        <v>0</v>
      </c>
    </row>
    <row x14ac:dyDescent="0.25" r="1899" customHeight="1" ht="17.25">
      <c r="A1899" s="11">
        <v>50391716</v>
      </c>
      <c r="B1899" s="4" t="s">
        <v>8315</v>
      </c>
      <c r="C1899" s="5" t="s">
        <v>8316</v>
      </c>
      <c r="D1899" s="5" t="s">
        <v>8317</v>
      </c>
      <c r="E1899" s="12"/>
      <c r="F1899" s="13">
        <f>"1989783015"</f>
      </c>
      <c r="G1899" s="13">
        <f>"9781989783016"</f>
      </c>
      <c r="H1899" s="11">
        <v>0</v>
      </c>
      <c r="I1899" s="14">
        <v>4.54</v>
      </c>
      <c r="J1899" s="7" t="s">
        <v>8318</v>
      </c>
      <c r="K1899" s="5" t="s">
        <v>60</v>
      </c>
      <c r="L1899" s="11">
        <v>437</v>
      </c>
      <c r="M1899" s="11">
        <v>2020</v>
      </c>
      <c r="N1899" s="11">
        <v>2020</v>
      </c>
      <c r="O1899" s="15"/>
      <c r="P1899" s="8">
        <v>43992</v>
      </c>
      <c r="Q1899" s="8"/>
      <c r="R1899" s="8"/>
      <c r="S1899" s="8"/>
      <c r="T1899" s="8"/>
      <c r="U1899" s="8"/>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8"/>
      <c r="AR1899" s="8"/>
      <c r="AS1899" s="8"/>
      <c r="AT1899" s="8"/>
      <c r="AU1899" s="8"/>
      <c r="AV1899" s="8"/>
      <c r="AW1899" s="8"/>
      <c r="AX1899" s="4" t="s">
        <v>38</v>
      </c>
      <c r="AY1899" s="5" t="s">
        <v>8319</v>
      </c>
      <c r="AZ1899" s="5" t="s">
        <v>38</v>
      </c>
      <c r="BA1899" s="12"/>
      <c r="BB1899" s="12"/>
      <c r="BC1899" s="12"/>
      <c r="BD1899" s="11">
        <v>0</v>
      </c>
      <c r="BE1899" s="11">
        <v>0</v>
      </c>
    </row>
    <row x14ac:dyDescent="0.25" r="1900" customHeight="1" ht="17.25">
      <c r="A1900" s="11">
        <v>48888563</v>
      </c>
      <c r="B1900" s="4" t="s">
        <v>8320</v>
      </c>
      <c r="C1900" s="5" t="s">
        <v>8321</v>
      </c>
      <c r="D1900" s="5" t="s">
        <v>8322</v>
      </c>
      <c r="E1900" s="12"/>
      <c r="F1900" s="13">
        <f>"0143135341"</f>
      </c>
      <c r="G1900" s="13">
        <f>"9780143135340"</f>
      </c>
      <c r="H1900" s="11">
        <v>0</v>
      </c>
      <c r="I1900" s="14">
        <v>4.25</v>
      </c>
      <c r="J1900" s="7" t="s">
        <v>491</v>
      </c>
      <c r="K1900" s="5" t="s">
        <v>60</v>
      </c>
      <c r="L1900" s="11">
        <v>128</v>
      </c>
      <c r="M1900" s="11">
        <v>2020</v>
      </c>
      <c r="N1900" s="11">
        <v>2020</v>
      </c>
      <c r="O1900" s="15"/>
      <c r="P1900" s="8">
        <v>43992</v>
      </c>
      <c r="Q1900" s="8"/>
      <c r="R1900" s="8"/>
      <c r="S1900" s="8"/>
      <c r="T1900" s="8"/>
      <c r="U1900" s="8"/>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8"/>
      <c r="AR1900" s="8"/>
      <c r="AS1900" s="8"/>
      <c r="AT1900" s="8"/>
      <c r="AU1900" s="8"/>
      <c r="AV1900" s="8"/>
      <c r="AW1900" s="8"/>
      <c r="AX1900" s="4" t="s">
        <v>38</v>
      </c>
      <c r="AY1900" s="5" t="s">
        <v>8323</v>
      </c>
      <c r="AZ1900" s="5" t="s">
        <v>38</v>
      </c>
      <c r="BA1900" s="12"/>
      <c r="BB1900" s="12"/>
      <c r="BC1900" s="12"/>
      <c r="BD1900" s="11">
        <v>0</v>
      </c>
      <c r="BE1900" s="11">
        <v>0</v>
      </c>
    </row>
    <row x14ac:dyDescent="0.25" r="1901" customHeight="1" ht="17.25">
      <c r="A1901" s="11">
        <v>45893893</v>
      </c>
      <c r="B1901" s="4" t="s">
        <v>8324</v>
      </c>
      <c r="C1901" s="5" t="s">
        <v>8325</v>
      </c>
      <c r="D1901" s="5" t="s">
        <v>8326</v>
      </c>
      <c r="E1901" s="12"/>
      <c r="F1901" s="13">
        <f>"0892555068"</f>
      </c>
      <c r="G1901" s="13">
        <f>"9780892555062"</f>
      </c>
      <c r="H1901" s="11">
        <v>0</v>
      </c>
      <c r="I1901" s="14">
        <v>4.43</v>
      </c>
      <c r="J1901" s="7" t="s">
        <v>8327</v>
      </c>
      <c r="K1901" s="5" t="s">
        <v>60</v>
      </c>
      <c r="L1901" s="11">
        <v>256</v>
      </c>
      <c r="M1901" s="11">
        <v>2020</v>
      </c>
      <c r="N1901" s="11">
        <v>2020</v>
      </c>
      <c r="O1901" s="15"/>
      <c r="P1901" s="8">
        <v>43992</v>
      </c>
      <c r="Q1901" s="8"/>
      <c r="R1901" s="8"/>
      <c r="S1901" s="8"/>
      <c r="T1901" s="8"/>
      <c r="U1901" s="8"/>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8"/>
      <c r="AR1901" s="8"/>
      <c r="AS1901" s="8"/>
      <c r="AT1901" s="8"/>
      <c r="AU1901" s="8"/>
      <c r="AV1901" s="8"/>
      <c r="AW1901" s="8"/>
      <c r="AX1901" s="4" t="s">
        <v>38</v>
      </c>
      <c r="AY1901" s="5" t="s">
        <v>8328</v>
      </c>
      <c r="AZ1901" s="5" t="s">
        <v>38</v>
      </c>
      <c r="BA1901" s="12"/>
      <c r="BB1901" s="12"/>
      <c r="BC1901" s="12"/>
      <c r="BD1901" s="11">
        <v>0</v>
      </c>
      <c r="BE1901" s="11">
        <v>0</v>
      </c>
    </row>
    <row x14ac:dyDescent="0.25" r="1902" customHeight="1" ht="17.25">
      <c r="A1902" s="11">
        <v>28007953</v>
      </c>
      <c r="B1902" s="4" t="s">
        <v>8329</v>
      </c>
      <c r="C1902" s="5" t="s">
        <v>8330</v>
      </c>
      <c r="D1902" s="5" t="s">
        <v>8331</v>
      </c>
      <c r="E1902" s="12"/>
      <c r="F1902" s="13">
        <f>"110187127X"</f>
      </c>
      <c r="G1902" s="13">
        <f>"9781101871270"</f>
      </c>
      <c r="H1902" s="11">
        <v>0</v>
      </c>
      <c r="I1902" s="14">
        <v>4.19</v>
      </c>
      <c r="J1902" s="7" t="s">
        <v>2577</v>
      </c>
      <c r="K1902" s="5" t="s">
        <v>72</v>
      </c>
      <c r="L1902" s="11">
        <v>352</v>
      </c>
      <c r="M1902" s="11">
        <v>2017</v>
      </c>
      <c r="N1902" s="11">
        <v>2017</v>
      </c>
      <c r="O1902" s="15"/>
      <c r="P1902" s="8">
        <v>43985</v>
      </c>
      <c r="Q1902" s="8"/>
      <c r="R1902" s="8"/>
      <c r="S1902" s="8"/>
      <c r="T1902" s="8"/>
      <c r="U1902" s="8"/>
      <c r="V1902" s="8"/>
      <c r="W1902" s="8"/>
      <c r="X1902" s="8"/>
      <c r="Y1902" s="8"/>
      <c r="Z1902" s="8"/>
      <c r="AA1902" s="8"/>
      <c r="AB1902" s="8"/>
      <c r="AC1902" s="8"/>
      <c r="AD1902" s="8"/>
      <c r="AE1902" s="8"/>
      <c r="AF1902" s="8"/>
      <c r="AG1902" s="8"/>
      <c r="AH1902" s="8"/>
      <c r="AI1902" s="8"/>
      <c r="AJ1902" s="8"/>
      <c r="AK1902" s="8"/>
      <c r="AL1902" s="8"/>
      <c r="AM1902" s="8"/>
      <c r="AN1902" s="8"/>
      <c r="AO1902" s="8"/>
      <c r="AP1902" s="8"/>
      <c r="AQ1902" s="8"/>
      <c r="AR1902" s="8"/>
      <c r="AS1902" s="8"/>
      <c r="AT1902" s="8"/>
      <c r="AU1902" s="8"/>
      <c r="AV1902" s="8"/>
      <c r="AW1902" s="8"/>
      <c r="AX1902" s="4" t="s">
        <v>38</v>
      </c>
      <c r="AY1902" s="5" t="s">
        <v>8332</v>
      </c>
      <c r="AZ1902" s="5" t="s">
        <v>38</v>
      </c>
      <c r="BA1902" s="12"/>
      <c r="BB1902" s="12"/>
      <c r="BC1902" s="12"/>
      <c r="BD1902" s="11">
        <v>0</v>
      </c>
      <c r="BE1902" s="11">
        <v>0</v>
      </c>
    </row>
    <row x14ac:dyDescent="0.25" r="1903" customHeight="1" ht="17.25">
      <c r="A1903" s="11">
        <v>519039</v>
      </c>
      <c r="B1903" s="4" t="s">
        <v>8333</v>
      </c>
      <c r="C1903" s="5" t="s">
        <v>8334</v>
      </c>
      <c r="D1903" s="5" t="s">
        <v>8335</v>
      </c>
      <c r="E1903" s="5" t="s">
        <v>765</v>
      </c>
      <c r="F1903" s="13">
        <f>"0814775039"</f>
      </c>
      <c r="G1903" s="13">
        <f>"9780814775035"</f>
      </c>
      <c r="H1903" s="11">
        <v>0</v>
      </c>
      <c r="I1903" s="14">
        <v>4.46</v>
      </c>
      <c r="J1903" s="7" t="s">
        <v>807</v>
      </c>
      <c r="K1903" s="5" t="s">
        <v>60</v>
      </c>
      <c r="L1903" s="11">
        <v>208</v>
      </c>
      <c r="M1903" s="11">
        <v>2001</v>
      </c>
      <c r="N1903" s="11">
        <v>2001</v>
      </c>
      <c r="O1903" s="15"/>
      <c r="P1903" s="8">
        <v>43984</v>
      </c>
      <c r="Q1903" s="8"/>
      <c r="R1903" s="8"/>
      <c r="S1903" s="8"/>
      <c r="T1903" s="8"/>
      <c r="U1903" s="8"/>
      <c r="V1903" s="8"/>
      <c r="W1903" s="8"/>
      <c r="X1903" s="8"/>
      <c r="Y1903" s="8"/>
      <c r="Z1903" s="8"/>
      <c r="AA1903" s="8"/>
      <c r="AB1903" s="8"/>
      <c r="AC1903" s="8"/>
      <c r="AD1903" s="8"/>
      <c r="AE1903" s="8"/>
      <c r="AF1903" s="8"/>
      <c r="AG1903" s="8"/>
      <c r="AH1903" s="8"/>
      <c r="AI1903" s="8"/>
      <c r="AJ1903" s="8"/>
      <c r="AK1903" s="8"/>
      <c r="AL1903" s="8"/>
      <c r="AM1903" s="8"/>
      <c r="AN1903" s="8"/>
      <c r="AO1903" s="8"/>
      <c r="AP1903" s="8"/>
      <c r="AQ1903" s="8"/>
      <c r="AR1903" s="8"/>
      <c r="AS1903" s="8"/>
      <c r="AT1903" s="8"/>
      <c r="AU1903" s="8"/>
      <c r="AV1903" s="8"/>
      <c r="AW1903" s="8"/>
      <c r="AX1903" s="4" t="s">
        <v>38</v>
      </c>
      <c r="AY1903" s="5" t="s">
        <v>8336</v>
      </c>
      <c r="AZ1903" s="5" t="s">
        <v>38</v>
      </c>
      <c r="BA1903" s="12"/>
      <c r="BB1903" s="12"/>
      <c r="BC1903" s="12"/>
      <c r="BD1903" s="11">
        <v>0</v>
      </c>
      <c r="BE1903" s="11">
        <v>0</v>
      </c>
    </row>
    <row x14ac:dyDescent="0.25" r="1904" customHeight="1" ht="17.25">
      <c r="A1904" s="11">
        <v>36747923</v>
      </c>
      <c r="B1904" s="4" t="s">
        <v>8337</v>
      </c>
      <c r="C1904" s="5" t="s">
        <v>8338</v>
      </c>
      <c r="D1904" s="5" t="s">
        <v>8339</v>
      </c>
      <c r="E1904" s="12"/>
      <c r="F1904" s="13">
        <f>"1479892521"</f>
      </c>
      <c r="G1904" s="13">
        <f>"9781479892525"</f>
      </c>
      <c r="H1904" s="11">
        <v>0</v>
      </c>
      <c r="I1904" s="14">
        <v>4.27</v>
      </c>
      <c r="J1904" s="7" t="s">
        <v>807</v>
      </c>
      <c r="K1904" s="5" t="s">
        <v>60</v>
      </c>
      <c r="L1904" s="11">
        <v>192</v>
      </c>
      <c r="M1904" s="11">
        <v>2018</v>
      </c>
      <c r="N1904" s="16"/>
      <c r="O1904" s="15"/>
      <c r="P1904" s="8">
        <v>43984</v>
      </c>
      <c r="Q1904" s="8"/>
      <c r="R1904" s="8"/>
      <c r="S1904" s="8"/>
      <c r="T1904" s="8"/>
      <c r="U1904" s="8"/>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8"/>
      <c r="AR1904" s="8"/>
      <c r="AS1904" s="8"/>
      <c r="AT1904" s="8"/>
      <c r="AU1904" s="8"/>
      <c r="AV1904" s="8"/>
      <c r="AW1904" s="8"/>
      <c r="AX1904" s="4" t="s">
        <v>38</v>
      </c>
      <c r="AY1904" s="5" t="s">
        <v>8340</v>
      </c>
      <c r="AZ1904" s="5" t="s">
        <v>38</v>
      </c>
      <c r="BA1904" s="12"/>
      <c r="BB1904" s="12"/>
      <c r="BC1904" s="12"/>
      <c r="BD1904" s="11">
        <v>0</v>
      </c>
      <c r="BE1904" s="11">
        <v>0</v>
      </c>
    </row>
    <row x14ac:dyDescent="0.25" r="1905" customHeight="1" ht="17.25">
      <c r="A1905" s="11">
        <v>8757106</v>
      </c>
      <c r="B1905" s="4" t="s">
        <v>8341</v>
      </c>
      <c r="C1905" s="5" t="s">
        <v>8342</v>
      </c>
      <c r="D1905" s="5" t="s">
        <v>8343</v>
      </c>
      <c r="E1905" s="12"/>
      <c r="F1905" s="13">
        <f>"6077720682"</f>
      </c>
      <c r="G1905" s="13">
        <f>"9786077720683"</f>
      </c>
      <c r="H1905" s="11">
        <v>0</v>
      </c>
      <c r="I1905" s="14">
        <v>3.77</v>
      </c>
      <c r="J1905" s="7" t="s">
        <v>1710</v>
      </c>
      <c r="K1905" s="5" t="s">
        <v>60</v>
      </c>
      <c r="L1905" s="11">
        <v>104</v>
      </c>
      <c r="M1905" s="11">
        <v>2010</v>
      </c>
      <c r="N1905" s="11">
        <v>2010</v>
      </c>
      <c r="O1905" s="15"/>
      <c r="P1905" s="8">
        <v>43984</v>
      </c>
      <c r="Q1905" s="8"/>
      <c r="R1905" s="8"/>
      <c r="S1905" s="8"/>
      <c r="T1905" s="8"/>
      <c r="U1905" s="8"/>
      <c r="V1905" s="8"/>
      <c r="W1905" s="8"/>
      <c r="X1905" s="8"/>
      <c r="Y1905" s="8"/>
      <c r="Z1905" s="8"/>
      <c r="AA1905" s="8"/>
      <c r="AB1905" s="8"/>
      <c r="AC1905" s="8"/>
      <c r="AD1905" s="8"/>
      <c r="AE1905" s="8"/>
      <c r="AF1905" s="8"/>
      <c r="AG1905" s="8"/>
      <c r="AH1905" s="8"/>
      <c r="AI1905" s="8"/>
      <c r="AJ1905" s="8"/>
      <c r="AK1905" s="8"/>
      <c r="AL1905" s="8"/>
      <c r="AM1905" s="8"/>
      <c r="AN1905" s="8"/>
      <c r="AO1905" s="8"/>
      <c r="AP1905" s="8"/>
      <c r="AQ1905" s="8"/>
      <c r="AR1905" s="8"/>
      <c r="AS1905" s="8"/>
      <c r="AT1905" s="8"/>
      <c r="AU1905" s="8"/>
      <c r="AV1905" s="8"/>
      <c r="AW1905" s="8"/>
      <c r="AX1905" s="4" t="s">
        <v>38</v>
      </c>
      <c r="AY1905" s="5" t="s">
        <v>8344</v>
      </c>
      <c r="AZ1905" s="5" t="s">
        <v>38</v>
      </c>
      <c r="BA1905" s="12"/>
      <c r="BB1905" s="12"/>
      <c r="BC1905" s="12"/>
      <c r="BD1905" s="11">
        <v>0</v>
      </c>
      <c r="BE1905" s="11">
        <v>0</v>
      </c>
    </row>
    <row x14ac:dyDescent="0.25" r="1906" customHeight="1" ht="17.25">
      <c r="A1906" s="11">
        <v>12095063</v>
      </c>
      <c r="B1906" s="4" t="s">
        <v>8345</v>
      </c>
      <c r="C1906" s="5" t="s">
        <v>973</v>
      </c>
      <c r="D1906" s="5" t="s">
        <v>974</v>
      </c>
      <c r="E1906" s="12"/>
      <c r="F1906" s="13">
        <f>"0374298785"</f>
      </c>
      <c r="G1906" s="13">
        <f>"9780374298784"</f>
      </c>
      <c r="H1906" s="11">
        <v>0</v>
      </c>
      <c r="I1906" s="14">
        <v>3.89</v>
      </c>
      <c r="J1906" s="7" t="s">
        <v>120</v>
      </c>
      <c r="K1906" s="5" t="s">
        <v>72</v>
      </c>
      <c r="L1906" s="11">
        <v>224</v>
      </c>
      <c r="M1906" s="11">
        <v>2012</v>
      </c>
      <c r="N1906" s="11">
        <v>2012</v>
      </c>
      <c r="O1906" s="15"/>
      <c r="P1906" s="8">
        <v>43982</v>
      </c>
      <c r="Q1906" s="8"/>
      <c r="R1906" s="8"/>
      <c r="S1906" s="8"/>
      <c r="T1906" s="8"/>
      <c r="U1906" s="8"/>
      <c r="V1906" s="8"/>
      <c r="W1906" s="8"/>
      <c r="X1906" s="8"/>
      <c r="Y1906" s="8"/>
      <c r="Z1906" s="8"/>
      <c r="AA1906" s="8"/>
      <c r="AB1906" s="8"/>
      <c r="AC1906" s="8"/>
      <c r="AD1906" s="8"/>
      <c r="AE1906" s="8"/>
      <c r="AF1906" s="8"/>
      <c r="AG1906" s="8"/>
      <c r="AH1906" s="8"/>
      <c r="AI1906" s="8"/>
      <c r="AJ1906" s="8"/>
      <c r="AK1906" s="8"/>
      <c r="AL1906" s="8"/>
      <c r="AM1906" s="8"/>
      <c r="AN1906" s="8"/>
      <c r="AO1906" s="8"/>
      <c r="AP1906" s="8"/>
      <c r="AQ1906" s="8"/>
      <c r="AR1906" s="8"/>
      <c r="AS1906" s="8"/>
      <c r="AT1906" s="8"/>
      <c r="AU1906" s="8"/>
      <c r="AV1906" s="8"/>
      <c r="AW1906" s="8"/>
      <c r="AX1906" s="4" t="s">
        <v>38</v>
      </c>
      <c r="AY1906" s="5" t="s">
        <v>8346</v>
      </c>
      <c r="AZ1906" s="5" t="s">
        <v>38</v>
      </c>
      <c r="BA1906" s="12"/>
      <c r="BB1906" s="12"/>
      <c r="BC1906" s="12"/>
      <c r="BD1906" s="11">
        <v>0</v>
      </c>
      <c r="BE1906" s="11">
        <v>0</v>
      </c>
    </row>
    <row x14ac:dyDescent="0.25" r="1907" customHeight="1" ht="17.25">
      <c r="A1907" s="11">
        <v>14248</v>
      </c>
      <c r="B1907" s="4" t="s">
        <v>8347</v>
      </c>
      <c r="C1907" s="5" t="s">
        <v>8348</v>
      </c>
      <c r="D1907" s="5" t="s">
        <v>8349</v>
      </c>
      <c r="E1907" s="12"/>
      <c r="F1907" s="13">
        <f>"0060504080"</f>
      </c>
      <c r="G1907" s="13">
        <f>"9780060504083"</f>
      </c>
      <c r="H1907" s="11">
        <v>0</v>
      </c>
      <c r="I1907" s="14">
        <v>4.03</v>
      </c>
      <c r="J1907" s="7" t="s">
        <v>505</v>
      </c>
      <c r="K1907" s="5" t="s">
        <v>60</v>
      </c>
      <c r="L1907" s="11">
        <v>264</v>
      </c>
      <c r="M1907" s="11">
        <v>2003</v>
      </c>
      <c r="N1907" s="11">
        <v>2002</v>
      </c>
      <c r="O1907" s="15"/>
      <c r="P1907" s="8">
        <v>43982</v>
      </c>
      <c r="Q1907" s="8"/>
      <c r="R1907" s="8"/>
      <c r="S1907" s="8"/>
      <c r="T1907" s="8"/>
      <c r="U1907" s="8"/>
      <c r="V1907" s="8"/>
      <c r="W1907" s="8"/>
      <c r="X1907" s="8"/>
      <c r="Y1907" s="8"/>
      <c r="Z1907" s="8"/>
      <c r="AA1907" s="8"/>
      <c r="AB1907" s="8"/>
      <c r="AC1907" s="8"/>
      <c r="AD1907" s="8"/>
      <c r="AE1907" s="8"/>
      <c r="AF1907" s="8"/>
      <c r="AG1907" s="8"/>
      <c r="AH1907" s="8"/>
      <c r="AI1907" s="8"/>
      <c r="AJ1907" s="8"/>
      <c r="AK1907" s="8"/>
      <c r="AL1907" s="8"/>
      <c r="AM1907" s="8"/>
      <c r="AN1907" s="8"/>
      <c r="AO1907" s="8"/>
      <c r="AP1907" s="8"/>
      <c r="AQ1907" s="8"/>
      <c r="AR1907" s="8"/>
      <c r="AS1907" s="8"/>
      <c r="AT1907" s="8"/>
      <c r="AU1907" s="8"/>
      <c r="AV1907" s="8"/>
      <c r="AW1907" s="8"/>
      <c r="AX1907" s="4" t="s">
        <v>38</v>
      </c>
      <c r="AY1907" s="5" t="s">
        <v>8350</v>
      </c>
      <c r="AZ1907" s="5" t="s">
        <v>38</v>
      </c>
      <c r="BA1907" s="12"/>
      <c r="BB1907" s="12"/>
      <c r="BC1907" s="12"/>
      <c r="BD1907" s="11">
        <v>0</v>
      </c>
      <c r="BE1907" s="11">
        <v>0</v>
      </c>
    </row>
    <row x14ac:dyDescent="0.25" r="1908" customHeight="1" ht="17.25">
      <c r="A1908" s="11">
        <v>223635</v>
      </c>
      <c r="B1908" s="4" t="s">
        <v>8351</v>
      </c>
      <c r="C1908" s="5" t="s">
        <v>8352</v>
      </c>
      <c r="D1908" s="5" t="s">
        <v>8353</v>
      </c>
      <c r="E1908" s="5" t="s">
        <v>8354</v>
      </c>
      <c r="F1908" s="13">
        <f>"0140189181"</f>
      </c>
      <c r="G1908" s="13">
        <f>"9780140189186"</f>
      </c>
      <c r="H1908" s="11">
        <v>0</v>
      </c>
      <c r="I1908" s="14">
        <v>4.04</v>
      </c>
      <c r="J1908" s="7" t="s">
        <v>263</v>
      </c>
      <c r="K1908" s="5" t="s">
        <v>60</v>
      </c>
      <c r="L1908" s="11">
        <v>272</v>
      </c>
      <c r="M1908" s="11">
        <v>1995</v>
      </c>
      <c r="N1908" s="11">
        <v>1936</v>
      </c>
      <c r="O1908" s="15"/>
      <c r="P1908" s="8">
        <v>43982</v>
      </c>
      <c r="Q1908" s="8"/>
      <c r="R1908" s="8"/>
      <c r="S1908" s="8"/>
      <c r="T1908" s="8"/>
      <c r="U1908" s="8"/>
      <c r="V1908" s="8"/>
      <c r="W1908" s="8"/>
      <c r="X1908" s="8"/>
      <c r="Y1908" s="8"/>
      <c r="Z1908" s="8"/>
      <c r="AA1908" s="8"/>
      <c r="AB1908" s="8"/>
      <c r="AC1908" s="8"/>
      <c r="AD1908" s="8"/>
      <c r="AE1908" s="8"/>
      <c r="AF1908" s="8"/>
      <c r="AG1908" s="8"/>
      <c r="AH1908" s="8"/>
      <c r="AI1908" s="8"/>
      <c r="AJ1908" s="8"/>
      <c r="AK1908" s="8"/>
      <c r="AL1908" s="8"/>
      <c r="AM1908" s="8"/>
      <c r="AN1908" s="8"/>
      <c r="AO1908" s="8"/>
      <c r="AP1908" s="8"/>
      <c r="AQ1908" s="8"/>
      <c r="AR1908" s="8"/>
      <c r="AS1908" s="8"/>
      <c r="AT1908" s="8"/>
      <c r="AU1908" s="8"/>
      <c r="AV1908" s="8"/>
      <c r="AW1908" s="8"/>
      <c r="AX1908" s="4" t="s">
        <v>38</v>
      </c>
      <c r="AY1908" s="5" t="s">
        <v>8355</v>
      </c>
      <c r="AZ1908" s="5" t="s">
        <v>38</v>
      </c>
      <c r="BA1908" s="12"/>
      <c r="BB1908" s="12"/>
      <c r="BC1908" s="12"/>
      <c r="BD1908" s="11">
        <v>0</v>
      </c>
      <c r="BE1908" s="11">
        <v>0</v>
      </c>
    </row>
    <row x14ac:dyDescent="0.25" r="1909" customHeight="1" ht="17.25">
      <c r="A1909" s="11">
        <v>44032894</v>
      </c>
      <c r="B1909" s="4" t="s">
        <v>8356</v>
      </c>
      <c r="C1909" s="5" t="s">
        <v>8357</v>
      </c>
      <c r="D1909" s="5" t="s">
        <v>8358</v>
      </c>
      <c r="E1909" s="5" t="s">
        <v>8359</v>
      </c>
      <c r="F1909" s="13">
        <f>"8423355217"</f>
      </c>
      <c r="G1909" s="13">
        <f>"9788423355211"</f>
      </c>
      <c r="H1909" s="11">
        <v>0</v>
      </c>
      <c r="I1909" s="14">
        <v>3.59</v>
      </c>
      <c r="J1909" s="7" t="s">
        <v>8360</v>
      </c>
      <c r="K1909" s="5" t="s">
        <v>60</v>
      </c>
      <c r="L1909" s="11">
        <v>149</v>
      </c>
      <c r="M1909" s="11">
        <v>2019</v>
      </c>
      <c r="N1909" s="16"/>
      <c r="O1909" s="15"/>
      <c r="P1909" s="8">
        <v>43979</v>
      </c>
      <c r="Q1909" s="8"/>
      <c r="R1909" s="8"/>
      <c r="S1909" s="8"/>
      <c r="T1909" s="8"/>
      <c r="U1909" s="8"/>
      <c r="V1909" s="8"/>
      <c r="W1909" s="8"/>
      <c r="X1909" s="8"/>
      <c r="Y1909" s="8"/>
      <c r="Z1909" s="8"/>
      <c r="AA1909" s="8"/>
      <c r="AB1909" s="8"/>
      <c r="AC1909" s="8"/>
      <c r="AD1909" s="8"/>
      <c r="AE1909" s="8"/>
      <c r="AF1909" s="8"/>
      <c r="AG1909" s="8"/>
      <c r="AH1909" s="8"/>
      <c r="AI1909" s="8"/>
      <c r="AJ1909" s="8"/>
      <c r="AK1909" s="8"/>
      <c r="AL1909" s="8"/>
      <c r="AM1909" s="8"/>
      <c r="AN1909" s="8"/>
      <c r="AO1909" s="8"/>
      <c r="AP1909" s="8"/>
      <c r="AQ1909" s="8"/>
      <c r="AR1909" s="8"/>
      <c r="AS1909" s="8"/>
      <c r="AT1909" s="8"/>
      <c r="AU1909" s="8"/>
      <c r="AV1909" s="8"/>
      <c r="AW1909" s="8"/>
      <c r="AX1909" s="4" t="s">
        <v>38</v>
      </c>
      <c r="AY1909" s="5" t="s">
        <v>8361</v>
      </c>
      <c r="AZ1909" s="5" t="s">
        <v>38</v>
      </c>
      <c r="BA1909" s="12"/>
      <c r="BB1909" s="12"/>
      <c r="BC1909" s="12"/>
      <c r="BD1909" s="11">
        <v>0</v>
      </c>
      <c r="BE1909" s="11">
        <v>0</v>
      </c>
    </row>
    <row x14ac:dyDescent="0.25" r="1910" customHeight="1" ht="17.25">
      <c r="A1910" s="11">
        <v>17835572</v>
      </c>
      <c r="B1910" s="4" t="s">
        <v>8362</v>
      </c>
      <c r="C1910" s="5" t="s">
        <v>8363</v>
      </c>
      <c r="D1910" s="5" t="s">
        <v>8364</v>
      </c>
      <c r="E1910" s="12"/>
      <c r="F1910" s="13">
        <f>""</f>
      </c>
      <c r="G1910" s="13">
        <f>""</f>
      </c>
      <c r="H1910" s="11">
        <v>0</v>
      </c>
      <c r="I1910" s="14">
        <v>3.51</v>
      </c>
      <c r="J1910" s="7" t="s">
        <v>1710</v>
      </c>
      <c r="K1910" s="5" t="s">
        <v>60</v>
      </c>
      <c r="L1910" s="11">
        <v>216</v>
      </c>
      <c r="M1910" s="11">
        <v>2013</v>
      </c>
      <c r="N1910" s="11">
        <v>2013</v>
      </c>
      <c r="O1910" s="15"/>
      <c r="P1910" s="8">
        <v>43976</v>
      </c>
      <c r="Q1910" s="8"/>
      <c r="R1910" s="8"/>
      <c r="S1910" s="8"/>
      <c r="T1910" s="8"/>
      <c r="U1910" s="8"/>
      <c r="V1910" s="8"/>
      <c r="W1910" s="8"/>
      <c r="X1910" s="8"/>
      <c r="Y1910" s="8"/>
      <c r="Z1910" s="8"/>
      <c r="AA1910" s="8"/>
      <c r="AB1910" s="8"/>
      <c r="AC1910" s="8"/>
      <c r="AD1910" s="8"/>
      <c r="AE1910" s="8"/>
      <c r="AF1910" s="8"/>
      <c r="AG1910" s="8"/>
      <c r="AH1910" s="8"/>
      <c r="AI1910" s="8"/>
      <c r="AJ1910" s="8"/>
      <c r="AK1910" s="8"/>
      <c r="AL1910" s="8"/>
      <c r="AM1910" s="8"/>
      <c r="AN1910" s="8"/>
      <c r="AO1910" s="8"/>
      <c r="AP1910" s="8"/>
      <c r="AQ1910" s="8"/>
      <c r="AR1910" s="8"/>
      <c r="AS1910" s="8"/>
      <c r="AT1910" s="8"/>
      <c r="AU1910" s="8"/>
      <c r="AV1910" s="8"/>
      <c r="AW1910" s="8"/>
      <c r="AX1910" s="4" t="s">
        <v>38</v>
      </c>
      <c r="AY1910" s="5" t="s">
        <v>8365</v>
      </c>
      <c r="AZ1910" s="5" t="s">
        <v>38</v>
      </c>
      <c r="BA1910" s="12"/>
      <c r="BB1910" s="12"/>
      <c r="BC1910" s="12"/>
      <c r="BD1910" s="11">
        <v>0</v>
      </c>
      <c r="BE1910" s="11">
        <v>0</v>
      </c>
    </row>
    <row x14ac:dyDescent="0.25" r="1911" customHeight="1" ht="17.25">
      <c r="A1911" s="11">
        <v>31194442</v>
      </c>
      <c r="B1911" s="4" t="s">
        <v>8366</v>
      </c>
      <c r="C1911" s="5" t="s">
        <v>8367</v>
      </c>
      <c r="D1911" s="5" t="s">
        <v>8368</v>
      </c>
      <c r="E1911" s="12"/>
      <c r="F1911" s="13">
        <f>""</f>
      </c>
      <c r="G1911" s="13">
        <f>""</f>
      </c>
      <c r="H1911" s="11">
        <v>0</v>
      </c>
      <c r="I1911" s="14">
        <v>3.74</v>
      </c>
      <c r="J1911" s="7" t="s">
        <v>8360</v>
      </c>
      <c r="K1911" s="5" t="s">
        <v>90</v>
      </c>
      <c r="L1911" s="11">
        <v>201</v>
      </c>
      <c r="M1911" s="11">
        <v>2016</v>
      </c>
      <c r="N1911" s="11">
        <v>1991</v>
      </c>
      <c r="O1911" s="15"/>
      <c r="P1911" s="8">
        <v>43976</v>
      </c>
      <c r="Q1911" s="8"/>
      <c r="R1911" s="8"/>
      <c r="S1911" s="8"/>
      <c r="T1911" s="8"/>
      <c r="U1911" s="8"/>
      <c r="V1911" s="8"/>
      <c r="W1911" s="8"/>
      <c r="X1911" s="8"/>
      <c r="Y1911" s="8"/>
      <c r="Z1911" s="8"/>
      <c r="AA1911" s="8"/>
      <c r="AB1911" s="8"/>
      <c r="AC1911" s="8"/>
      <c r="AD1911" s="8"/>
      <c r="AE1911" s="8"/>
      <c r="AF1911" s="8"/>
      <c r="AG1911" s="8"/>
      <c r="AH1911" s="8"/>
      <c r="AI1911" s="8"/>
      <c r="AJ1911" s="8"/>
      <c r="AK1911" s="8"/>
      <c r="AL1911" s="8"/>
      <c r="AM1911" s="8"/>
      <c r="AN1911" s="8"/>
      <c r="AO1911" s="8"/>
      <c r="AP1911" s="8"/>
      <c r="AQ1911" s="8"/>
      <c r="AR1911" s="8"/>
      <c r="AS1911" s="8"/>
      <c r="AT1911" s="8"/>
      <c r="AU1911" s="8"/>
      <c r="AV1911" s="8"/>
      <c r="AW1911" s="8"/>
      <c r="AX1911" s="4" t="s">
        <v>38</v>
      </c>
      <c r="AY1911" s="5" t="s">
        <v>8369</v>
      </c>
      <c r="AZ1911" s="5" t="s">
        <v>38</v>
      </c>
      <c r="BA1911" s="12"/>
      <c r="BB1911" s="12"/>
      <c r="BC1911" s="12"/>
      <c r="BD1911" s="11">
        <v>0</v>
      </c>
      <c r="BE1911" s="11">
        <v>0</v>
      </c>
    </row>
    <row x14ac:dyDescent="0.25" r="1912" customHeight="1" ht="17.25">
      <c r="A1912" s="11">
        <v>41060847</v>
      </c>
      <c r="B1912" s="4" t="s">
        <v>8370</v>
      </c>
      <c r="C1912" s="5" t="s">
        <v>8371</v>
      </c>
      <c r="D1912" s="5" t="s">
        <v>8372</v>
      </c>
      <c r="E1912" s="12"/>
      <c r="F1912" s="13">
        <f>"9877690098"</f>
      </c>
      <c r="G1912" s="13">
        <f>"9789877690095"</f>
      </c>
      <c r="H1912" s="11">
        <v>0</v>
      </c>
      <c r="I1912" s="14">
        <v>4.02</v>
      </c>
      <c r="J1912" s="7" t="s">
        <v>8373</v>
      </c>
      <c r="K1912" s="5" t="s">
        <v>60</v>
      </c>
      <c r="L1912" s="11">
        <v>176</v>
      </c>
      <c r="M1912" s="16"/>
      <c r="N1912" s="11">
        <v>2006</v>
      </c>
      <c r="O1912" s="15"/>
      <c r="P1912" s="8">
        <v>43976</v>
      </c>
      <c r="Q1912" s="8"/>
      <c r="R1912" s="8"/>
      <c r="S1912" s="8"/>
      <c r="T1912" s="8"/>
      <c r="U1912" s="8"/>
      <c r="V1912" s="8"/>
      <c r="W1912" s="8"/>
      <c r="X1912" s="8"/>
      <c r="Y1912" s="8"/>
      <c r="Z1912" s="8"/>
      <c r="AA1912" s="8"/>
      <c r="AB1912" s="8"/>
      <c r="AC1912" s="8"/>
      <c r="AD1912" s="8"/>
      <c r="AE1912" s="8"/>
      <c r="AF1912" s="8"/>
      <c r="AG1912" s="8"/>
      <c r="AH1912" s="8"/>
      <c r="AI1912" s="8"/>
      <c r="AJ1912" s="8"/>
      <c r="AK1912" s="8"/>
      <c r="AL1912" s="8"/>
      <c r="AM1912" s="8"/>
      <c r="AN1912" s="8"/>
      <c r="AO1912" s="8"/>
      <c r="AP1912" s="8"/>
      <c r="AQ1912" s="8"/>
      <c r="AR1912" s="8"/>
      <c r="AS1912" s="8"/>
      <c r="AT1912" s="8"/>
      <c r="AU1912" s="8"/>
      <c r="AV1912" s="8"/>
      <c r="AW1912" s="8"/>
      <c r="AX1912" s="4" t="s">
        <v>38</v>
      </c>
      <c r="AY1912" s="5" t="s">
        <v>8374</v>
      </c>
      <c r="AZ1912" s="5" t="s">
        <v>38</v>
      </c>
      <c r="BA1912" s="12"/>
      <c r="BB1912" s="12"/>
      <c r="BC1912" s="12"/>
      <c r="BD1912" s="11">
        <v>0</v>
      </c>
      <c r="BE1912" s="11">
        <v>0</v>
      </c>
    </row>
    <row x14ac:dyDescent="0.25" r="1913" customHeight="1" ht="17.25">
      <c r="A1913" s="11">
        <v>40316154</v>
      </c>
      <c r="B1913" s="4" t="s">
        <v>8375</v>
      </c>
      <c r="C1913" s="5" t="s">
        <v>8376</v>
      </c>
      <c r="D1913" s="5" t="s">
        <v>8377</v>
      </c>
      <c r="E1913" s="12"/>
      <c r="F1913" s="13">
        <f>"9877690055"</f>
      </c>
      <c r="G1913" s="13">
        <f>"9789877690057"</f>
      </c>
      <c r="H1913" s="11">
        <v>0</v>
      </c>
      <c r="I1913" s="14">
        <v>3.8</v>
      </c>
      <c r="J1913" s="7" t="s">
        <v>6798</v>
      </c>
      <c r="K1913" s="5" t="s">
        <v>60</v>
      </c>
      <c r="L1913" s="11">
        <v>176</v>
      </c>
      <c r="M1913" s="11">
        <v>2018</v>
      </c>
      <c r="N1913" s="11">
        <v>2018</v>
      </c>
      <c r="O1913" s="15"/>
      <c r="P1913" s="8">
        <v>43976</v>
      </c>
      <c r="Q1913" s="8"/>
      <c r="R1913" s="8"/>
      <c r="S1913" s="8"/>
      <c r="T1913" s="8"/>
      <c r="U1913" s="8"/>
      <c r="V1913" s="8"/>
      <c r="W1913" s="8"/>
      <c r="X1913" s="8"/>
      <c r="Y1913" s="8"/>
      <c r="Z1913" s="8"/>
      <c r="AA1913" s="8"/>
      <c r="AB1913" s="8"/>
      <c r="AC1913" s="8"/>
      <c r="AD1913" s="8"/>
      <c r="AE1913" s="8"/>
      <c r="AF1913" s="8"/>
      <c r="AG1913" s="8"/>
      <c r="AH1913" s="8"/>
      <c r="AI1913" s="8"/>
      <c r="AJ1913" s="8"/>
      <c r="AK1913" s="8"/>
      <c r="AL1913" s="8"/>
      <c r="AM1913" s="8"/>
      <c r="AN1913" s="8"/>
      <c r="AO1913" s="8"/>
      <c r="AP1913" s="8"/>
      <c r="AQ1913" s="8"/>
      <c r="AR1913" s="8"/>
      <c r="AS1913" s="8"/>
      <c r="AT1913" s="8"/>
      <c r="AU1913" s="8"/>
      <c r="AV1913" s="8"/>
      <c r="AW1913" s="8"/>
      <c r="AX1913" s="4" t="s">
        <v>38</v>
      </c>
      <c r="AY1913" s="5" t="s">
        <v>8378</v>
      </c>
      <c r="AZ1913" s="5" t="s">
        <v>38</v>
      </c>
      <c r="BA1913" s="12"/>
      <c r="BB1913" s="12"/>
      <c r="BC1913" s="12"/>
      <c r="BD1913" s="11">
        <v>0</v>
      </c>
      <c r="BE1913" s="11">
        <v>0</v>
      </c>
    </row>
    <row x14ac:dyDescent="0.25" r="1914" customHeight="1" ht="17.25">
      <c r="A1914" s="11">
        <v>2237040</v>
      </c>
      <c r="B1914" s="4" t="s">
        <v>8379</v>
      </c>
      <c r="C1914" s="5" t="s">
        <v>8380</v>
      </c>
      <c r="D1914" s="5" t="s">
        <v>8381</v>
      </c>
      <c r="E1914" s="12"/>
      <c r="F1914" s="13">
        <f>"9872110964"</f>
      </c>
      <c r="G1914" s="13">
        <f>"9789872110963"</f>
      </c>
      <c r="H1914" s="11">
        <v>0</v>
      </c>
      <c r="I1914" s="14">
        <v>3.96</v>
      </c>
      <c r="J1914" s="7" t="s">
        <v>8382</v>
      </c>
      <c r="K1914" s="5" t="s">
        <v>60</v>
      </c>
      <c r="L1914" s="11">
        <v>200</v>
      </c>
      <c r="M1914" s="11">
        <v>2004</v>
      </c>
      <c r="N1914" s="11">
        <v>2004</v>
      </c>
      <c r="O1914" s="15"/>
      <c r="P1914" s="8">
        <v>43976</v>
      </c>
      <c r="Q1914" s="8"/>
      <c r="R1914" s="8"/>
      <c r="S1914" s="8"/>
      <c r="T1914" s="8"/>
      <c r="U1914" s="8"/>
      <c r="V1914" s="8"/>
      <c r="W1914" s="8"/>
      <c r="X1914" s="8"/>
      <c r="Y1914" s="8"/>
      <c r="Z1914" s="8"/>
      <c r="AA1914" s="8"/>
      <c r="AB1914" s="8"/>
      <c r="AC1914" s="8"/>
      <c r="AD1914" s="8"/>
      <c r="AE1914" s="8"/>
      <c r="AF1914" s="8"/>
      <c r="AG1914" s="8"/>
      <c r="AH1914" s="8"/>
      <c r="AI1914" s="8"/>
      <c r="AJ1914" s="8"/>
      <c r="AK1914" s="8"/>
      <c r="AL1914" s="8"/>
      <c r="AM1914" s="8"/>
      <c r="AN1914" s="8"/>
      <c r="AO1914" s="8"/>
      <c r="AP1914" s="8"/>
      <c r="AQ1914" s="8"/>
      <c r="AR1914" s="8"/>
      <c r="AS1914" s="8"/>
      <c r="AT1914" s="8"/>
      <c r="AU1914" s="8"/>
      <c r="AV1914" s="8"/>
      <c r="AW1914" s="8"/>
      <c r="AX1914" s="4" t="s">
        <v>38</v>
      </c>
      <c r="AY1914" s="5" t="s">
        <v>8383</v>
      </c>
      <c r="AZ1914" s="5" t="s">
        <v>38</v>
      </c>
      <c r="BA1914" s="12"/>
      <c r="BB1914" s="12"/>
      <c r="BC1914" s="12"/>
      <c r="BD1914" s="11">
        <v>0</v>
      </c>
      <c r="BE1914" s="11">
        <v>0</v>
      </c>
    </row>
    <row x14ac:dyDescent="0.25" r="1915" customHeight="1" ht="17.25">
      <c r="A1915" s="11">
        <v>2054201</v>
      </c>
      <c r="B1915" s="4" t="s">
        <v>8384</v>
      </c>
      <c r="C1915" s="5" t="s">
        <v>8380</v>
      </c>
      <c r="D1915" s="5" t="s">
        <v>8381</v>
      </c>
      <c r="E1915" s="12"/>
      <c r="F1915" s="13">
        <f>"9871307039"</f>
      </c>
      <c r="G1915" s="13">
        <f>"9789871307036"</f>
      </c>
      <c r="H1915" s="11">
        <v>0</v>
      </c>
      <c r="I1915" s="14">
        <v>4.39</v>
      </c>
      <c r="J1915" s="7" t="s">
        <v>8382</v>
      </c>
      <c r="K1915" s="5" t="s">
        <v>60</v>
      </c>
      <c r="L1915" s="11">
        <v>501</v>
      </c>
      <c r="M1915" s="11">
        <v>2006</v>
      </c>
      <c r="N1915" s="11">
        <v>2006</v>
      </c>
      <c r="O1915" s="15"/>
      <c r="P1915" s="8">
        <v>43976</v>
      </c>
      <c r="Q1915" s="8"/>
      <c r="R1915" s="8"/>
      <c r="S1915" s="8"/>
      <c r="T1915" s="8"/>
      <c r="U1915" s="8"/>
      <c r="V1915" s="8"/>
      <c r="W1915" s="8"/>
      <c r="X1915" s="8"/>
      <c r="Y1915" s="8"/>
      <c r="Z1915" s="8"/>
      <c r="AA1915" s="8"/>
      <c r="AB1915" s="8"/>
      <c r="AC1915" s="8"/>
      <c r="AD1915" s="8"/>
      <c r="AE1915" s="8"/>
      <c r="AF1915" s="8"/>
      <c r="AG1915" s="8"/>
      <c r="AH1915" s="8"/>
      <c r="AI1915" s="8"/>
      <c r="AJ1915" s="8"/>
      <c r="AK1915" s="8"/>
      <c r="AL1915" s="8"/>
      <c r="AM1915" s="8"/>
      <c r="AN1915" s="8"/>
      <c r="AO1915" s="8"/>
      <c r="AP1915" s="8"/>
      <c r="AQ1915" s="8"/>
      <c r="AR1915" s="8"/>
      <c r="AS1915" s="8"/>
      <c r="AT1915" s="8"/>
      <c r="AU1915" s="8"/>
      <c r="AV1915" s="8"/>
      <c r="AW1915" s="8"/>
      <c r="AX1915" s="4" t="s">
        <v>38</v>
      </c>
      <c r="AY1915" s="5" t="s">
        <v>8385</v>
      </c>
      <c r="AZ1915" s="5" t="s">
        <v>38</v>
      </c>
      <c r="BA1915" s="12"/>
      <c r="BB1915" s="12"/>
      <c r="BC1915" s="12"/>
      <c r="BD1915" s="11">
        <v>0</v>
      </c>
      <c r="BE1915" s="11">
        <v>0</v>
      </c>
    </row>
    <row x14ac:dyDescent="0.25" r="1916" customHeight="1" ht="17.25">
      <c r="A1916" s="11">
        <v>341580</v>
      </c>
      <c r="B1916" s="4" t="s">
        <v>8386</v>
      </c>
      <c r="C1916" s="5" t="s">
        <v>8387</v>
      </c>
      <c r="D1916" s="5" t="s">
        <v>8388</v>
      </c>
      <c r="E1916" s="12"/>
      <c r="F1916" s="13">
        <f>"843392382X"</f>
      </c>
      <c r="G1916" s="13">
        <f>"9788433923820"</f>
      </c>
      <c r="H1916" s="11">
        <v>0</v>
      </c>
      <c r="I1916" s="14">
        <v>4.43</v>
      </c>
      <c r="J1916" s="7" t="s">
        <v>1176</v>
      </c>
      <c r="K1916" s="5" t="s">
        <v>72</v>
      </c>
      <c r="L1916" s="11">
        <v>180</v>
      </c>
      <c r="M1916" s="11">
        <v>2006</v>
      </c>
      <c r="N1916" s="11">
        <v>1996</v>
      </c>
      <c r="O1916" s="15"/>
      <c r="P1916" s="8">
        <v>43976</v>
      </c>
      <c r="Q1916" s="8"/>
      <c r="R1916" s="8"/>
      <c r="S1916" s="8"/>
      <c r="T1916" s="8"/>
      <c r="U1916" s="8"/>
      <c r="V1916" s="8"/>
      <c r="W1916" s="8"/>
      <c r="X1916" s="8"/>
      <c r="Y1916" s="8"/>
      <c r="Z1916" s="8"/>
      <c r="AA1916" s="8"/>
      <c r="AB1916" s="8"/>
      <c r="AC1916" s="8"/>
      <c r="AD1916" s="8"/>
      <c r="AE1916" s="8"/>
      <c r="AF1916" s="8"/>
      <c r="AG1916" s="8"/>
      <c r="AH1916" s="8"/>
      <c r="AI1916" s="8"/>
      <c r="AJ1916" s="8"/>
      <c r="AK1916" s="8"/>
      <c r="AL1916" s="8"/>
      <c r="AM1916" s="8"/>
      <c r="AN1916" s="8"/>
      <c r="AO1916" s="8"/>
      <c r="AP1916" s="8"/>
      <c r="AQ1916" s="8"/>
      <c r="AR1916" s="8"/>
      <c r="AS1916" s="8"/>
      <c r="AT1916" s="8"/>
      <c r="AU1916" s="8"/>
      <c r="AV1916" s="8"/>
      <c r="AW1916" s="8"/>
      <c r="AX1916" s="4" t="s">
        <v>38</v>
      </c>
      <c r="AY1916" s="5" t="s">
        <v>8389</v>
      </c>
      <c r="AZ1916" s="5" t="s">
        <v>38</v>
      </c>
      <c r="BA1916" s="12"/>
      <c r="BB1916" s="12"/>
      <c r="BC1916" s="12"/>
      <c r="BD1916" s="11">
        <v>0</v>
      </c>
      <c r="BE1916" s="11">
        <v>0</v>
      </c>
    </row>
    <row x14ac:dyDescent="0.25" r="1917" customHeight="1" ht="17.25">
      <c r="A1917" s="11">
        <v>40036240</v>
      </c>
      <c r="B1917" s="4" t="s">
        <v>8390</v>
      </c>
      <c r="C1917" s="5" t="s">
        <v>3302</v>
      </c>
      <c r="D1917" s="5" t="s">
        <v>3303</v>
      </c>
      <c r="E1917" s="12"/>
      <c r="F1917" s="13">
        <f>""</f>
      </c>
      <c r="G1917" s="13">
        <f>"9789874445049"</f>
      </c>
      <c r="H1917" s="11">
        <v>0</v>
      </c>
      <c r="I1917" s="14">
        <v>4.38</v>
      </c>
      <c r="J1917" s="7" t="s">
        <v>8391</v>
      </c>
      <c r="K1917" s="5" t="s">
        <v>60</v>
      </c>
      <c r="L1917" s="11">
        <v>116</v>
      </c>
      <c r="M1917" s="16"/>
      <c r="N1917" s="11">
        <v>2018</v>
      </c>
      <c r="O1917" s="15"/>
      <c r="P1917" s="8">
        <v>43976</v>
      </c>
      <c r="Q1917" s="8"/>
      <c r="R1917" s="8"/>
      <c r="S1917" s="8"/>
      <c r="T1917" s="8"/>
      <c r="U1917" s="8"/>
      <c r="V1917" s="8"/>
      <c r="W1917" s="8"/>
      <c r="X1917" s="8"/>
      <c r="Y1917" s="8"/>
      <c r="Z1917" s="8"/>
      <c r="AA1917" s="8"/>
      <c r="AB1917" s="8"/>
      <c r="AC1917" s="8"/>
      <c r="AD1917" s="8"/>
      <c r="AE1917" s="8"/>
      <c r="AF1917" s="8"/>
      <c r="AG1917" s="8"/>
      <c r="AH1917" s="8"/>
      <c r="AI1917" s="8"/>
      <c r="AJ1917" s="8"/>
      <c r="AK1917" s="8"/>
      <c r="AL1917" s="8"/>
      <c r="AM1917" s="8"/>
      <c r="AN1917" s="8"/>
      <c r="AO1917" s="8"/>
      <c r="AP1917" s="8"/>
      <c r="AQ1917" s="8"/>
      <c r="AR1917" s="8"/>
      <c r="AS1917" s="8"/>
      <c r="AT1917" s="8"/>
      <c r="AU1917" s="8"/>
      <c r="AV1917" s="8"/>
      <c r="AW1917" s="8"/>
      <c r="AX1917" s="4" t="s">
        <v>38</v>
      </c>
      <c r="AY1917" s="5" t="s">
        <v>8392</v>
      </c>
      <c r="AZ1917" s="5" t="s">
        <v>38</v>
      </c>
      <c r="BA1917" s="12"/>
      <c r="BB1917" s="12"/>
      <c r="BC1917" s="12"/>
      <c r="BD1917" s="11">
        <v>0</v>
      </c>
      <c r="BE1917" s="11">
        <v>0</v>
      </c>
    </row>
    <row x14ac:dyDescent="0.25" r="1918" customHeight="1" ht="17.25">
      <c r="A1918" s="11">
        <v>17825574</v>
      </c>
      <c r="B1918" s="4" t="s">
        <v>8393</v>
      </c>
      <c r="C1918" s="5" t="s">
        <v>8387</v>
      </c>
      <c r="D1918" s="5" t="s">
        <v>8388</v>
      </c>
      <c r="E1918" s="12"/>
      <c r="F1918" s="13">
        <f>"9562476626"</f>
      </c>
      <c r="G1918" s="13">
        <f>"9789562476621"</f>
      </c>
      <c r="H1918" s="11">
        <v>0</v>
      </c>
      <c r="I1918" s="14">
        <v>4.3</v>
      </c>
      <c r="J1918" s="7" t="s">
        <v>3469</v>
      </c>
      <c r="K1918" s="5" t="s">
        <v>60</v>
      </c>
      <c r="L1918" s="11">
        <v>287</v>
      </c>
      <c r="M1918" s="11">
        <v>2012</v>
      </c>
      <c r="N1918" s="11">
        <v>2012</v>
      </c>
      <c r="O1918" s="15"/>
      <c r="P1918" s="8">
        <v>43976</v>
      </c>
      <c r="Q1918" s="8"/>
      <c r="R1918" s="8"/>
      <c r="S1918" s="8"/>
      <c r="T1918" s="8"/>
      <c r="U1918" s="8"/>
      <c r="V1918" s="8"/>
      <c r="W1918" s="8"/>
      <c r="X1918" s="8"/>
      <c r="Y1918" s="8"/>
      <c r="Z1918" s="8"/>
      <c r="AA1918" s="8"/>
      <c r="AB1918" s="8"/>
      <c r="AC1918" s="8"/>
      <c r="AD1918" s="8"/>
      <c r="AE1918" s="8"/>
      <c r="AF1918" s="8"/>
      <c r="AG1918" s="8"/>
      <c r="AH1918" s="8"/>
      <c r="AI1918" s="8"/>
      <c r="AJ1918" s="8"/>
      <c r="AK1918" s="8"/>
      <c r="AL1918" s="8"/>
      <c r="AM1918" s="8"/>
      <c r="AN1918" s="8"/>
      <c r="AO1918" s="8"/>
      <c r="AP1918" s="8"/>
      <c r="AQ1918" s="8"/>
      <c r="AR1918" s="8"/>
      <c r="AS1918" s="8"/>
      <c r="AT1918" s="8"/>
      <c r="AU1918" s="8"/>
      <c r="AV1918" s="8"/>
      <c r="AW1918" s="8"/>
      <c r="AX1918" s="4" t="s">
        <v>38</v>
      </c>
      <c r="AY1918" s="5" t="s">
        <v>8394</v>
      </c>
      <c r="AZ1918" s="5" t="s">
        <v>38</v>
      </c>
      <c r="BA1918" s="12"/>
      <c r="BB1918" s="12"/>
      <c r="BC1918" s="12"/>
      <c r="BD1918" s="11">
        <v>0</v>
      </c>
      <c r="BE1918" s="11">
        <v>0</v>
      </c>
    </row>
    <row x14ac:dyDescent="0.25" r="1919" customHeight="1" ht="17.25">
      <c r="A1919" s="11">
        <v>17563146</v>
      </c>
      <c r="B1919" s="4" t="s">
        <v>8395</v>
      </c>
      <c r="C1919" s="5" t="s">
        <v>8396</v>
      </c>
      <c r="D1919" s="5" t="s">
        <v>8397</v>
      </c>
      <c r="E1919" s="12"/>
      <c r="F1919" s="13">
        <f>"9872074054"</f>
      </c>
      <c r="G1919" s="13">
        <f>"9789872074050"</f>
      </c>
      <c r="H1919" s="11">
        <v>0</v>
      </c>
      <c r="I1919" s="14">
        <v>4.2</v>
      </c>
      <c r="J1919" s="7" t="s">
        <v>8398</v>
      </c>
      <c r="K1919" s="5" t="s">
        <v>60</v>
      </c>
      <c r="L1919" s="11">
        <v>182</v>
      </c>
      <c r="M1919" s="11">
        <v>2004</v>
      </c>
      <c r="N1919" s="11">
        <v>1964</v>
      </c>
      <c r="O1919" s="15"/>
      <c r="P1919" s="8">
        <v>43976</v>
      </c>
      <c r="Q1919" s="8"/>
      <c r="R1919" s="8"/>
      <c r="S1919" s="8"/>
      <c r="T1919" s="8"/>
      <c r="U1919" s="8"/>
      <c r="V1919" s="8"/>
      <c r="W1919" s="8"/>
      <c r="X1919" s="8"/>
      <c r="Y1919" s="8"/>
      <c r="Z1919" s="8"/>
      <c r="AA1919" s="8"/>
      <c r="AB1919" s="8"/>
      <c r="AC1919" s="8"/>
      <c r="AD1919" s="8"/>
      <c r="AE1919" s="8"/>
      <c r="AF1919" s="8"/>
      <c r="AG1919" s="8"/>
      <c r="AH1919" s="8"/>
      <c r="AI1919" s="8"/>
      <c r="AJ1919" s="8"/>
      <c r="AK1919" s="8"/>
      <c r="AL1919" s="8"/>
      <c r="AM1919" s="8"/>
      <c r="AN1919" s="8"/>
      <c r="AO1919" s="8"/>
      <c r="AP1919" s="8"/>
      <c r="AQ1919" s="8"/>
      <c r="AR1919" s="8"/>
      <c r="AS1919" s="8"/>
      <c r="AT1919" s="8"/>
      <c r="AU1919" s="8"/>
      <c r="AV1919" s="8"/>
      <c r="AW1919" s="8"/>
      <c r="AX1919" s="4" t="s">
        <v>38</v>
      </c>
      <c r="AY1919" s="5" t="s">
        <v>8399</v>
      </c>
      <c r="AZ1919" s="5" t="s">
        <v>38</v>
      </c>
      <c r="BA1919" s="12"/>
      <c r="BB1919" s="12"/>
      <c r="BC1919" s="12"/>
      <c r="BD1919" s="11">
        <v>0</v>
      </c>
      <c r="BE1919" s="11">
        <v>0</v>
      </c>
    </row>
    <row x14ac:dyDescent="0.25" r="1920" customHeight="1" ht="17.25">
      <c r="A1920" s="11">
        <v>257887</v>
      </c>
      <c r="B1920" s="4" t="s">
        <v>8400</v>
      </c>
      <c r="C1920" s="5" t="s">
        <v>8401</v>
      </c>
      <c r="D1920" s="5" t="s">
        <v>8402</v>
      </c>
      <c r="E1920" s="12"/>
      <c r="F1920" s="13">
        <f>"8437618630"</f>
      </c>
      <c r="G1920" s="13">
        <f>"9788437618630"</f>
      </c>
      <c r="H1920" s="11">
        <v>0</v>
      </c>
      <c r="I1920" s="14">
        <v>3.77</v>
      </c>
      <c r="J1920" s="7" t="s">
        <v>3460</v>
      </c>
      <c r="K1920" s="5" t="s">
        <v>60</v>
      </c>
      <c r="L1920" s="11">
        <v>320</v>
      </c>
      <c r="M1920" s="11">
        <v>2005</v>
      </c>
      <c r="N1920" s="11">
        <v>1976</v>
      </c>
      <c r="O1920" s="15"/>
      <c r="P1920" s="8">
        <v>43976</v>
      </c>
      <c r="Q1920" s="8"/>
      <c r="R1920" s="8"/>
      <c r="S1920" s="8"/>
      <c r="T1920" s="8"/>
      <c r="U1920" s="8"/>
      <c r="V1920" s="8"/>
      <c r="W1920" s="8"/>
      <c r="X1920" s="8"/>
      <c r="Y1920" s="8"/>
      <c r="Z1920" s="8"/>
      <c r="AA1920" s="8"/>
      <c r="AB1920" s="8"/>
      <c r="AC1920" s="8"/>
      <c r="AD1920" s="8"/>
      <c r="AE1920" s="8"/>
      <c r="AF1920" s="8"/>
      <c r="AG1920" s="8"/>
      <c r="AH1920" s="8"/>
      <c r="AI1920" s="8"/>
      <c r="AJ1920" s="8"/>
      <c r="AK1920" s="8"/>
      <c r="AL1920" s="8"/>
      <c r="AM1920" s="8"/>
      <c r="AN1920" s="8"/>
      <c r="AO1920" s="8"/>
      <c r="AP1920" s="8"/>
      <c r="AQ1920" s="8"/>
      <c r="AR1920" s="8"/>
      <c r="AS1920" s="8"/>
      <c r="AT1920" s="8"/>
      <c r="AU1920" s="8"/>
      <c r="AV1920" s="8"/>
      <c r="AW1920" s="8"/>
      <c r="AX1920" s="4" t="s">
        <v>38</v>
      </c>
      <c r="AY1920" s="5" t="s">
        <v>8403</v>
      </c>
      <c r="AZ1920" s="5" t="s">
        <v>38</v>
      </c>
      <c r="BA1920" s="12"/>
      <c r="BB1920" s="12"/>
      <c r="BC1920" s="12"/>
      <c r="BD1920" s="11">
        <v>0</v>
      </c>
      <c r="BE1920" s="11">
        <v>0</v>
      </c>
    </row>
    <row x14ac:dyDescent="0.25" r="1921" customHeight="1" ht="17.25">
      <c r="A1921" s="11">
        <v>21407766</v>
      </c>
      <c r="B1921" s="4" t="s">
        <v>8404</v>
      </c>
      <c r="C1921" s="5" t="s">
        <v>4342</v>
      </c>
      <c r="D1921" s="5" t="s">
        <v>4343</v>
      </c>
      <c r="E1921" s="12"/>
      <c r="F1921" s="13">
        <f>"8476580207"</f>
      </c>
      <c r="G1921" s="13">
        <f>"9788476580202"</f>
      </c>
      <c r="H1921" s="11">
        <v>0</v>
      </c>
      <c r="I1921" s="14">
        <v>3.83</v>
      </c>
      <c r="J1921" s="7" t="s">
        <v>8405</v>
      </c>
      <c r="K1921" s="5" t="s">
        <v>60</v>
      </c>
      <c r="L1921" s="11">
        <v>128</v>
      </c>
      <c r="M1921" s="11">
        <v>1986</v>
      </c>
      <c r="N1921" s="11">
        <v>1986</v>
      </c>
      <c r="O1921" s="15"/>
      <c r="P1921" s="8">
        <v>43976</v>
      </c>
      <c r="Q1921" s="8"/>
      <c r="R1921" s="8"/>
      <c r="S1921" s="8"/>
      <c r="T1921" s="8"/>
      <c r="U1921" s="8"/>
      <c r="V1921" s="8"/>
      <c r="W1921" s="8"/>
      <c r="X1921" s="8"/>
      <c r="Y1921" s="8"/>
      <c r="Z1921" s="8"/>
      <c r="AA1921" s="8"/>
      <c r="AB1921" s="8"/>
      <c r="AC1921" s="8"/>
      <c r="AD1921" s="8"/>
      <c r="AE1921" s="8"/>
      <c r="AF1921" s="8"/>
      <c r="AG1921" s="8"/>
      <c r="AH1921" s="8"/>
      <c r="AI1921" s="8"/>
      <c r="AJ1921" s="8"/>
      <c r="AK1921" s="8"/>
      <c r="AL1921" s="8"/>
      <c r="AM1921" s="8"/>
      <c r="AN1921" s="8"/>
      <c r="AO1921" s="8"/>
      <c r="AP1921" s="8"/>
      <c r="AQ1921" s="8"/>
      <c r="AR1921" s="8"/>
      <c r="AS1921" s="8"/>
      <c r="AT1921" s="8"/>
      <c r="AU1921" s="8"/>
      <c r="AV1921" s="8"/>
      <c r="AW1921" s="8"/>
      <c r="AX1921" s="4" t="s">
        <v>38</v>
      </c>
      <c r="AY1921" s="5" t="s">
        <v>8406</v>
      </c>
      <c r="AZ1921" s="5" t="s">
        <v>38</v>
      </c>
      <c r="BA1921" s="12"/>
      <c r="BB1921" s="12"/>
      <c r="BC1921" s="12"/>
      <c r="BD1921" s="11">
        <v>0</v>
      </c>
      <c r="BE1921" s="11">
        <v>0</v>
      </c>
    </row>
    <row x14ac:dyDescent="0.25" r="1922" customHeight="1" ht="17.25">
      <c r="A1922" s="11">
        <v>200299</v>
      </c>
      <c r="B1922" s="4" t="s">
        <v>8407</v>
      </c>
      <c r="C1922" s="5" t="s">
        <v>8408</v>
      </c>
      <c r="D1922" s="5" t="s">
        <v>8409</v>
      </c>
      <c r="E1922" s="12"/>
      <c r="F1922" s="13">
        <f>"9871136218"</f>
      </c>
      <c r="G1922" s="13">
        <f>"9789871136216"</f>
      </c>
      <c r="H1922" s="11">
        <v>0</v>
      </c>
      <c r="I1922" s="14">
        <v>3.6</v>
      </c>
      <c r="J1922" s="7" t="s">
        <v>8410</v>
      </c>
      <c r="K1922" s="5" t="s">
        <v>60</v>
      </c>
      <c r="L1922" s="11">
        <v>172</v>
      </c>
      <c r="M1922" s="11">
        <v>2004</v>
      </c>
      <c r="N1922" s="11">
        <v>1926</v>
      </c>
      <c r="O1922" s="15"/>
      <c r="P1922" s="8">
        <v>43976</v>
      </c>
      <c r="Q1922" s="8"/>
      <c r="R1922" s="8"/>
      <c r="S1922" s="8"/>
      <c r="T1922" s="8"/>
      <c r="U1922" s="8"/>
      <c r="V1922" s="8"/>
      <c r="W1922" s="8"/>
      <c r="X1922" s="8"/>
      <c r="Y1922" s="8"/>
      <c r="Z1922" s="8"/>
      <c r="AA1922" s="8"/>
      <c r="AB1922" s="8"/>
      <c r="AC1922" s="8"/>
      <c r="AD1922" s="8"/>
      <c r="AE1922" s="8"/>
      <c r="AF1922" s="8"/>
      <c r="AG1922" s="8"/>
      <c r="AH1922" s="8"/>
      <c r="AI1922" s="8"/>
      <c r="AJ1922" s="8"/>
      <c r="AK1922" s="8"/>
      <c r="AL1922" s="8"/>
      <c r="AM1922" s="8"/>
      <c r="AN1922" s="8"/>
      <c r="AO1922" s="8"/>
      <c r="AP1922" s="8"/>
      <c r="AQ1922" s="8"/>
      <c r="AR1922" s="8"/>
      <c r="AS1922" s="8"/>
      <c r="AT1922" s="8"/>
      <c r="AU1922" s="8"/>
      <c r="AV1922" s="8"/>
      <c r="AW1922" s="8"/>
      <c r="AX1922" s="4" t="s">
        <v>38</v>
      </c>
      <c r="AY1922" s="5" t="s">
        <v>8411</v>
      </c>
      <c r="AZ1922" s="5" t="s">
        <v>38</v>
      </c>
      <c r="BA1922" s="12"/>
      <c r="BB1922" s="12"/>
      <c r="BC1922" s="12"/>
      <c r="BD1922" s="11">
        <v>0</v>
      </c>
      <c r="BE1922" s="11">
        <v>0</v>
      </c>
    </row>
    <row x14ac:dyDescent="0.25" r="1923" customHeight="1" ht="17.25">
      <c r="A1923" s="11">
        <v>1254328</v>
      </c>
      <c r="B1923" s="4" t="s">
        <v>8412</v>
      </c>
      <c r="C1923" s="5" t="s">
        <v>6788</v>
      </c>
      <c r="D1923" s="5" t="s">
        <v>6789</v>
      </c>
      <c r="E1923" s="12"/>
      <c r="F1923" s="13">
        <f>"8476581009"</f>
      </c>
      <c r="G1923" s="13">
        <f>"9788476581001"</f>
      </c>
      <c r="H1923" s="11">
        <v>0</v>
      </c>
      <c r="I1923" s="14">
        <v>3.97</v>
      </c>
      <c r="J1923" s="7" t="s">
        <v>8405</v>
      </c>
      <c r="K1923" s="5" t="s">
        <v>60</v>
      </c>
      <c r="L1923" s="11">
        <v>168</v>
      </c>
      <c r="M1923" s="11">
        <v>1988</v>
      </c>
      <c r="N1923" s="11">
        <v>1958</v>
      </c>
      <c r="O1923" s="15"/>
      <c r="P1923" s="8">
        <v>43976</v>
      </c>
      <c r="Q1923" s="8"/>
      <c r="R1923" s="8"/>
      <c r="S1923" s="8"/>
      <c r="T1923" s="8"/>
      <c r="U1923" s="8"/>
      <c r="V1923" s="8"/>
      <c r="W1923" s="8"/>
      <c r="X1923" s="8"/>
      <c r="Y1923" s="8"/>
      <c r="Z1923" s="8"/>
      <c r="AA1923" s="8"/>
      <c r="AB1923" s="8"/>
      <c r="AC1923" s="8"/>
      <c r="AD1923" s="8"/>
      <c r="AE1923" s="8"/>
      <c r="AF1923" s="8"/>
      <c r="AG1923" s="8"/>
      <c r="AH1923" s="8"/>
      <c r="AI1923" s="8"/>
      <c r="AJ1923" s="8"/>
      <c r="AK1923" s="8"/>
      <c r="AL1923" s="8"/>
      <c r="AM1923" s="8"/>
      <c r="AN1923" s="8"/>
      <c r="AO1923" s="8"/>
      <c r="AP1923" s="8"/>
      <c r="AQ1923" s="8"/>
      <c r="AR1923" s="8"/>
      <c r="AS1923" s="8"/>
      <c r="AT1923" s="8"/>
      <c r="AU1923" s="8"/>
      <c r="AV1923" s="8"/>
      <c r="AW1923" s="8"/>
      <c r="AX1923" s="4" t="s">
        <v>38</v>
      </c>
      <c r="AY1923" s="5" t="s">
        <v>8413</v>
      </c>
      <c r="AZ1923" s="5" t="s">
        <v>38</v>
      </c>
      <c r="BA1923" s="12"/>
      <c r="BB1923" s="12"/>
      <c r="BC1923" s="12"/>
      <c r="BD1923" s="11">
        <v>0</v>
      </c>
      <c r="BE1923" s="11">
        <v>0</v>
      </c>
    </row>
    <row x14ac:dyDescent="0.25" r="1924" customHeight="1" ht="17.25">
      <c r="A1924" s="11">
        <v>4244302</v>
      </c>
      <c r="B1924" s="4" t="s">
        <v>8414</v>
      </c>
      <c r="C1924" s="5" t="s">
        <v>8415</v>
      </c>
      <c r="D1924" s="5" t="s">
        <v>8416</v>
      </c>
      <c r="E1924" s="12"/>
      <c r="F1924" s="13">
        <f>"9507864644"</f>
      </c>
      <c r="G1924" s="13">
        <f>"9789507864643"</f>
      </c>
      <c r="H1924" s="11">
        <v>0</v>
      </c>
      <c r="I1924" s="14">
        <v>3.81</v>
      </c>
      <c r="J1924" s="7" t="s">
        <v>8417</v>
      </c>
      <c r="K1924" s="5" t="s">
        <v>60</v>
      </c>
      <c r="L1924" s="11">
        <v>194</v>
      </c>
      <c r="M1924" s="11">
        <v>2005</v>
      </c>
      <c r="N1924" s="11">
        <v>1996</v>
      </c>
      <c r="O1924" s="15"/>
      <c r="P1924" s="8">
        <v>43976</v>
      </c>
      <c r="Q1924" s="8"/>
      <c r="R1924" s="8"/>
      <c r="S1924" s="8"/>
      <c r="T1924" s="8"/>
      <c r="U1924" s="8"/>
      <c r="V1924" s="8"/>
      <c r="W1924" s="8"/>
      <c r="X1924" s="8"/>
      <c r="Y1924" s="8"/>
      <c r="Z1924" s="8"/>
      <c r="AA1924" s="8"/>
      <c r="AB1924" s="8"/>
      <c r="AC1924" s="8"/>
      <c r="AD1924" s="8"/>
      <c r="AE1924" s="8"/>
      <c r="AF1924" s="8"/>
      <c r="AG1924" s="8"/>
      <c r="AH1924" s="8"/>
      <c r="AI1924" s="8"/>
      <c r="AJ1924" s="8"/>
      <c r="AK1924" s="8"/>
      <c r="AL1924" s="8"/>
      <c r="AM1924" s="8"/>
      <c r="AN1924" s="8"/>
      <c r="AO1924" s="8"/>
      <c r="AP1924" s="8"/>
      <c r="AQ1924" s="8"/>
      <c r="AR1924" s="8"/>
      <c r="AS1924" s="8"/>
      <c r="AT1924" s="8"/>
      <c r="AU1924" s="8"/>
      <c r="AV1924" s="8"/>
      <c r="AW1924" s="8"/>
      <c r="AX1924" s="4" t="s">
        <v>38</v>
      </c>
      <c r="AY1924" s="5" t="s">
        <v>8418</v>
      </c>
      <c r="AZ1924" s="5" t="s">
        <v>38</v>
      </c>
      <c r="BA1924" s="12"/>
      <c r="BB1924" s="12"/>
      <c r="BC1924" s="12"/>
      <c r="BD1924" s="11">
        <v>0</v>
      </c>
      <c r="BE1924" s="11">
        <v>0</v>
      </c>
    </row>
    <row x14ac:dyDescent="0.25" r="1925" customHeight="1" ht="17.25">
      <c r="A1925" s="11">
        <v>1646</v>
      </c>
      <c r="B1925" s="4" t="s">
        <v>8419</v>
      </c>
      <c r="C1925" s="5" t="s">
        <v>3268</v>
      </c>
      <c r="D1925" s="5" t="s">
        <v>3269</v>
      </c>
      <c r="E1925" s="12"/>
      <c r="F1925" s="13">
        <f>"8433924710"</f>
      </c>
      <c r="G1925" s="13">
        <f>"9788433924711"</f>
      </c>
      <c r="H1925" s="11">
        <v>0</v>
      </c>
      <c r="I1925" s="14">
        <v>3.98</v>
      </c>
      <c r="J1925" s="7" t="s">
        <v>1710</v>
      </c>
      <c r="K1925" s="5" t="s">
        <v>60</v>
      </c>
      <c r="L1925" s="11">
        <v>224</v>
      </c>
      <c r="M1925" s="11">
        <v>2008</v>
      </c>
      <c r="N1925" s="11">
        <v>1980</v>
      </c>
      <c r="O1925" s="15"/>
      <c r="P1925" s="8">
        <v>43976</v>
      </c>
      <c r="Q1925" s="8"/>
      <c r="R1925" s="8"/>
      <c r="S1925" s="8"/>
      <c r="T1925" s="8"/>
      <c r="U1925" s="8"/>
      <c r="V1925" s="8"/>
      <c r="W1925" s="8"/>
      <c r="X1925" s="8"/>
      <c r="Y1925" s="8"/>
      <c r="Z1925" s="8"/>
      <c r="AA1925" s="8"/>
      <c r="AB1925" s="8"/>
      <c r="AC1925" s="8"/>
      <c r="AD1925" s="8"/>
      <c r="AE1925" s="8"/>
      <c r="AF1925" s="8"/>
      <c r="AG1925" s="8"/>
      <c r="AH1925" s="8"/>
      <c r="AI1925" s="8"/>
      <c r="AJ1925" s="8"/>
      <c r="AK1925" s="8"/>
      <c r="AL1925" s="8"/>
      <c r="AM1925" s="8"/>
      <c r="AN1925" s="8"/>
      <c r="AO1925" s="8"/>
      <c r="AP1925" s="8"/>
      <c r="AQ1925" s="8"/>
      <c r="AR1925" s="8"/>
      <c r="AS1925" s="8"/>
      <c r="AT1925" s="8"/>
      <c r="AU1925" s="8"/>
      <c r="AV1925" s="8"/>
      <c r="AW1925" s="8"/>
      <c r="AX1925" s="4" t="s">
        <v>38</v>
      </c>
      <c r="AY1925" s="5" t="s">
        <v>8420</v>
      </c>
      <c r="AZ1925" s="5" t="s">
        <v>38</v>
      </c>
      <c r="BA1925" s="12"/>
      <c r="BB1925" s="12"/>
      <c r="BC1925" s="12"/>
      <c r="BD1925" s="11">
        <v>0</v>
      </c>
      <c r="BE1925" s="11">
        <v>0</v>
      </c>
    </row>
    <row x14ac:dyDescent="0.25" r="1926" customHeight="1" ht="17.25">
      <c r="A1926" s="11">
        <v>23551596</v>
      </c>
      <c r="B1926" s="4" t="s">
        <v>8421</v>
      </c>
      <c r="C1926" s="5" t="s">
        <v>8422</v>
      </c>
      <c r="D1926" s="5" t="s">
        <v>8423</v>
      </c>
      <c r="E1926" s="12"/>
      <c r="F1926" s="13">
        <f>"3865272347"</f>
      </c>
      <c r="G1926" s="13">
        <f>""</f>
      </c>
      <c r="H1926" s="11">
        <v>0</v>
      </c>
      <c r="I1926" s="14">
        <v>3.33</v>
      </c>
      <c r="J1926" s="7" t="s">
        <v>8424</v>
      </c>
      <c r="K1926" s="1"/>
      <c r="L1926" s="11">
        <v>310</v>
      </c>
      <c r="M1926" s="11">
        <v>2006</v>
      </c>
      <c r="N1926" s="11">
        <v>2006</v>
      </c>
      <c r="O1926" s="15"/>
      <c r="P1926" s="8">
        <v>43976</v>
      </c>
      <c r="Q1926" s="8"/>
      <c r="R1926" s="8"/>
      <c r="S1926" s="8"/>
      <c r="T1926" s="8"/>
      <c r="U1926" s="8"/>
      <c r="V1926" s="8"/>
      <c r="W1926" s="8"/>
      <c r="X1926" s="8"/>
      <c r="Y1926" s="8"/>
      <c r="Z1926" s="8"/>
      <c r="AA1926" s="8"/>
      <c r="AB1926" s="8"/>
      <c r="AC1926" s="8"/>
      <c r="AD1926" s="8"/>
      <c r="AE1926" s="8"/>
      <c r="AF1926" s="8"/>
      <c r="AG1926" s="8"/>
      <c r="AH1926" s="8"/>
      <c r="AI1926" s="8"/>
      <c r="AJ1926" s="8"/>
      <c r="AK1926" s="8"/>
      <c r="AL1926" s="8"/>
      <c r="AM1926" s="8"/>
      <c r="AN1926" s="8"/>
      <c r="AO1926" s="8"/>
      <c r="AP1926" s="8"/>
      <c r="AQ1926" s="8"/>
      <c r="AR1926" s="8"/>
      <c r="AS1926" s="8"/>
      <c r="AT1926" s="8"/>
      <c r="AU1926" s="8"/>
      <c r="AV1926" s="8"/>
      <c r="AW1926" s="8"/>
      <c r="AX1926" s="4" t="s">
        <v>38</v>
      </c>
      <c r="AY1926" s="5" t="s">
        <v>8425</v>
      </c>
      <c r="AZ1926" s="5" t="s">
        <v>38</v>
      </c>
      <c r="BA1926" s="12"/>
      <c r="BB1926" s="12"/>
      <c r="BC1926" s="12"/>
      <c r="BD1926" s="11">
        <v>0</v>
      </c>
      <c r="BE1926" s="11">
        <v>0</v>
      </c>
    </row>
    <row x14ac:dyDescent="0.25" r="1927" customHeight="1" ht="17.25">
      <c r="A1927" s="11">
        <v>13330690</v>
      </c>
      <c r="B1927" s="4" t="s">
        <v>8426</v>
      </c>
      <c r="C1927" s="5" t="s">
        <v>8427</v>
      </c>
      <c r="D1927" s="5" t="s">
        <v>8428</v>
      </c>
      <c r="E1927" s="12"/>
      <c r="F1927" s="13">
        <f>"0345802446"</f>
      </c>
      <c r="G1927" s="13">
        <f>"9780345802446"</f>
      </c>
      <c r="H1927" s="11">
        <v>0</v>
      </c>
      <c r="I1927" s="14">
        <v>3.87</v>
      </c>
      <c r="J1927" s="7" t="s">
        <v>6010</v>
      </c>
      <c r="K1927" s="5" t="s">
        <v>60</v>
      </c>
      <c r="L1927" s="11">
        <v>592</v>
      </c>
      <c r="M1927" s="11">
        <v>2012</v>
      </c>
      <c r="N1927" s="11">
        <v>2011</v>
      </c>
      <c r="O1927" s="15"/>
      <c r="P1927" s="8">
        <v>43976</v>
      </c>
      <c r="Q1927" s="8"/>
      <c r="R1927" s="8"/>
      <c r="S1927" s="8"/>
      <c r="T1927" s="8"/>
      <c r="U1927" s="8"/>
      <c r="V1927" s="8"/>
      <c r="W1927" s="8"/>
      <c r="X1927" s="8"/>
      <c r="Y1927" s="8"/>
      <c r="Z1927" s="8"/>
      <c r="AA1927" s="8"/>
      <c r="AB1927" s="8"/>
      <c r="AC1927" s="8"/>
      <c r="AD1927" s="8"/>
      <c r="AE1927" s="8"/>
      <c r="AF1927" s="8"/>
      <c r="AG1927" s="8"/>
      <c r="AH1927" s="8"/>
      <c r="AI1927" s="8"/>
      <c r="AJ1927" s="8"/>
      <c r="AK1927" s="8"/>
      <c r="AL1927" s="8"/>
      <c r="AM1927" s="8"/>
      <c r="AN1927" s="8"/>
      <c r="AO1927" s="8"/>
      <c r="AP1927" s="8"/>
      <c r="AQ1927" s="8"/>
      <c r="AR1927" s="8"/>
      <c r="AS1927" s="8"/>
      <c r="AT1927" s="8"/>
      <c r="AU1927" s="8"/>
      <c r="AV1927" s="8"/>
      <c r="AW1927" s="8"/>
      <c r="AX1927" s="4" t="s">
        <v>38</v>
      </c>
      <c r="AY1927" s="5" t="s">
        <v>8429</v>
      </c>
      <c r="AZ1927" s="5" t="s">
        <v>38</v>
      </c>
      <c r="BA1927" s="12"/>
      <c r="BB1927" s="12"/>
      <c r="BC1927" s="12"/>
      <c r="BD1927" s="11">
        <v>0</v>
      </c>
      <c r="BE1927" s="11">
        <v>0</v>
      </c>
    </row>
    <row x14ac:dyDescent="0.25" r="1928" customHeight="1" ht="17.25">
      <c r="A1928" s="11">
        <v>32588635</v>
      </c>
      <c r="B1928" s="4" t="s">
        <v>8430</v>
      </c>
      <c r="C1928" s="5" t="s">
        <v>8431</v>
      </c>
      <c r="D1928" s="5" t="s">
        <v>8432</v>
      </c>
      <c r="E1928" s="12"/>
      <c r="F1928" s="13">
        <f>""</f>
      </c>
      <c r="G1928" s="13">
        <f>""</f>
      </c>
      <c r="H1928" s="11">
        <v>0</v>
      </c>
      <c r="I1928" s="11">
        <v>0</v>
      </c>
      <c r="J1928" s="7" t="s">
        <v>8433</v>
      </c>
      <c r="K1928" s="5" t="s">
        <v>90</v>
      </c>
      <c r="L1928" s="11">
        <v>274</v>
      </c>
      <c r="M1928" s="11">
        <v>2013</v>
      </c>
      <c r="N1928" s="16"/>
      <c r="O1928" s="15"/>
      <c r="P1928" s="8">
        <v>43976</v>
      </c>
      <c r="Q1928" s="8"/>
      <c r="R1928" s="8"/>
      <c r="S1928" s="8"/>
      <c r="T1928" s="8"/>
      <c r="U1928" s="8"/>
      <c r="V1928" s="8"/>
      <c r="W1928" s="8"/>
      <c r="X1928" s="8"/>
      <c r="Y1928" s="8"/>
      <c r="Z1928" s="8"/>
      <c r="AA1928" s="8"/>
      <c r="AB1928" s="8"/>
      <c r="AC1928" s="8"/>
      <c r="AD1928" s="8"/>
      <c r="AE1928" s="8"/>
      <c r="AF1928" s="8"/>
      <c r="AG1928" s="8"/>
      <c r="AH1928" s="8"/>
      <c r="AI1928" s="8"/>
      <c r="AJ1928" s="8"/>
      <c r="AK1928" s="8"/>
      <c r="AL1928" s="8"/>
      <c r="AM1928" s="8"/>
      <c r="AN1928" s="8"/>
      <c r="AO1928" s="8"/>
      <c r="AP1928" s="8"/>
      <c r="AQ1928" s="8"/>
      <c r="AR1928" s="8"/>
      <c r="AS1928" s="8"/>
      <c r="AT1928" s="8"/>
      <c r="AU1928" s="8"/>
      <c r="AV1928" s="8"/>
      <c r="AW1928" s="8"/>
      <c r="AX1928" s="4" t="s">
        <v>38</v>
      </c>
      <c r="AY1928" s="5" t="s">
        <v>8434</v>
      </c>
      <c r="AZ1928" s="5" t="s">
        <v>38</v>
      </c>
      <c r="BA1928" s="12"/>
      <c r="BB1928" s="12"/>
      <c r="BC1928" s="12"/>
      <c r="BD1928" s="11">
        <v>0</v>
      </c>
      <c r="BE1928" s="11">
        <v>0</v>
      </c>
    </row>
    <row x14ac:dyDescent="0.25" r="1929" customHeight="1" ht="17.25">
      <c r="A1929" s="11">
        <v>40224302</v>
      </c>
      <c r="B1929" s="4" t="s">
        <v>8435</v>
      </c>
      <c r="C1929" s="5" t="s">
        <v>8436</v>
      </c>
      <c r="D1929" s="5" t="s">
        <v>8437</v>
      </c>
      <c r="E1929" s="12"/>
      <c r="F1929" s="13">
        <f>"841741858X"</f>
      </c>
      <c r="G1929" s="13">
        <f>"9788417418588"</f>
      </c>
      <c r="H1929" s="11">
        <v>0</v>
      </c>
      <c r="I1929" s="14">
        <v>4.16</v>
      </c>
      <c r="J1929" s="7" t="s">
        <v>8438</v>
      </c>
      <c r="K1929" s="5" t="s">
        <v>90</v>
      </c>
      <c r="L1929" s="11">
        <v>226</v>
      </c>
      <c r="M1929" s="11">
        <v>2018</v>
      </c>
      <c r="N1929" s="16"/>
      <c r="O1929" s="15"/>
      <c r="P1929" s="8">
        <v>43976</v>
      </c>
      <c r="Q1929" s="8"/>
      <c r="R1929" s="8"/>
      <c r="S1929" s="8"/>
      <c r="T1929" s="8"/>
      <c r="U1929" s="8"/>
      <c r="V1929" s="8"/>
      <c r="W1929" s="8"/>
      <c r="X1929" s="8"/>
      <c r="Y1929" s="8"/>
      <c r="Z1929" s="8"/>
      <c r="AA1929" s="8"/>
      <c r="AB1929" s="8"/>
      <c r="AC1929" s="8"/>
      <c r="AD1929" s="8"/>
      <c r="AE1929" s="8"/>
      <c r="AF1929" s="8"/>
      <c r="AG1929" s="8"/>
      <c r="AH1929" s="8"/>
      <c r="AI1929" s="8"/>
      <c r="AJ1929" s="8"/>
      <c r="AK1929" s="8"/>
      <c r="AL1929" s="8"/>
      <c r="AM1929" s="8"/>
      <c r="AN1929" s="8"/>
      <c r="AO1929" s="8"/>
      <c r="AP1929" s="8"/>
      <c r="AQ1929" s="8"/>
      <c r="AR1929" s="8"/>
      <c r="AS1929" s="8"/>
      <c r="AT1929" s="8"/>
      <c r="AU1929" s="8"/>
      <c r="AV1929" s="8"/>
      <c r="AW1929" s="8"/>
      <c r="AX1929" s="4" t="s">
        <v>38</v>
      </c>
      <c r="AY1929" s="5" t="s">
        <v>8439</v>
      </c>
      <c r="AZ1929" s="5" t="s">
        <v>38</v>
      </c>
      <c r="BA1929" s="12"/>
      <c r="BB1929" s="12"/>
      <c r="BC1929" s="12"/>
      <c r="BD1929" s="11">
        <v>0</v>
      </c>
      <c r="BE1929" s="11">
        <v>0</v>
      </c>
    </row>
    <row x14ac:dyDescent="0.25" r="1930" customHeight="1" ht="17.25">
      <c r="A1930" s="11">
        <v>6885122</v>
      </c>
      <c r="B1930" s="4" t="s">
        <v>8440</v>
      </c>
      <c r="C1930" s="5" t="s">
        <v>4328</v>
      </c>
      <c r="D1930" s="5" t="s">
        <v>4329</v>
      </c>
      <c r="E1930" s="12"/>
      <c r="F1930" s="13">
        <f>"9682316855"</f>
      </c>
      <c r="G1930" s="13">
        <f>"9789682316852"</f>
      </c>
      <c r="H1930" s="11">
        <v>0</v>
      </c>
      <c r="I1930" s="14">
        <v>3.78</v>
      </c>
      <c r="J1930" s="7" t="s">
        <v>8441</v>
      </c>
      <c r="K1930" s="5" t="s">
        <v>60</v>
      </c>
      <c r="L1930" s="11">
        <v>187</v>
      </c>
      <c r="M1930" s="11">
        <v>2005</v>
      </c>
      <c r="N1930" s="11">
        <v>1970</v>
      </c>
      <c r="O1930" s="15"/>
      <c r="P1930" s="8">
        <v>43972</v>
      </c>
      <c r="Q1930" s="8"/>
      <c r="R1930" s="8"/>
      <c r="S1930" s="8"/>
      <c r="T1930" s="8"/>
      <c r="U1930" s="8"/>
      <c r="V1930" s="8"/>
      <c r="W1930" s="8"/>
      <c r="X1930" s="8"/>
      <c r="Y1930" s="8"/>
      <c r="Z1930" s="8"/>
      <c r="AA1930" s="8"/>
      <c r="AB1930" s="8"/>
      <c r="AC1930" s="8"/>
      <c r="AD1930" s="8"/>
      <c r="AE1930" s="8"/>
      <c r="AF1930" s="8"/>
      <c r="AG1930" s="8"/>
      <c r="AH1930" s="8"/>
      <c r="AI1930" s="8"/>
      <c r="AJ1930" s="8"/>
      <c r="AK1930" s="8"/>
      <c r="AL1930" s="8"/>
      <c r="AM1930" s="8"/>
      <c r="AN1930" s="8"/>
      <c r="AO1930" s="8"/>
      <c r="AP1930" s="8"/>
      <c r="AQ1930" s="8"/>
      <c r="AR1930" s="8"/>
      <c r="AS1930" s="8"/>
      <c r="AT1930" s="8"/>
      <c r="AU1930" s="8"/>
      <c r="AV1930" s="8"/>
      <c r="AW1930" s="8"/>
      <c r="AX1930" s="4" t="s">
        <v>38</v>
      </c>
      <c r="AY1930" s="5" t="s">
        <v>8442</v>
      </c>
      <c r="AZ1930" s="5" t="s">
        <v>38</v>
      </c>
      <c r="BA1930" s="12"/>
      <c r="BB1930" s="12"/>
      <c r="BC1930" s="12"/>
      <c r="BD1930" s="11">
        <v>0</v>
      </c>
      <c r="BE1930" s="11">
        <v>0</v>
      </c>
    </row>
    <row x14ac:dyDescent="0.25" r="1931" customHeight="1" ht="17.25">
      <c r="A1931" s="11">
        <v>1825375</v>
      </c>
      <c r="B1931" s="4" t="s">
        <v>8443</v>
      </c>
      <c r="C1931" s="5" t="s">
        <v>8444</v>
      </c>
      <c r="D1931" s="5" t="s">
        <v>8445</v>
      </c>
      <c r="E1931" s="12"/>
      <c r="F1931" s="13">
        <f>"847880904X"</f>
      </c>
      <c r="G1931" s="13">
        <f>"9788478809042"</f>
      </c>
      <c r="H1931" s="11">
        <v>0</v>
      </c>
      <c r="I1931" s="14">
        <v>4.07</v>
      </c>
      <c r="J1931" s="7" t="s">
        <v>8446</v>
      </c>
      <c r="K1931" s="5" t="s">
        <v>60</v>
      </c>
      <c r="L1931" s="11">
        <v>356</v>
      </c>
      <c r="M1931" s="11">
        <v>1998</v>
      </c>
      <c r="N1931" s="11">
        <v>1932</v>
      </c>
      <c r="O1931" s="15"/>
      <c r="P1931" s="8">
        <v>43970</v>
      </c>
      <c r="Q1931" s="8"/>
      <c r="R1931" s="8"/>
      <c r="S1931" s="8"/>
      <c r="T1931" s="8"/>
      <c r="U1931" s="8"/>
      <c r="V1931" s="8"/>
      <c r="W1931" s="8"/>
      <c r="X1931" s="8"/>
      <c r="Y1931" s="8"/>
      <c r="Z1931" s="8"/>
      <c r="AA1931" s="8"/>
      <c r="AB1931" s="8"/>
      <c r="AC1931" s="8"/>
      <c r="AD1931" s="8"/>
      <c r="AE1931" s="8"/>
      <c r="AF1931" s="8"/>
      <c r="AG1931" s="8"/>
      <c r="AH1931" s="8"/>
      <c r="AI1931" s="8"/>
      <c r="AJ1931" s="8"/>
      <c r="AK1931" s="8"/>
      <c r="AL1931" s="8"/>
      <c r="AM1931" s="8"/>
      <c r="AN1931" s="8"/>
      <c r="AO1931" s="8"/>
      <c r="AP1931" s="8"/>
      <c r="AQ1931" s="8"/>
      <c r="AR1931" s="8"/>
      <c r="AS1931" s="8"/>
      <c r="AT1931" s="8"/>
      <c r="AU1931" s="8"/>
      <c r="AV1931" s="8"/>
      <c r="AW1931" s="8"/>
      <c r="AX1931" s="4" t="s">
        <v>38</v>
      </c>
      <c r="AY1931" s="5" t="s">
        <v>8447</v>
      </c>
      <c r="AZ1931" s="5" t="s">
        <v>38</v>
      </c>
      <c r="BA1931" s="12"/>
      <c r="BB1931" s="12"/>
      <c r="BC1931" s="12"/>
      <c r="BD1931" s="11">
        <v>0</v>
      </c>
      <c r="BE1931" s="11">
        <v>0</v>
      </c>
    </row>
    <row x14ac:dyDescent="0.25" r="1932" customHeight="1" ht="17.25">
      <c r="A1932" s="11">
        <v>27275824</v>
      </c>
      <c r="B1932" s="4" t="s">
        <v>8448</v>
      </c>
      <c r="C1932" s="5" t="s">
        <v>8449</v>
      </c>
      <c r="D1932" s="5" t="s">
        <v>8450</v>
      </c>
      <c r="E1932" s="12"/>
      <c r="F1932" s="13">
        <f>""</f>
      </c>
      <c r="G1932" s="13">
        <f>""</f>
      </c>
      <c r="H1932" s="11">
        <v>0</v>
      </c>
      <c r="I1932" s="14">
        <v>2.94</v>
      </c>
      <c r="J1932" s="7" t="s">
        <v>8451</v>
      </c>
      <c r="K1932" s="5" t="s">
        <v>60</v>
      </c>
      <c r="L1932" s="11">
        <v>132</v>
      </c>
      <c r="M1932" s="11">
        <v>2015</v>
      </c>
      <c r="N1932" s="11">
        <v>2015</v>
      </c>
      <c r="O1932" s="15"/>
      <c r="P1932" s="8">
        <v>43970</v>
      </c>
      <c r="Q1932" s="8"/>
      <c r="R1932" s="8"/>
      <c r="S1932" s="8"/>
      <c r="T1932" s="8"/>
      <c r="U1932" s="8"/>
      <c r="V1932" s="8"/>
      <c r="W1932" s="8"/>
      <c r="X1932" s="8"/>
      <c r="Y1932" s="8"/>
      <c r="Z1932" s="8"/>
      <c r="AA1932" s="8"/>
      <c r="AB1932" s="8"/>
      <c r="AC1932" s="8"/>
      <c r="AD1932" s="8"/>
      <c r="AE1932" s="8"/>
      <c r="AF1932" s="8"/>
      <c r="AG1932" s="8"/>
      <c r="AH1932" s="8"/>
      <c r="AI1932" s="8"/>
      <c r="AJ1932" s="8"/>
      <c r="AK1932" s="8"/>
      <c r="AL1932" s="8"/>
      <c r="AM1932" s="8"/>
      <c r="AN1932" s="8"/>
      <c r="AO1932" s="8"/>
      <c r="AP1932" s="8"/>
      <c r="AQ1932" s="8"/>
      <c r="AR1932" s="8"/>
      <c r="AS1932" s="8"/>
      <c r="AT1932" s="8"/>
      <c r="AU1932" s="8"/>
      <c r="AV1932" s="8"/>
      <c r="AW1932" s="8"/>
      <c r="AX1932" s="4" t="s">
        <v>38</v>
      </c>
      <c r="AY1932" s="5" t="s">
        <v>8452</v>
      </c>
      <c r="AZ1932" s="5" t="s">
        <v>38</v>
      </c>
      <c r="BA1932" s="12"/>
      <c r="BB1932" s="12"/>
      <c r="BC1932" s="12"/>
      <c r="BD1932" s="11">
        <v>0</v>
      </c>
      <c r="BE1932" s="11">
        <v>0</v>
      </c>
    </row>
    <row x14ac:dyDescent="0.25" r="1933" customHeight="1" ht="17.25">
      <c r="A1933" s="11">
        <v>3994538</v>
      </c>
      <c r="B1933" s="4" t="s">
        <v>8453</v>
      </c>
      <c r="C1933" s="5" t="s">
        <v>8387</v>
      </c>
      <c r="D1933" s="5" t="s">
        <v>8388</v>
      </c>
      <c r="E1933" s="12"/>
      <c r="F1933" s="13">
        <f>"9507313516"</f>
      </c>
      <c r="G1933" s="13">
        <f>"9789507313516"</f>
      </c>
      <c r="H1933" s="11">
        <v>0</v>
      </c>
      <c r="I1933" s="14">
        <v>4.5</v>
      </c>
      <c r="J1933" s="7" t="s">
        <v>8454</v>
      </c>
      <c r="K1933" s="5" t="s">
        <v>60</v>
      </c>
      <c r="L1933" s="11">
        <v>217</v>
      </c>
      <c r="M1933" s="11">
        <v>2002</v>
      </c>
      <c r="N1933" s="11">
        <v>2001</v>
      </c>
      <c r="O1933" s="15"/>
      <c r="P1933" s="8">
        <v>43970</v>
      </c>
      <c r="Q1933" s="8"/>
      <c r="R1933" s="8"/>
      <c r="S1933" s="8"/>
      <c r="T1933" s="8"/>
      <c r="U1933" s="8"/>
      <c r="V1933" s="8"/>
      <c r="W1933" s="8"/>
      <c r="X1933" s="8"/>
      <c r="Y1933" s="8"/>
      <c r="Z1933" s="8"/>
      <c r="AA1933" s="8"/>
      <c r="AB1933" s="8"/>
      <c r="AC1933" s="8"/>
      <c r="AD1933" s="8"/>
      <c r="AE1933" s="8"/>
      <c r="AF1933" s="8"/>
      <c r="AG1933" s="8"/>
      <c r="AH1933" s="8"/>
      <c r="AI1933" s="8"/>
      <c r="AJ1933" s="8"/>
      <c r="AK1933" s="8"/>
      <c r="AL1933" s="8"/>
      <c r="AM1933" s="8"/>
      <c r="AN1933" s="8"/>
      <c r="AO1933" s="8"/>
      <c r="AP1933" s="8"/>
      <c r="AQ1933" s="8"/>
      <c r="AR1933" s="8"/>
      <c r="AS1933" s="8"/>
      <c r="AT1933" s="8"/>
      <c r="AU1933" s="8"/>
      <c r="AV1933" s="8"/>
      <c r="AW1933" s="8"/>
      <c r="AX1933" s="4" t="s">
        <v>38</v>
      </c>
      <c r="AY1933" s="5" t="s">
        <v>8455</v>
      </c>
      <c r="AZ1933" s="5" t="s">
        <v>38</v>
      </c>
      <c r="BA1933" s="12"/>
      <c r="BB1933" s="12"/>
      <c r="BC1933" s="12"/>
      <c r="BD1933" s="11">
        <v>0</v>
      </c>
      <c r="BE1933" s="11">
        <v>0</v>
      </c>
    </row>
    <row x14ac:dyDescent="0.25" r="1934" customHeight="1" ht="17.25">
      <c r="A1934" s="11">
        <v>607046</v>
      </c>
      <c r="B1934" s="4" t="s">
        <v>8456</v>
      </c>
      <c r="C1934" s="5" t="s">
        <v>1809</v>
      </c>
      <c r="D1934" s="5" t="s">
        <v>1810</v>
      </c>
      <c r="E1934" s="12"/>
      <c r="F1934" s="13">
        <f>"8433967134"</f>
      </c>
      <c r="G1934" s="13">
        <f>"9788433967138"</f>
      </c>
      <c r="H1934" s="11">
        <v>0</v>
      </c>
      <c r="I1934" s="11">
        <v>4</v>
      </c>
      <c r="J1934" s="7" t="s">
        <v>1176</v>
      </c>
      <c r="K1934" s="5" t="s">
        <v>346</v>
      </c>
      <c r="L1934" s="11">
        <v>208</v>
      </c>
      <c r="M1934" s="11">
        <v>2006</v>
      </c>
      <c r="N1934" s="11">
        <v>1997</v>
      </c>
      <c r="O1934" s="15"/>
      <c r="P1934" s="8">
        <v>43970</v>
      </c>
      <c r="Q1934" s="8"/>
      <c r="R1934" s="8"/>
      <c r="S1934" s="8"/>
      <c r="T1934" s="8"/>
      <c r="U1934" s="8"/>
      <c r="V1934" s="8"/>
      <c r="W1934" s="8"/>
      <c r="X1934" s="8"/>
      <c r="Y1934" s="8"/>
      <c r="Z1934" s="8"/>
      <c r="AA1934" s="8"/>
      <c r="AB1934" s="8"/>
      <c r="AC1934" s="8"/>
      <c r="AD1934" s="8"/>
      <c r="AE1934" s="8"/>
      <c r="AF1934" s="8"/>
      <c r="AG1934" s="8"/>
      <c r="AH1934" s="8"/>
      <c r="AI1934" s="8"/>
      <c r="AJ1934" s="8"/>
      <c r="AK1934" s="8"/>
      <c r="AL1934" s="8"/>
      <c r="AM1934" s="8"/>
      <c r="AN1934" s="8"/>
      <c r="AO1934" s="8"/>
      <c r="AP1934" s="8"/>
      <c r="AQ1934" s="8"/>
      <c r="AR1934" s="8"/>
      <c r="AS1934" s="8"/>
      <c r="AT1934" s="8"/>
      <c r="AU1934" s="8"/>
      <c r="AV1934" s="8"/>
      <c r="AW1934" s="8"/>
      <c r="AX1934" s="4" t="s">
        <v>38</v>
      </c>
      <c r="AY1934" s="5" t="s">
        <v>8457</v>
      </c>
      <c r="AZ1934" s="5" t="s">
        <v>38</v>
      </c>
      <c r="BA1934" s="12"/>
      <c r="BB1934" s="12"/>
      <c r="BC1934" s="12"/>
      <c r="BD1934" s="11">
        <v>0</v>
      </c>
      <c r="BE1934" s="11">
        <v>0</v>
      </c>
    </row>
    <row x14ac:dyDescent="0.25" r="1935" customHeight="1" ht="17.25">
      <c r="A1935" s="11">
        <v>49019227</v>
      </c>
      <c r="B1935" s="4" t="s">
        <v>8458</v>
      </c>
      <c r="C1935" s="5" t="s">
        <v>8459</v>
      </c>
      <c r="D1935" s="5" t="s">
        <v>8460</v>
      </c>
      <c r="E1935" s="12"/>
      <c r="F1935" s="13">
        <f>""</f>
      </c>
      <c r="G1935" s="13">
        <f>"9789874702630"</f>
      </c>
      <c r="H1935" s="11">
        <v>0</v>
      </c>
      <c r="I1935" s="14">
        <v>3.81</v>
      </c>
      <c r="J1935" s="7" t="s">
        <v>8461</v>
      </c>
      <c r="K1935" s="5" t="s">
        <v>60</v>
      </c>
      <c r="L1935" s="11">
        <v>148</v>
      </c>
      <c r="M1935" s="11">
        <v>2019</v>
      </c>
      <c r="N1935" s="11">
        <v>2019</v>
      </c>
      <c r="O1935" s="15"/>
      <c r="P1935" s="8">
        <v>43970</v>
      </c>
      <c r="Q1935" s="8"/>
      <c r="R1935" s="8"/>
      <c r="S1935" s="8"/>
      <c r="T1935" s="8"/>
      <c r="U1935" s="8"/>
      <c r="V1935" s="8"/>
      <c r="W1935" s="8"/>
      <c r="X1935" s="8"/>
      <c r="Y1935" s="8"/>
      <c r="Z1935" s="8"/>
      <c r="AA1935" s="8"/>
      <c r="AB1935" s="8"/>
      <c r="AC1935" s="8"/>
      <c r="AD1935" s="8"/>
      <c r="AE1935" s="8"/>
      <c r="AF1935" s="8"/>
      <c r="AG1935" s="8"/>
      <c r="AH1935" s="8"/>
      <c r="AI1935" s="8"/>
      <c r="AJ1935" s="8"/>
      <c r="AK1935" s="8"/>
      <c r="AL1935" s="8"/>
      <c r="AM1935" s="8"/>
      <c r="AN1935" s="8"/>
      <c r="AO1935" s="8"/>
      <c r="AP1935" s="8"/>
      <c r="AQ1935" s="8"/>
      <c r="AR1935" s="8"/>
      <c r="AS1935" s="8"/>
      <c r="AT1935" s="8"/>
      <c r="AU1935" s="8"/>
      <c r="AV1935" s="8"/>
      <c r="AW1935" s="8"/>
      <c r="AX1935" s="4" t="s">
        <v>38</v>
      </c>
      <c r="AY1935" s="5" t="s">
        <v>8462</v>
      </c>
      <c r="AZ1935" s="5" t="s">
        <v>38</v>
      </c>
      <c r="BA1935" s="12"/>
      <c r="BB1935" s="12"/>
      <c r="BC1935" s="12"/>
      <c r="BD1935" s="11">
        <v>0</v>
      </c>
      <c r="BE1935" s="11">
        <v>0</v>
      </c>
    </row>
    <row x14ac:dyDescent="0.25" r="1936" customHeight="1" ht="17.25">
      <c r="A1936" s="11">
        <v>10083326</v>
      </c>
      <c r="B1936" s="4" t="s">
        <v>8463</v>
      </c>
      <c r="C1936" s="5" t="s">
        <v>7146</v>
      </c>
      <c r="D1936" s="5" t="s">
        <v>7147</v>
      </c>
      <c r="E1936" s="5" t="s">
        <v>8464</v>
      </c>
      <c r="F1936" s="13">
        <f>"8488730128"</f>
      </c>
      <c r="G1936" s="13">
        <f>"9788488730121"</f>
      </c>
      <c r="H1936" s="11">
        <v>0</v>
      </c>
      <c r="I1936" s="14">
        <v>3.83</v>
      </c>
      <c r="J1936" s="7" t="s">
        <v>8465</v>
      </c>
      <c r="K1936" s="5" t="s">
        <v>60</v>
      </c>
      <c r="L1936" s="11">
        <v>533</v>
      </c>
      <c r="M1936" s="11">
        <v>1997</v>
      </c>
      <c r="N1936" s="11">
        <v>1895</v>
      </c>
      <c r="O1936" s="15"/>
      <c r="P1936" s="8">
        <v>43969</v>
      </c>
      <c r="Q1936" s="8"/>
      <c r="R1936" s="8"/>
      <c r="S1936" s="8"/>
      <c r="T1936" s="8"/>
      <c r="U1936" s="8"/>
      <c r="V1936" s="8"/>
      <c r="W1936" s="8"/>
      <c r="X1936" s="8"/>
      <c r="Y1936" s="8"/>
      <c r="Z1936" s="8"/>
      <c r="AA1936" s="8"/>
      <c r="AB1936" s="8"/>
      <c r="AC1936" s="8"/>
      <c r="AD1936" s="8"/>
      <c r="AE1936" s="8"/>
      <c r="AF1936" s="8"/>
      <c r="AG1936" s="8"/>
      <c r="AH1936" s="8"/>
      <c r="AI1936" s="8"/>
      <c r="AJ1936" s="8"/>
      <c r="AK1936" s="8"/>
      <c r="AL1936" s="8"/>
      <c r="AM1936" s="8"/>
      <c r="AN1936" s="8"/>
      <c r="AO1936" s="8"/>
      <c r="AP1936" s="8"/>
      <c r="AQ1936" s="8"/>
      <c r="AR1936" s="8"/>
      <c r="AS1936" s="8"/>
      <c r="AT1936" s="8"/>
      <c r="AU1936" s="8"/>
      <c r="AV1936" s="8"/>
      <c r="AW1936" s="8"/>
      <c r="AX1936" s="4" t="s">
        <v>38</v>
      </c>
      <c r="AY1936" s="5" t="s">
        <v>8466</v>
      </c>
      <c r="AZ1936" s="5" t="s">
        <v>38</v>
      </c>
      <c r="BA1936" s="12"/>
      <c r="BB1936" s="12"/>
      <c r="BC1936" s="12"/>
      <c r="BD1936" s="11">
        <v>0</v>
      </c>
      <c r="BE1936" s="11">
        <v>0</v>
      </c>
    </row>
    <row x14ac:dyDescent="0.25" r="1937" customHeight="1" ht="17.25">
      <c r="A1937" s="11">
        <v>1053395</v>
      </c>
      <c r="B1937" s="4" t="s">
        <v>8467</v>
      </c>
      <c r="C1937" s="5" t="s">
        <v>8468</v>
      </c>
      <c r="D1937" s="5" t="s">
        <v>8469</v>
      </c>
      <c r="E1937" s="12"/>
      <c r="F1937" s="13">
        <f>"8466320393"</f>
      </c>
      <c r="G1937" s="13">
        <f>"9788466320399"</f>
      </c>
      <c r="H1937" s="11">
        <v>0</v>
      </c>
      <c r="I1937" s="14">
        <v>3.77</v>
      </c>
      <c r="J1937" s="7" t="s">
        <v>6064</v>
      </c>
      <c r="K1937" s="5" t="s">
        <v>60</v>
      </c>
      <c r="L1937" s="11">
        <v>96</v>
      </c>
      <c r="M1937" s="11">
        <v>2007</v>
      </c>
      <c r="N1937" s="11">
        <v>1939</v>
      </c>
      <c r="O1937" s="15"/>
      <c r="P1937" s="8">
        <v>43969</v>
      </c>
      <c r="Q1937" s="8"/>
      <c r="R1937" s="8"/>
      <c r="S1937" s="8"/>
      <c r="T1937" s="8"/>
      <c r="U1937" s="8"/>
      <c r="V1937" s="8"/>
      <c r="W1937" s="8"/>
      <c r="X1937" s="8"/>
      <c r="Y1937" s="8"/>
      <c r="Z1937" s="8"/>
      <c r="AA1937" s="8"/>
      <c r="AB1937" s="8"/>
      <c r="AC1937" s="8"/>
      <c r="AD1937" s="8"/>
      <c r="AE1937" s="8"/>
      <c r="AF1937" s="8"/>
      <c r="AG1937" s="8"/>
      <c r="AH1937" s="8"/>
      <c r="AI1937" s="8"/>
      <c r="AJ1937" s="8"/>
      <c r="AK1937" s="8"/>
      <c r="AL1937" s="8"/>
      <c r="AM1937" s="8"/>
      <c r="AN1937" s="8"/>
      <c r="AO1937" s="8"/>
      <c r="AP1937" s="8"/>
      <c r="AQ1937" s="8"/>
      <c r="AR1937" s="8"/>
      <c r="AS1937" s="8"/>
      <c r="AT1937" s="8"/>
      <c r="AU1937" s="8"/>
      <c r="AV1937" s="8"/>
      <c r="AW1937" s="8"/>
      <c r="AX1937" s="4" t="s">
        <v>38</v>
      </c>
      <c r="AY1937" s="5" t="s">
        <v>8470</v>
      </c>
      <c r="AZ1937" s="5" t="s">
        <v>38</v>
      </c>
      <c r="BA1937" s="12"/>
      <c r="BB1937" s="12"/>
      <c r="BC1937" s="12"/>
      <c r="BD1937" s="11">
        <v>0</v>
      </c>
      <c r="BE1937" s="11">
        <v>0</v>
      </c>
    </row>
    <row x14ac:dyDescent="0.25" r="1938" customHeight="1" ht="17.25">
      <c r="A1938" s="11">
        <v>33154956</v>
      </c>
      <c r="B1938" s="4" t="s">
        <v>8471</v>
      </c>
      <c r="C1938" s="5" t="s">
        <v>1498</v>
      </c>
      <c r="D1938" s="5" t="s">
        <v>4012</v>
      </c>
      <c r="E1938" s="12"/>
      <c r="F1938" s="13">
        <f>"0241305578"</f>
      </c>
      <c r="G1938" s="13">
        <f>"9780241305577"</f>
      </c>
      <c r="H1938" s="11">
        <v>0</v>
      </c>
      <c r="I1938" s="14">
        <v>3.82</v>
      </c>
      <c r="J1938" s="7" t="s">
        <v>231</v>
      </c>
      <c r="K1938" s="5" t="s">
        <v>72</v>
      </c>
      <c r="L1938" s="11">
        <v>336</v>
      </c>
      <c r="M1938" s="11">
        <v>2017</v>
      </c>
      <c r="N1938" s="16"/>
      <c r="O1938" s="15"/>
      <c r="P1938" s="8">
        <v>43969</v>
      </c>
      <c r="Q1938" s="8"/>
      <c r="R1938" s="8"/>
      <c r="S1938" s="8"/>
      <c r="T1938" s="8"/>
      <c r="U1938" s="8"/>
      <c r="V1938" s="8"/>
      <c r="W1938" s="8"/>
      <c r="X1938" s="8"/>
      <c r="Y1938" s="8"/>
      <c r="Z1938" s="8"/>
      <c r="AA1938" s="8"/>
      <c r="AB1938" s="8"/>
      <c r="AC1938" s="8"/>
      <c r="AD1938" s="8"/>
      <c r="AE1938" s="8"/>
      <c r="AF1938" s="8"/>
      <c r="AG1938" s="8"/>
      <c r="AH1938" s="8"/>
      <c r="AI1938" s="8"/>
      <c r="AJ1938" s="8"/>
      <c r="AK1938" s="8"/>
      <c r="AL1938" s="8"/>
      <c r="AM1938" s="8"/>
      <c r="AN1938" s="8"/>
      <c r="AO1938" s="8"/>
      <c r="AP1938" s="8"/>
      <c r="AQ1938" s="8"/>
      <c r="AR1938" s="8"/>
      <c r="AS1938" s="8"/>
      <c r="AT1938" s="8"/>
      <c r="AU1938" s="8"/>
      <c r="AV1938" s="8"/>
      <c r="AW1938" s="8"/>
      <c r="AX1938" s="4" t="s">
        <v>38</v>
      </c>
      <c r="AY1938" s="5" t="s">
        <v>8472</v>
      </c>
      <c r="AZ1938" s="5" t="s">
        <v>38</v>
      </c>
      <c r="BA1938" s="12"/>
      <c r="BB1938" s="12"/>
      <c r="BC1938" s="12"/>
      <c r="BD1938" s="11">
        <v>0</v>
      </c>
      <c r="BE1938" s="11">
        <v>0</v>
      </c>
    </row>
    <row x14ac:dyDescent="0.25" r="1939" customHeight="1" ht="17.25">
      <c r="A1939" s="11">
        <v>5989288</v>
      </c>
      <c r="B1939" s="4" t="s">
        <v>8473</v>
      </c>
      <c r="C1939" s="5" t="s">
        <v>7828</v>
      </c>
      <c r="D1939" s="5" t="s">
        <v>7829</v>
      </c>
      <c r="E1939" s="5" t="s">
        <v>8474</v>
      </c>
      <c r="F1939" s="13">
        <f>"0804762309"</f>
      </c>
      <c r="G1939" s="13">
        <f>"9780804762304"</f>
      </c>
      <c r="H1939" s="11">
        <v>0</v>
      </c>
      <c r="I1939" s="14">
        <v>3.98</v>
      </c>
      <c r="J1939" s="7" t="s">
        <v>8475</v>
      </c>
      <c r="K1939" s="5" t="s">
        <v>60</v>
      </c>
      <c r="L1939" s="11">
        <v>76</v>
      </c>
      <c r="M1939" s="11">
        <v>2009</v>
      </c>
      <c r="N1939" s="11">
        <v>2006</v>
      </c>
      <c r="O1939" s="15"/>
      <c r="P1939" s="8">
        <v>43969</v>
      </c>
      <c r="Q1939" s="8"/>
      <c r="R1939" s="8"/>
      <c r="S1939" s="8"/>
      <c r="T1939" s="8"/>
      <c r="U1939" s="8"/>
      <c r="V1939" s="8"/>
      <c r="W1939" s="8"/>
      <c r="X1939" s="8"/>
      <c r="Y1939" s="8"/>
      <c r="Z1939" s="8"/>
      <c r="AA1939" s="8"/>
      <c r="AB1939" s="8"/>
      <c r="AC1939" s="8"/>
      <c r="AD1939" s="8"/>
      <c r="AE1939" s="8"/>
      <c r="AF1939" s="8"/>
      <c r="AG1939" s="8"/>
      <c r="AH1939" s="8"/>
      <c r="AI1939" s="8"/>
      <c r="AJ1939" s="8"/>
      <c r="AK1939" s="8"/>
      <c r="AL1939" s="8"/>
      <c r="AM1939" s="8"/>
      <c r="AN1939" s="8"/>
      <c r="AO1939" s="8"/>
      <c r="AP1939" s="8"/>
      <c r="AQ1939" s="8"/>
      <c r="AR1939" s="8"/>
      <c r="AS1939" s="8"/>
      <c r="AT1939" s="8"/>
      <c r="AU1939" s="8"/>
      <c r="AV1939" s="8"/>
      <c r="AW1939" s="8"/>
      <c r="AX1939" s="4" t="s">
        <v>38</v>
      </c>
      <c r="AY1939" s="5" t="s">
        <v>8476</v>
      </c>
      <c r="AZ1939" s="5" t="s">
        <v>38</v>
      </c>
      <c r="BA1939" s="12"/>
      <c r="BB1939" s="12"/>
      <c r="BC1939" s="12"/>
      <c r="BD1939" s="11">
        <v>0</v>
      </c>
      <c r="BE1939" s="11">
        <v>0</v>
      </c>
    </row>
    <row x14ac:dyDescent="0.25" r="1940" customHeight="1" ht="17.25">
      <c r="A1940" s="11">
        <v>85829</v>
      </c>
      <c r="B1940" s="4" t="s">
        <v>8477</v>
      </c>
      <c r="C1940" s="5" t="s">
        <v>7828</v>
      </c>
      <c r="D1940" s="5" t="s">
        <v>7829</v>
      </c>
      <c r="E1940" s="5" t="s">
        <v>8478</v>
      </c>
      <c r="F1940" s="13">
        <f>"0804747385"</f>
      </c>
      <c r="G1940" s="13">
        <f>"9780804747387"</f>
      </c>
      <c r="H1940" s="11">
        <v>0</v>
      </c>
      <c r="I1940" s="14">
        <v>3.98</v>
      </c>
      <c r="J1940" s="7" t="s">
        <v>8475</v>
      </c>
      <c r="K1940" s="5" t="s">
        <v>60</v>
      </c>
      <c r="L1940" s="11">
        <v>120</v>
      </c>
      <c r="M1940" s="11">
        <v>2003</v>
      </c>
      <c r="N1940" s="11">
        <v>2002</v>
      </c>
      <c r="O1940" s="15"/>
      <c r="P1940" s="8">
        <v>43969</v>
      </c>
      <c r="Q1940" s="8"/>
      <c r="R1940" s="8"/>
      <c r="S1940" s="8"/>
      <c r="T1940" s="8"/>
      <c r="U1940" s="8"/>
      <c r="V1940" s="8"/>
      <c r="W1940" s="8"/>
      <c r="X1940" s="8"/>
      <c r="Y1940" s="8"/>
      <c r="Z1940" s="8"/>
      <c r="AA1940" s="8"/>
      <c r="AB1940" s="8"/>
      <c r="AC1940" s="8"/>
      <c r="AD1940" s="8"/>
      <c r="AE1940" s="8"/>
      <c r="AF1940" s="8"/>
      <c r="AG1940" s="8"/>
      <c r="AH1940" s="8"/>
      <c r="AI1940" s="8"/>
      <c r="AJ1940" s="8"/>
      <c r="AK1940" s="8"/>
      <c r="AL1940" s="8"/>
      <c r="AM1940" s="8"/>
      <c r="AN1940" s="8"/>
      <c r="AO1940" s="8"/>
      <c r="AP1940" s="8"/>
      <c r="AQ1940" s="8"/>
      <c r="AR1940" s="8"/>
      <c r="AS1940" s="8"/>
      <c r="AT1940" s="8"/>
      <c r="AU1940" s="8"/>
      <c r="AV1940" s="8"/>
      <c r="AW1940" s="8"/>
      <c r="AX1940" s="4" t="s">
        <v>38</v>
      </c>
      <c r="AY1940" s="5" t="s">
        <v>8479</v>
      </c>
      <c r="AZ1940" s="5" t="s">
        <v>38</v>
      </c>
      <c r="BA1940" s="12"/>
      <c r="BB1940" s="12"/>
      <c r="BC1940" s="12"/>
      <c r="BD1940" s="11">
        <v>0</v>
      </c>
      <c r="BE1940" s="11">
        <v>0</v>
      </c>
    </row>
    <row x14ac:dyDescent="0.25" r="1941" customHeight="1" ht="17.25">
      <c r="A1941" s="11">
        <v>2461524</v>
      </c>
      <c r="B1941" s="4" t="s">
        <v>8480</v>
      </c>
      <c r="C1941" s="5" t="s">
        <v>8481</v>
      </c>
      <c r="D1941" s="5" t="s">
        <v>8482</v>
      </c>
      <c r="E1941" s="5" t="s">
        <v>8483</v>
      </c>
      <c r="F1941" s="13">
        <f>"082322791X"</f>
      </c>
      <c r="G1941" s="13">
        <f>"9780823227914"</f>
      </c>
      <c r="H1941" s="11">
        <v>0</v>
      </c>
      <c r="I1941" s="14">
        <v>4.09</v>
      </c>
      <c r="J1941" s="7" t="s">
        <v>8484</v>
      </c>
      <c r="K1941" s="5" t="s">
        <v>60</v>
      </c>
      <c r="L1941" s="11">
        <v>192</v>
      </c>
      <c r="M1941" s="11">
        <v>2008</v>
      </c>
      <c r="N1941" s="11">
        <v>2006</v>
      </c>
      <c r="O1941" s="15"/>
      <c r="P1941" s="8">
        <v>43969</v>
      </c>
      <c r="Q1941" s="8"/>
      <c r="R1941" s="8"/>
      <c r="S1941" s="8"/>
      <c r="T1941" s="8"/>
      <c r="U1941" s="8"/>
      <c r="V1941" s="8"/>
      <c r="W1941" s="8"/>
      <c r="X1941" s="8"/>
      <c r="Y1941" s="8"/>
      <c r="Z1941" s="8"/>
      <c r="AA1941" s="8"/>
      <c r="AB1941" s="8"/>
      <c r="AC1941" s="8"/>
      <c r="AD1941" s="8"/>
      <c r="AE1941" s="8"/>
      <c r="AF1941" s="8"/>
      <c r="AG1941" s="8"/>
      <c r="AH1941" s="8"/>
      <c r="AI1941" s="8"/>
      <c r="AJ1941" s="8"/>
      <c r="AK1941" s="8"/>
      <c r="AL1941" s="8"/>
      <c r="AM1941" s="8"/>
      <c r="AN1941" s="8"/>
      <c r="AO1941" s="8"/>
      <c r="AP1941" s="8"/>
      <c r="AQ1941" s="8"/>
      <c r="AR1941" s="8"/>
      <c r="AS1941" s="8"/>
      <c r="AT1941" s="8"/>
      <c r="AU1941" s="8"/>
      <c r="AV1941" s="8"/>
      <c r="AW1941" s="8"/>
      <c r="AX1941" s="4" t="s">
        <v>38</v>
      </c>
      <c r="AY1941" s="5" t="s">
        <v>8485</v>
      </c>
      <c r="AZ1941" s="5" t="s">
        <v>38</v>
      </c>
      <c r="BA1941" s="12"/>
      <c r="BB1941" s="12"/>
      <c r="BC1941" s="12"/>
      <c r="BD1941" s="11">
        <v>0</v>
      </c>
      <c r="BE1941" s="11">
        <v>0</v>
      </c>
    </row>
    <row x14ac:dyDescent="0.25" r="1942" customHeight="1" ht="17.25">
      <c r="A1942" s="11">
        <v>85326</v>
      </c>
      <c r="B1942" s="4" t="s">
        <v>8486</v>
      </c>
      <c r="C1942" s="5" t="s">
        <v>8481</v>
      </c>
      <c r="D1942" s="5" t="s">
        <v>8482</v>
      </c>
      <c r="E1942" s="5" t="s">
        <v>8487</v>
      </c>
      <c r="F1942" s="13">
        <f>"0801858305"</f>
      </c>
      <c r="G1942" s="13">
        <f>"9780801858307"</f>
      </c>
      <c r="H1942" s="11">
        <v>0</v>
      </c>
      <c r="I1942" s="14">
        <v>3.96</v>
      </c>
      <c r="J1942" s="7" t="s">
        <v>1324</v>
      </c>
      <c r="K1942" s="5" t="s">
        <v>60</v>
      </c>
      <c r="L1942" s="11">
        <v>456</v>
      </c>
      <c r="M1942" s="11">
        <v>1997</v>
      </c>
      <c r="N1942" s="11">
        <v>1967</v>
      </c>
      <c r="O1942" s="15"/>
      <c r="P1942" s="8">
        <v>43969</v>
      </c>
      <c r="Q1942" s="8"/>
      <c r="R1942" s="8"/>
      <c r="S1942" s="8"/>
      <c r="T1942" s="8"/>
      <c r="U1942" s="8"/>
      <c r="V1942" s="8"/>
      <c r="W1942" s="8"/>
      <c r="X1942" s="8"/>
      <c r="Y1942" s="8"/>
      <c r="Z1942" s="8"/>
      <c r="AA1942" s="8"/>
      <c r="AB1942" s="8"/>
      <c r="AC1942" s="8"/>
      <c r="AD1942" s="8"/>
      <c r="AE1942" s="8"/>
      <c r="AF1942" s="8"/>
      <c r="AG1942" s="8"/>
      <c r="AH1942" s="8"/>
      <c r="AI1942" s="8"/>
      <c r="AJ1942" s="8"/>
      <c r="AK1942" s="8"/>
      <c r="AL1942" s="8"/>
      <c r="AM1942" s="8"/>
      <c r="AN1942" s="8"/>
      <c r="AO1942" s="8"/>
      <c r="AP1942" s="8"/>
      <c r="AQ1942" s="8"/>
      <c r="AR1942" s="8"/>
      <c r="AS1942" s="8"/>
      <c r="AT1942" s="8"/>
      <c r="AU1942" s="8"/>
      <c r="AV1942" s="8"/>
      <c r="AW1942" s="8"/>
      <c r="AX1942" s="4" t="s">
        <v>38</v>
      </c>
      <c r="AY1942" s="5" t="s">
        <v>8488</v>
      </c>
      <c r="AZ1942" s="5" t="s">
        <v>38</v>
      </c>
      <c r="BA1942" s="12"/>
      <c r="BB1942" s="12"/>
      <c r="BC1942" s="12"/>
      <c r="BD1942" s="11">
        <v>0</v>
      </c>
      <c r="BE1942" s="11">
        <v>0</v>
      </c>
    </row>
    <row x14ac:dyDescent="0.25" r="1943" customHeight="1" ht="17.25">
      <c r="A1943" s="11">
        <v>22613</v>
      </c>
      <c r="B1943" s="4" t="s">
        <v>8489</v>
      </c>
      <c r="C1943" s="5" t="s">
        <v>8490</v>
      </c>
      <c r="D1943" s="5" t="s">
        <v>8491</v>
      </c>
      <c r="E1943" s="5" t="s">
        <v>8492</v>
      </c>
      <c r="F1943" s="13">
        <f>"0472065211"</f>
      </c>
      <c r="G1943" s="13">
        <f>"9780472065219"</f>
      </c>
      <c r="H1943" s="11">
        <v>0</v>
      </c>
      <c r="I1943" s="14">
        <v>3.99</v>
      </c>
      <c r="J1943" s="7" t="s">
        <v>5197</v>
      </c>
      <c r="K1943" s="5" t="s">
        <v>60</v>
      </c>
      <c r="L1943" s="11">
        <v>164</v>
      </c>
      <c r="M1943" s="11">
        <v>1994</v>
      </c>
      <c r="N1943" s="11">
        <v>1981</v>
      </c>
      <c r="O1943" s="15"/>
      <c r="P1943" s="8">
        <v>43969</v>
      </c>
      <c r="Q1943" s="8"/>
      <c r="R1943" s="8"/>
      <c r="S1943" s="8"/>
      <c r="T1943" s="8"/>
      <c r="U1943" s="8"/>
      <c r="V1943" s="8"/>
      <c r="W1943" s="8"/>
      <c r="X1943" s="8"/>
      <c r="Y1943" s="8"/>
      <c r="Z1943" s="8"/>
      <c r="AA1943" s="8"/>
      <c r="AB1943" s="8"/>
      <c r="AC1943" s="8"/>
      <c r="AD1943" s="8"/>
      <c r="AE1943" s="8"/>
      <c r="AF1943" s="8"/>
      <c r="AG1943" s="8"/>
      <c r="AH1943" s="8"/>
      <c r="AI1943" s="8"/>
      <c r="AJ1943" s="8"/>
      <c r="AK1943" s="8"/>
      <c r="AL1943" s="8"/>
      <c r="AM1943" s="8"/>
      <c r="AN1943" s="8"/>
      <c r="AO1943" s="8"/>
      <c r="AP1943" s="8"/>
      <c r="AQ1943" s="8"/>
      <c r="AR1943" s="8"/>
      <c r="AS1943" s="8"/>
      <c r="AT1943" s="8"/>
      <c r="AU1943" s="8"/>
      <c r="AV1943" s="8"/>
      <c r="AW1943" s="8"/>
      <c r="AX1943" s="4" t="s">
        <v>38</v>
      </c>
      <c r="AY1943" s="5" t="s">
        <v>8493</v>
      </c>
      <c r="AZ1943" s="5" t="s">
        <v>38</v>
      </c>
      <c r="BA1943" s="12"/>
      <c r="BB1943" s="12"/>
      <c r="BC1943" s="12"/>
      <c r="BD1943" s="11">
        <v>0</v>
      </c>
      <c r="BE1943" s="11">
        <v>0</v>
      </c>
    </row>
    <row x14ac:dyDescent="0.25" r="1944" customHeight="1" ht="17.25">
      <c r="A1944" s="11">
        <v>597614</v>
      </c>
      <c r="B1944" s="4" t="s">
        <v>8494</v>
      </c>
      <c r="C1944" s="5" t="s">
        <v>8495</v>
      </c>
      <c r="D1944" s="5" t="s">
        <v>8496</v>
      </c>
      <c r="E1944" s="12"/>
      <c r="F1944" s="13">
        <f>"1852424036"</f>
      </c>
      <c r="G1944" s="13">
        <f>"9781852424039"</f>
      </c>
      <c r="H1944" s="11">
        <v>0</v>
      </c>
      <c r="I1944" s="14">
        <v>3.74</v>
      </c>
      <c r="J1944" s="7" t="s">
        <v>8497</v>
      </c>
      <c r="K1944" s="5" t="s">
        <v>60</v>
      </c>
      <c r="L1944" s="11">
        <v>200</v>
      </c>
      <c r="M1944" s="11">
        <v>2000</v>
      </c>
      <c r="N1944" s="11">
        <v>1995</v>
      </c>
      <c r="O1944" s="15"/>
      <c r="P1944" s="8">
        <v>43969</v>
      </c>
      <c r="Q1944" s="8"/>
      <c r="R1944" s="8"/>
      <c r="S1944" s="8"/>
      <c r="T1944" s="8"/>
      <c r="U1944" s="8"/>
      <c r="V1944" s="8"/>
      <c r="W1944" s="8"/>
      <c r="X1944" s="8"/>
      <c r="Y1944" s="8"/>
      <c r="Z1944" s="8"/>
      <c r="AA1944" s="8"/>
      <c r="AB1944" s="8"/>
      <c r="AC1944" s="8"/>
      <c r="AD1944" s="8"/>
      <c r="AE1944" s="8"/>
      <c r="AF1944" s="8"/>
      <c r="AG1944" s="8"/>
      <c r="AH1944" s="8"/>
      <c r="AI1944" s="8"/>
      <c r="AJ1944" s="8"/>
      <c r="AK1944" s="8"/>
      <c r="AL1944" s="8"/>
      <c r="AM1944" s="8"/>
      <c r="AN1944" s="8"/>
      <c r="AO1944" s="8"/>
      <c r="AP1944" s="8"/>
      <c r="AQ1944" s="8"/>
      <c r="AR1944" s="8"/>
      <c r="AS1944" s="8"/>
      <c r="AT1944" s="8"/>
      <c r="AU1944" s="8"/>
      <c r="AV1944" s="8"/>
      <c r="AW1944" s="8"/>
      <c r="AX1944" s="4" t="s">
        <v>38</v>
      </c>
      <c r="AY1944" s="5" t="s">
        <v>8498</v>
      </c>
      <c r="AZ1944" s="5" t="s">
        <v>38</v>
      </c>
      <c r="BA1944" s="12"/>
      <c r="BB1944" s="12"/>
      <c r="BC1944" s="12"/>
      <c r="BD1944" s="11">
        <v>0</v>
      </c>
      <c r="BE1944" s="11">
        <v>0</v>
      </c>
    </row>
    <row x14ac:dyDescent="0.25" r="1945" customHeight="1" ht="17.25">
      <c r="A1945" s="11">
        <v>6150907</v>
      </c>
      <c r="B1945" s="4" t="s">
        <v>8499</v>
      </c>
      <c r="C1945" s="5" t="s">
        <v>8500</v>
      </c>
      <c r="D1945" s="5" t="s">
        <v>8501</v>
      </c>
      <c r="E1945" s="12"/>
      <c r="F1945" s="13">
        <f>"098024367X"</f>
      </c>
      <c r="G1945" s="13">
        <f>"9780980243673"</f>
      </c>
      <c r="H1945" s="11">
        <v>0</v>
      </c>
      <c r="I1945" s="14">
        <v>3.31</v>
      </c>
      <c r="J1945" s="7" t="s">
        <v>1006</v>
      </c>
      <c r="K1945" s="5" t="s">
        <v>60</v>
      </c>
      <c r="L1945" s="11">
        <v>250</v>
      </c>
      <c r="M1945" s="11">
        <v>2009</v>
      </c>
      <c r="N1945" s="11">
        <v>2009</v>
      </c>
      <c r="O1945" s="15"/>
      <c r="P1945" s="8">
        <v>43969</v>
      </c>
      <c r="Q1945" s="8"/>
      <c r="R1945" s="8"/>
      <c r="S1945" s="8"/>
      <c r="T1945" s="8"/>
      <c r="U1945" s="8"/>
      <c r="V1945" s="8"/>
      <c r="W1945" s="8"/>
      <c r="X1945" s="8"/>
      <c r="Y1945" s="8"/>
      <c r="Z1945" s="8"/>
      <c r="AA1945" s="8"/>
      <c r="AB1945" s="8"/>
      <c r="AC1945" s="8"/>
      <c r="AD1945" s="8"/>
      <c r="AE1945" s="8"/>
      <c r="AF1945" s="8"/>
      <c r="AG1945" s="8"/>
      <c r="AH1945" s="8"/>
      <c r="AI1945" s="8"/>
      <c r="AJ1945" s="8"/>
      <c r="AK1945" s="8"/>
      <c r="AL1945" s="8"/>
      <c r="AM1945" s="8"/>
      <c r="AN1945" s="8"/>
      <c r="AO1945" s="8"/>
      <c r="AP1945" s="8"/>
      <c r="AQ1945" s="8"/>
      <c r="AR1945" s="8"/>
      <c r="AS1945" s="8"/>
      <c r="AT1945" s="8"/>
      <c r="AU1945" s="8"/>
      <c r="AV1945" s="8"/>
      <c r="AW1945" s="8"/>
      <c r="AX1945" s="4" t="s">
        <v>38</v>
      </c>
      <c r="AY1945" s="5" t="s">
        <v>8502</v>
      </c>
      <c r="AZ1945" s="5" t="s">
        <v>38</v>
      </c>
      <c r="BA1945" s="12"/>
      <c r="BB1945" s="12"/>
      <c r="BC1945" s="12"/>
      <c r="BD1945" s="11">
        <v>0</v>
      </c>
      <c r="BE1945" s="11">
        <v>0</v>
      </c>
    </row>
    <row x14ac:dyDescent="0.25" r="1946" customHeight="1" ht="17.25">
      <c r="A1946" s="11">
        <v>34757649</v>
      </c>
      <c r="B1946" s="4" t="s">
        <v>8503</v>
      </c>
      <c r="C1946" s="5" t="s">
        <v>8504</v>
      </c>
      <c r="D1946" s="5" t="s">
        <v>8505</v>
      </c>
      <c r="E1946" s="12"/>
      <c r="F1946" s="13">
        <f>"9507319093"</f>
      </c>
      <c r="G1946" s="13">
        <f>"9789507319099"</f>
      </c>
      <c r="H1946" s="11">
        <v>0</v>
      </c>
      <c r="I1946" s="14">
        <v>4.08</v>
      </c>
      <c r="J1946" s="7" t="s">
        <v>8506</v>
      </c>
      <c r="K1946" s="5" t="s">
        <v>60</v>
      </c>
      <c r="L1946" s="11">
        <v>168</v>
      </c>
      <c r="M1946" s="11">
        <v>2017</v>
      </c>
      <c r="N1946" s="11">
        <v>2017</v>
      </c>
      <c r="O1946" s="15"/>
      <c r="P1946" s="8">
        <v>43968</v>
      </c>
      <c r="Q1946" s="8"/>
      <c r="R1946" s="8"/>
      <c r="S1946" s="8"/>
      <c r="T1946" s="8"/>
      <c r="U1946" s="8"/>
      <c r="V1946" s="8"/>
      <c r="W1946" s="8"/>
      <c r="X1946" s="8"/>
      <c r="Y1946" s="8"/>
      <c r="Z1946" s="8"/>
      <c r="AA1946" s="8"/>
      <c r="AB1946" s="8"/>
      <c r="AC1946" s="8"/>
      <c r="AD1946" s="8"/>
      <c r="AE1946" s="8"/>
      <c r="AF1946" s="8"/>
      <c r="AG1946" s="8"/>
      <c r="AH1946" s="8"/>
      <c r="AI1946" s="8"/>
      <c r="AJ1946" s="8"/>
      <c r="AK1946" s="8"/>
      <c r="AL1946" s="8"/>
      <c r="AM1946" s="8"/>
      <c r="AN1946" s="8"/>
      <c r="AO1946" s="8"/>
      <c r="AP1946" s="8"/>
      <c r="AQ1946" s="8"/>
      <c r="AR1946" s="8"/>
      <c r="AS1946" s="8"/>
      <c r="AT1946" s="8"/>
      <c r="AU1946" s="8"/>
      <c r="AV1946" s="8"/>
      <c r="AW1946" s="8"/>
      <c r="AX1946" s="4" t="s">
        <v>38</v>
      </c>
      <c r="AY1946" s="5" t="s">
        <v>8507</v>
      </c>
      <c r="AZ1946" s="5" t="s">
        <v>38</v>
      </c>
      <c r="BA1946" s="12"/>
      <c r="BB1946" s="12"/>
      <c r="BC1946" s="12"/>
      <c r="BD1946" s="11">
        <v>0</v>
      </c>
      <c r="BE1946" s="11">
        <v>0</v>
      </c>
    </row>
    <row x14ac:dyDescent="0.25" r="1947" customHeight="1" ht="17.25">
      <c r="A1947" s="11">
        <v>34464546</v>
      </c>
      <c r="B1947" s="4" t="s">
        <v>8508</v>
      </c>
      <c r="C1947" s="5" t="s">
        <v>8509</v>
      </c>
      <c r="D1947" s="5" t="s">
        <v>8510</v>
      </c>
      <c r="E1947" s="12"/>
      <c r="F1947" s="13">
        <f>""</f>
      </c>
      <c r="G1947" s="13">
        <f>"9786077455691"</f>
      </c>
      <c r="H1947" s="11">
        <v>0</v>
      </c>
      <c r="I1947" s="14">
        <v>3.88</v>
      </c>
      <c r="J1947" s="7" t="s">
        <v>8511</v>
      </c>
      <c r="K1947" s="5" t="s">
        <v>60</v>
      </c>
      <c r="L1947" s="11">
        <v>105</v>
      </c>
      <c r="M1947" s="11">
        <v>2017</v>
      </c>
      <c r="N1947" s="16"/>
      <c r="O1947" s="15"/>
      <c r="P1947" s="8">
        <v>43968</v>
      </c>
      <c r="Q1947" s="8"/>
      <c r="R1947" s="8"/>
      <c r="S1947" s="8"/>
      <c r="T1947" s="8"/>
      <c r="U1947" s="8"/>
      <c r="V1947" s="8"/>
      <c r="W1947" s="8"/>
      <c r="X1947" s="8"/>
      <c r="Y1947" s="8"/>
      <c r="Z1947" s="8"/>
      <c r="AA1947" s="8"/>
      <c r="AB1947" s="8"/>
      <c r="AC1947" s="8"/>
      <c r="AD1947" s="8"/>
      <c r="AE1947" s="8"/>
      <c r="AF1947" s="8"/>
      <c r="AG1947" s="8"/>
      <c r="AH1947" s="8"/>
      <c r="AI1947" s="8"/>
      <c r="AJ1947" s="8"/>
      <c r="AK1947" s="8"/>
      <c r="AL1947" s="8"/>
      <c r="AM1947" s="8"/>
      <c r="AN1947" s="8"/>
      <c r="AO1947" s="8"/>
      <c r="AP1947" s="8"/>
      <c r="AQ1947" s="8"/>
      <c r="AR1947" s="8"/>
      <c r="AS1947" s="8"/>
      <c r="AT1947" s="8"/>
      <c r="AU1947" s="8"/>
      <c r="AV1947" s="8"/>
      <c r="AW1947" s="8"/>
      <c r="AX1947" s="4" t="s">
        <v>38</v>
      </c>
      <c r="AY1947" s="5" t="s">
        <v>8512</v>
      </c>
      <c r="AZ1947" s="5" t="s">
        <v>38</v>
      </c>
      <c r="BA1947" s="12"/>
      <c r="BB1947" s="12"/>
      <c r="BC1947" s="12"/>
      <c r="BD1947" s="11">
        <v>0</v>
      </c>
      <c r="BE1947" s="11">
        <v>0</v>
      </c>
    </row>
    <row x14ac:dyDescent="0.25" r="1948" customHeight="1" ht="17.25">
      <c r="A1948" s="11">
        <v>48840773</v>
      </c>
      <c r="B1948" s="4" t="s">
        <v>8513</v>
      </c>
      <c r="C1948" s="5" t="s">
        <v>8514</v>
      </c>
      <c r="D1948" s="5" t="s">
        <v>8515</v>
      </c>
      <c r="E1948" s="12"/>
      <c r="F1948" s="13">
        <f>""</f>
      </c>
      <c r="G1948" s="13">
        <f>"9789874445094"</f>
      </c>
      <c r="H1948" s="11">
        <v>0</v>
      </c>
      <c r="I1948" s="14">
        <v>4.49</v>
      </c>
      <c r="J1948" s="7" t="s">
        <v>8391</v>
      </c>
      <c r="K1948" s="5" t="s">
        <v>60</v>
      </c>
      <c r="L1948" s="11">
        <v>124</v>
      </c>
      <c r="M1948" s="11">
        <v>2019</v>
      </c>
      <c r="N1948" s="16"/>
      <c r="O1948" s="15"/>
      <c r="P1948" s="8">
        <v>43968</v>
      </c>
      <c r="Q1948" s="8"/>
      <c r="R1948" s="8"/>
      <c r="S1948" s="8"/>
      <c r="T1948" s="8"/>
      <c r="U1948" s="8"/>
      <c r="V1948" s="8"/>
      <c r="W1948" s="8"/>
      <c r="X1948" s="8"/>
      <c r="Y1948" s="8"/>
      <c r="Z1948" s="8"/>
      <c r="AA1948" s="8"/>
      <c r="AB1948" s="8"/>
      <c r="AC1948" s="8"/>
      <c r="AD1948" s="8"/>
      <c r="AE1948" s="8"/>
      <c r="AF1948" s="8"/>
      <c r="AG1948" s="8"/>
      <c r="AH1948" s="8"/>
      <c r="AI1948" s="8"/>
      <c r="AJ1948" s="8"/>
      <c r="AK1948" s="8"/>
      <c r="AL1948" s="8"/>
      <c r="AM1948" s="8"/>
      <c r="AN1948" s="8"/>
      <c r="AO1948" s="8"/>
      <c r="AP1948" s="8"/>
      <c r="AQ1948" s="8"/>
      <c r="AR1948" s="8"/>
      <c r="AS1948" s="8"/>
      <c r="AT1948" s="8"/>
      <c r="AU1948" s="8"/>
      <c r="AV1948" s="8"/>
      <c r="AW1948" s="8"/>
      <c r="AX1948" s="4" t="s">
        <v>38</v>
      </c>
      <c r="AY1948" s="5" t="s">
        <v>8516</v>
      </c>
      <c r="AZ1948" s="5" t="s">
        <v>38</v>
      </c>
      <c r="BA1948" s="12"/>
      <c r="BB1948" s="12"/>
      <c r="BC1948" s="12"/>
      <c r="BD1948" s="11">
        <v>0</v>
      </c>
      <c r="BE1948" s="11">
        <v>0</v>
      </c>
    </row>
    <row x14ac:dyDescent="0.25" r="1949" customHeight="1" ht="17.25">
      <c r="A1949" s="11">
        <v>27154586</v>
      </c>
      <c r="B1949" s="4" t="s">
        <v>8517</v>
      </c>
      <c r="C1949" s="5" t="s">
        <v>8518</v>
      </c>
      <c r="D1949" s="5" t="s">
        <v>8519</v>
      </c>
      <c r="E1949" s="12"/>
      <c r="F1949" s="13">
        <f>"9873731121"</f>
      </c>
      <c r="G1949" s="13">
        <f>"9789873731129"</f>
      </c>
      <c r="H1949" s="11">
        <v>0</v>
      </c>
      <c r="I1949" s="14">
        <v>4.21</v>
      </c>
      <c r="J1949" s="7" t="s">
        <v>8520</v>
      </c>
      <c r="K1949" s="5" t="s">
        <v>60</v>
      </c>
      <c r="L1949" s="11">
        <v>261</v>
      </c>
      <c r="M1949" s="11">
        <v>2015</v>
      </c>
      <c r="N1949" s="11">
        <v>2015</v>
      </c>
      <c r="O1949" s="15"/>
      <c r="P1949" s="8">
        <v>43968</v>
      </c>
      <c r="Q1949" s="8"/>
      <c r="R1949" s="8"/>
      <c r="S1949" s="8"/>
      <c r="T1949" s="8"/>
      <c r="U1949" s="8"/>
      <c r="V1949" s="8"/>
      <c r="W1949" s="8"/>
      <c r="X1949" s="8"/>
      <c r="Y1949" s="8"/>
      <c r="Z1949" s="8"/>
      <c r="AA1949" s="8"/>
      <c r="AB1949" s="8"/>
      <c r="AC1949" s="8"/>
      <c r="AD1949" s="8"/>
      <c r="AE1949" s="8"/>
      <c r="AF1949" s="8"/>
      <c r="AG1949" s="8"/>
      <c r="AH1949" s="8"/>
      <c r="AI1949" s="8"/>
      <c r="AJ1949" s="8"/>
      <c r="AK1949" s="8"/>
      <c r="AL1949" s="8"/>
      <c r="AM1949" s="8"/>
      <c r="AN1949" s="8"/>
      <c r="AO1949" s="8"/>
      <c r="AP1949" s="8"/>
      <c r="AQ1949" s="8"/>
      <c r="AR1949" s="8"/>
      <c r="AS1949" s="8"/>
      <c r="AT1949" s="8"/>
      <c r="AU1949" s="8"/>
      <c r="AV1949" s="8"/>
      <c r="AW1949" s="8"/>
      <c r="AX1949" s="4" t="s">
        <v>38</v>
      </c>
      <c r="AY1949" s="5" t="s">
        <v>8521</v>
      </c>
      <c r="AZ1949" s="5" t="s">
        <v>38</v>
      </c>
      <c r="BA1949" s="12"/>
      <c r="BB1949" s="12"/>
      <c r="BC1949" s="12"/>
      <c r="BD1949" s="11">
        <v>0</v>
      </c>
      <c r="BE1949" s="11">
        <v>0</v>
      </c>
    </row>
    <row x14ac:dyDescent="0.25" r="1950" customHeight="1" ht="17.25">
      <c r="A1950" s="11">
        <v>42936578</v>
      </c>
      <c r="B1950" s="4" t="s">
        <v>8522</v>
      </c>
      <c r="C1950" s="5" t="s">
        <v>8523</v>
      </c>
      <c r="D1950" s="5" t="s">
        <v>8524</v>
      </c>
      <c r="E1950" s="12"/>
      <c r="F1950" s="13">
        <f>"9874941162"</f>
      </c>
      <c r="G1950" s="13">
        <f>"9789874941169"</f>
      </c>
      <c r="H1950" s="11">
        <v>0</v>
      </c>
      <c r="I1950" s="14">
        <v>3.68</v>
      </c>
      <c r="J1950" s="7" t="s">
        <v>8525</v>
      </c>
      <c r="K1950" s="5" t="s">
        <v>60</v>
      </c>
      <c r="L1950" s="11">
        <v>144</v>
      </c>
      <c r="M1950" s="11">
        <v>2018</v>
      </c>
      <c r="N1950" s="11">
        <v>1998</v>
      </c>
      <c r="O1950" s="15"/>
      <c r="P1950" s="8">
        <v>43968</v>
      </c>
      <c r="Q1950" s="8"/>
      <c r="R1950" s="8"/>
      <c r="S1950" s="8"/>
      <c r="T1950" s="8"/>
      <c r="U1950" s="8"/>
      <c r="V1950" s="8"/>
      <c r="W1950" s="8"/>
      <c r="X1950" s="8"/>
      <c r="Y1950" s="8"/>
      <c r="Z1950" s="8"/>
      <c r="AA1950" s="8"/>
      <c r="AB1950" s="8"/>
      <c r="AC1950" s="8"/>
      <c r="AD1950" s="8"/>
      <c r="AE1950" s="8"/>
      <c r="AF1950" s="8"/>
      <c r="AG1950" s="8"/>
      <c r="AH1950" s="8"/>
      <c r="AI1950" s="8"/>
      <c r="AJ1950" s="8"/>
      <c r="AK1950" s="8"/>
      <c r="AL1950" s="8"/>
      <c r="AM1950" s="8"/>
      <c r="AN1950" s="8"/>
      <c r="AO1950" s="8"/>
      <c r="AP1950" s="8"/>
      <c r="AQ1950" s="8"/>
      <c r="AR1950" s="8"/>
      <c r="AS1950" s="8"/>
      <c r="AT1950" s="8"/>
      <c r="AU1950" s="8"/>
      <c r="AV1950" s="8"/>
      <c r="AW1950" s="8"/>
      <c r="AX1950" s="4" t="s">
        <v>38</v>
      </c>
      <c r="AY1950" s="5" t="s">
        <v>8526</v>
      </c>
      <c r="AZ1950" s="5" t="s">
        <v>38</v>
      </c>
      <c r="BA1950" s="12"/>
      <c r="BB1950" s="12"/>
      <c r="BC1950" s="12"/>
      <c r="BD1950" s="11">
        <v>0</v>
      </c>
      <c r="BE1950" s="11">
        <v>0</v>
      </c>
    </row>
    <row x14ac:dyDescent="0.25" r="1951" customHeight="1" ht="17.25">
      <c r="A1951" s="11">
        <v>50283147</v>
      </c>
      <c r="B1951" s="4" t="s">
        <v>8527</v>
      </c>
      <c r="C1951" s="5" t="s">
        <v>8528</v>
      </c>
      <c r="D1951" s="5" t="s">
        <v>8529</v>
      </c>
      <c r="E1951" s="5" t="s">
        <v>8530</v>
      </c>
      <c r="F1951" s="13">
        <f>""</f>
      </c>
      <c r="G1951" s="13">
        <f>"9789874422026"</f>
      </c>
      <c r="H1951" s="11">
        <v>0</v>
      </c>
      <c r="I1951" s="14">
        <v>3.8</v>
      </c>
      <c r="J1951" s="7" t="s">
        <v>3257</v>
      </c>
      <c r="K1951" s="5" t="s">
        <v>60</v>
      </c>
      <c r="L1951" s="11">
        <v>46</v>
      </c>
      <c r="M1951" s="11">
        <v>2017</v>
      </c>
      <c r="N1951" s="11">
        <v>2017</v>
      </c>
      <c r="O1951" s="15"/>
      <c r="P1951" s="8">
        <v>43968</v>
      </c>
      <c r="Q1951" s="8"/>
      <c r="R1951" s="8"/>
      <c r="S1951" s="8"/>
      <c r="T1951" s="8"/>
      <c r="U1951" s="8"/>
      <c r="V1951" s="8"/>
      <c r="W1951" s="8"/>
      <c r="X1951" s="8"/>
      <c r="Y1951" s="8"/>
      <c r="Z1951" s="8"/>
      <c r="AA1951" s="8"/>
      <c r="AB1951" s="8"/>
      <c r="AC1951" s="8"/>
      <c r="AD1951" s="8"/>
      <c r="AE1951" s="8"/>
      <c r="AF1951" s="8"/>
      <c r="AG1951" s="8"/>
      <c r="AH1951" s="8"/>
      <c r="AI1951" s="8"/>
      <c r="AJ1951" s="8"/>
      <c r="AK1951" s="8"/>
      <c r="AL1951" s="8"/>
      <c r="AM1951" s="8"/>
      <c r="AN1951" s="8"/>
      <c r="AO1951" s="8"/>
      <c r="AP1951" s="8"/>
      <c r="AQ1951" s="8"/>
      <c r="AR1951" s="8"/>
      <c r="AS1951" s="8"/>
      <c r="AT1951" s="8"/>
      <c r="AU1951" s="8"/>
      <c r="AV1951" s="8"/>
      <c r="AW1951" s="8"/>
      <c r="AX1951" s="4" t="s">
        <v>38</v>
      </c>
      <c r="AY1951" s="5" t="s">
        <v>8531</v>
      </c>
      <c r="AZ1951" s="5" t="s">
        <v>38</v>
      </c>
      <c r="BA1951" s="12"/>
      <c r="BB1951" s="12"/>
      <c r="BC1951" s="12"/>
      <c r="BD1951" s="11">
        <v>0</v>
      </c>
      <c r="BE1951" s="11">
        <v>0</v>
      </c>
    </row>
    <row x14ac:dyDescent="0.25" r="1952" customHeight="1" ht="17.25">
      <c r="A1952" s="11">
        <v>25424028</v>
      </c>
      <c r="B1952" s="4" t="s">
        <v>8532</v>
      </c>
      <c r="C1952" s="5" t="s">
        <v>8533</v>
      </c>
      <c r="D1952" s="5" t="s">
        <v>8534</v>
      </c>
      <c r="E1952" s="12"/>
      <c r="F1952" s="13">
        <f>"0571317014"</f>
      </c>
      <c r="G1952" s="13">
        <f>"9780571317011"</f>
      </c>
      <c r="H1952" s="11">
        <v>0</v>
      </c>
      <c r="I1952" s="14">
        <v>3.78</v>
      </c>
      <c r="J1952" s="7" t="s">
        <v>316</v>
      </c>
      <c r="K1952" s="5" t="s">
        <v>72</v>
      </c>
      <c r="L1952" s="11">
        <v>278</v>
      </c>
      <c r="M1952" s="11">
        <v>2015</v>
      </c>
      <c r="N1952" s="11">
        <v>2015</v>
      </c>
      <c r="O1952" s="15"/>
      <c r="P1952" s="8">
        <v>43968</v>
      </c>
      <c r="Q1952" s="8"/>
      <c r="R1952" s="8"/>
      <c r="S1952" s="8"/>
      <c r="T1952" s="8"/>
      <c r="U1952" s="8"/>
      <c r="V1952" s="8"/>
      <c r="W1952" s="8"/>
      <c r="X1952" s="8"/>
      <c r="Y1952" s="8"/>
      <c r="Z1952" s="8"/>
      <c r="AA1952" s="8"/>
      <c r="AB1952" s="8"/>
      <c r="AC1952" s="8"/>
      <c r="AD1952" s="8"/>
      <c r="AE1952" s="8"/>
      <c r="AF1952" s="8"/>
      <c r="AG1952" s="8"/>
      <c r="AH1952" s="8"/>
      <c r="AI1952" s="8"/>
      <c r="AJ1952" s="8"/>
      <c r="AK1952" s="8"/>
      <c r="AL1952" s="8"/>
      <c r="AM1952" s="8"/>
      <c r="AN1952" s="8"/>
      <c r="AO1952" s="8"/>
      <c r="AP1952" s="8"/>
      <c r="AQ1952" s="8"/>
      <c r="AR1952" s="8"/>
      <c r="AS1952" s="8"/>
      <c r="AT1952" s="8"/>
      <c r="AU1952" s="8"/>
      <c r="AV1952" s="8"/>
      <c r="AW1952" s="8"/>
      <c r="AX1952" s="4" t="s">
        <v>38</v>
      </c>
      <c r="AY1952" s="5" t="s">
        <v>8535</v>
      </c>
      <c r="AZ1952" s="5" t="s">
        <v>38</v>
      </c>
      <c r="BA1952" s="12"/>
      <c r="BB1952" s="12"/>
      <c r="BC1952" s="12"/>
      <c r="BD1952" s="11">
        <v>0</v>
      </c>
      <c r="BE1952" s="11">
        <v>0</v>
      </c>
    </row>
    <row x14ac:dyDescent="0.25" r="1953" customHeight="1" ht="17.25">
      <c r="A1953" s="11">
        <v>16073585</v>
      </c>
      <c r="B1953" s="4" t="s">
        <v>8536</v>
      </c>
      <c r="C1953" s="5" t="s">
        <v>8537</v>
      </c>
      <c r="D1953" s="5" t="s">
        <v>8538</v>
      </c>
      <c r="E1953" s="12"/>
      <c r="F1953" s="13">
        <f>"8433972367"</f>
      </c>
      <c r="G1953" s="13">
        <f>"9788433972361"</f>
      </c>
      <c r="H1953" s="11">
        <v>0</v>
      </c>
      <c r="I1953" s="14">
        <v>2.83</v>
      </c>
      <c r="J1953" s="7" t="s">
        <v>1710</v>
      </c>
      <c r="K1953" s="5" t="s">
        <v>60</v>
      </c>
      <c r="L1953" s="11">
        <v>200</v>
      </c>
      <c r="M1953" s="11">
        <v>2012</v>
      </c>
      <c r="N1953" s="11">
        <v>2012</v>
      </c>
      <c r="O1953" s="15"/>
      <c r="P1953" s="8">
        <v>43968</v>
      </c>
      <c r="Q1953" s="8"/>
      <c r="R1953" s="8"/>
      <c r="S1953" s="8"/>
      <c r="T1953" s="8"/>
      <c r="U1953" s="8"/>
      <c r="V1953" s="8"/>
      <c r="W1953" s="8"/>
      <c r="X1953" s="8"/>
      <c r="Y1953" s="8"/>
      <c r="Z1953" s="8"/>
      <c r="AA1953" s="8"/>
      <c r="AB1953" s="8"/>
      <c r="AC1953" s="8"/>
      <c r="AD1953" s="8"/>
      <c r="AE1953" s="8"/>
      <c r="AF1953" s="8"/>
      <c r="AG1953" s="8"/>
      <c r="AH1953" s="8"/>
      <c r="AI1953" s="8"/>
      <c r="AJ1953" s="8"/>
      <c r="AK1953" s="8"/>
      <c r="AL1953" s="8"/>
      <c r="AM1953" s="8"/>
      <c r="AN1953" s="8"/>
      <c r="AO1953" s="8"/>
      <c r="AP1953" s="8"/>
      <c r="AQ1953" s="8"/>
      <c r="AR1953" s="8"/>
      <c r="AS1953" s="8"/>
      <c r="AT1953" s="8"/>
      <c r="AU1953" s="8"/>
      <c r="AV1953" s="8"/>
      <c r="AW1953" s="8"/>
      <c r="AX1953" s="4" t="s">
        <v>38</v>
      </c>
      <c r="AY1953" s="5" t="s">
        <v>8539</v>
      </c>
      <c r="AZ1953" s="5" t="s">
        <v>38</v>
      </c>
      <c r="BA1953" s="12"/>
      <c r="BB1953" s="12"/>
      <c r="BC1953" s="12"/>
      <c r="BD1953" s="11">
        <v>0</v>
      </c>
      <c r="BE1953" s="11">
        <v>0</v>
      </c>
    </row>
    <row x14ac:dyDescent="0.25" r="1954" customHeight="1" ht="17.25">
      <c r="A1954" s="11">
        <v>17365309</v>
      </c>
      <c r="B1954" s="4" t="s">
        <v>8540</v>
      </c>
      <c r="C1954" s="5" t="s">
        <v>8541</v>
      </c>
      <c r="D1954" s="5" t="s">
        <v>8542</v>
      </c>
      <c r="E1954" s="12"/>
      <c r="F1954" s="13">
        <f>""</f>
      </c>
      <c r="G1954" s="13">
        <f>""</f>
      </c>
      <c r="H1954" s="11">
        <v>0</v>
      </c>
      <c r="I1954" s="14">
        <v>3.57</v>
      </c>
      <c r="J1954" s="7" t="s">
        <v>8543</v>
      </c>
      <c r="K1954" s="5" t="s">
        <v>60</v>
      </c>
      <c r="L1954" s="11">
        <v>280</v>
      </c>
      <c r="M1954" s="11">
        <v>2013</v>
      </c>
      <c r="N1954" s="11">
        <v>2013</v>
      </c>
      <c r="O1954" s="15"/>
      <c r="P1954" s="8">
        <v>43967</v>
      </c>
      <c r="Q1954" s="8"/>
      <c r="R1954" s="8"/>
      <c r="S1954" s="8"/>
      <c r="T1954" s="8"/>
      <c r="U1954" s="8"/>
      <c r="V1954" s="8"/>
      <c r="W1954" s="8"/>
      <c r="X1954" s="8"/>
      <c r="Y1954" s="8"/>
      <c r="Z1954" s="8"/>
      <c r="AA1954" s="8"/>
      <c r="AB1954" s="8"/>
      <c r="AC1954" s="8"/>
      <c r="AD1954" s="8"/>
      <c r="AE1954" s="8"/>
      <c r="AF1954" s="8"/>
      <c r="AG1954" s="8"/>
      <c r="AH1954" s="8"/>
      <c r="AI1954" s="8"/>
      <c r="AJ1954" s="8"/>
      <c r="AK1954" s="8"/>
      <c r="AL1954" s="8"/>
      <c r="AM1954" s="8"/>
      <c r="AN1954" s="8"/>
      <c r="AO1954" s="8"/>
      <c r="AP1954" s="8"/>
      <c r="AQ1954" s="8"/>
      <c r="AR1954" s="8"/>
      <c r="AS1954" s="8"/>
      <c r="AT1954" s="8"/>
      <c r="AU1954" s="8"/>
      <c r="AV1954" s="8"/>
      <c r="AW1954" s="8"/>
      <c r="AX1954" s="4" t="s">
        <v>38</v>
      </c>
      <c r="AY1954" s="5" t="s">
        <v>8544</v>
      </c>
      <c r="AZ1954" s="5" t="s">
        <v>38</v>
      </c>
      <c r="BA1954" s="12"/>
      <c r="BB1954" s="12"/>
      <c r="BC1954" s="12"/>
      <c r="BD1954" s="11">
        <v>0</v>
      </c>
      <c r="BE1954" s="11">
        <v>0</v>
      </c>
    </row>
    <row x14ac:dyDescent="0.25" r="1955" customHeight="1" ht="17.25">
      <c r="A1955" s="11">
        <v>565149</v>
      </c>
      <c r="B1955" s="4" t="s">
        <v>8545</v>
      </c>
      <c r="C1955" s="5" t="s">
        <v>7683</v>
      </c>
      <c r="D1955" s="5" t="s">
        <v>7684</v>
      </c>
      <c r="E1955" s="5" t="s">
        <v>8546</v>
      </c>
      <c r="F1955" s="13">
        <f>"0811201848"</f>
      </c>
      <c r="G1955" s="13">
        <f>"9780811201841"</f>
      </c>
      <c r="H1955" s="11">
        <v>0</v>
      </c>
      <c r="I1955" s="14">
        <v>4.34</v>
      </c>
      <c r="J1955" s="7" t="s">
        <v>126</v>
      </c>
      <c r="K1955" s="5" t="s">
        <v>60</v>
      </c>
      <c r="L1955" s="11">
        <v>182</v>
      </c>
      <c r="M1955" s="11">
        <v>1957</v>
      </c>
      <c r="N1955" s="11">
        <v>1875</v>
      </c>
      <c r="O1955" s="15"/>
      <c r="P1955" s="8">
        <v>43967</v>
      </c>
      <c r="Q1955" s="8"/>
      <c r="R1955" s="8"/>
      <c r="S1955" s="8"/>
      <c r="T1955" s="8"/>
      <c r="U1955" s="8"/>
      <c r="V1955" s="8"/>
      <c r="W1955" s="8"/>
      <c r="X1955" s="8"/>
      <c r="Y1955" s="8"/>
      <c r="Z1955" s="8"/>
      <c r="AA1955" s="8"/>
      <c r="AB1955" s="8"/>
      <c r="AC1955" s="8"/>
      <c r="AD1955" s="8"/>
      <c r="AE1955" s="8"/>
      <c r="AF1955" s="8"/>
      <c r="AG1955" s="8"/>
      <c r="AH1955" s="8"/>
      <c r="AI1955" s="8"/>
      <c r="AJ1955" s="8"/>
      <c r="AK1955" s="8"/>
      <c r="AL1955" s="8"/>
      <c r="AM1955" s="8"/>
      <c r="AN1955" s="8"/>
      <c r="AO1955" s="8"/>
      <c r="AP1955" s="8"/>
      <c r="AQ1955" s="8"/>
      <c r="AR1955" s="8"/>
      <c r="AS1955" s="8"/>
      <c r="AT1955" s="8"/>
      <c r="AU1955" s="8"/>
      <c r="AV1955" s="8"/>
      <c r="AW1955" s="8"/>
      <c r="AX1955" s="4" t="s">
        <v>38</v>
      </c>
      <c r="AY1955" s="5" t="s">
        <v>8547</v>
      </c>
      <c r="AZ1955" s="5" t="s">
        <v>38</v>
      </c>
      <c r="BA1955" s="12"/>
      <c r="BB1955" s="12"/>
      <c r="BC1955" s="12"/>
      <c r="BD1955" s="11">
        <v>0</v>
      </c>
      <c r="BE1955" s="11">
        <v>0</v>
      </c>
    </row>
    <row x14ac:dyDescent="0.25" r="1956" customHeight="1" ht="17.25">
      <c r="A1956" s="11">
        <v>6356810</v>
      </c>
      <c r="B1956" s="4" t="s">
        <v>8548</v>
      </c>
      <c r="C1956" s="5" t="s">
        <v>8549</v>
      </c>
      <c r="D1956" s="5" t="s">
        <v>8550</v>
      </c>
      <c r="E1956" s="12"/>
      <c r="F1956" s="13">
        <f>"0745643000"</f>
      </c>
      <c r="G1956" s="13">
        <f>"9780745643007"</f>
      </c>
      <c r="H1956" s="11">
        <v>0</v>
      </c>
      <c r="I1956" s="14">
        <v>4.18</v>
      </c>
      <c r="J1956" s="7" t="s">
        <v>2721</v>
      </c>
      <c r="K1956" s="5" t="s">
        <v>60</v>
      </c>
      <c r="L1956" s="11">
        <v>176</v>
      </c>
      <c r="M1956" s="11">
        <v>2009</v>
      </c>
      <c r="N1956" s="11">
        <v>2006</v>
      </c>
      <c r="O1956" s="15"/>
      <c r="P1956" s="8">
        <v>43967</v>
      </c>
      <c r="Q1956" s="8"/>
      <c r="R1956" s="8"/>
      <c r="S1956" s="8"/>
      <c r="T1956" s="8"/>
      <c r="U1956" s="8"/>
      <c r="V1956" s="8"/>
      <c r="W1956" s="8"/>
      <c r="X1956" s="8"/>
      <c r="Y1956" s="8"/>
      <c r="Z1956" s="8"/>
      <c r="AA1956" s="8"/>
      <c r="AB1956" s="8"/>
      <c r="AC1956" s="8"/>
      <c r="AD1956" s="8"/>
      <c r="AE1956" s="8"/>
      <c r="AF1956" s="8"/>
      <c r="AG1956" s="8"/>
      <c r="AH1956" s="8"/>
      <c r="AI1956" s="8"/>
      <c r="AJ1956" s="8"/>
      <c r="AK1956" s="8"/>
      <c r="AL1956" s="8"/>
      <c r="AM1956" s="8"/>
      <c r="AN1956" s="8"/>
      <c r="AO1956" s="8"/>
      <c r="AP1956" s="8"/>
      <c r="AQ1956" s="8"/>
      <c r="AR1956" s="8"/>
      <c r="AS1956" s="8"/>
      <c r="AT1956" s="8"/>
      <c r="AU1956" s="8"/>
      <c r="AV1956" s="8"/>
      <c r="AW1956" s="8"/>
      <c r="AX1956" s="4" t="s">
        <v>38</v>
      </c>
      <c r="AY1956" s="5" t="s">
        <v>8551</v>
      </c>
      <c r="AZ1956" s="5" t="s">
        <v>38</v>
      </c>
      <c r="BA1956" s="12"/>
      <c r="BB1956" s="12"/>
      <c r="BC1956" s="12"/>
      <c r="BD1956" s="11">
        <v>0</v>
      </c>
      <c r="BE1956" s="11">
        <v>0</v>
      </c>
    </row>
    <row x14ac:dyDescent="0.25" r="1957" customHeight="1" ht="17.25">
      <c r="A1957" s="11">
        <v>33258947</v>
      </c>
      <c r="B1957" s="4" t="s">
        <v>8552</v>
      </c>
      <c r="C1957" s="5" t="s">
        <v>8553</v>
      </c>
      <c r="D1957" s="5" t="s">
        <v>8554</v>
      </c>
      <c r="E1957" s="12"/>
      <c r="F1957" s="13">
        <f>"9871882564"</f>
      </c>
      <c r="G1957" s="13">
        <f>"9789871882564"</f>
      </c>
      <c r="H1957" s="11">
        <v>0</v>
      </c>
      <c r="I1957" s="14">
        <v>4.29</v>
      </c>
      <c r="J1957" s="7" t="s">
        <v>8555</v>
      </c>
      <c r="K1957" s="5" t="s">
        <v>60</v>
      </c>
      <c r="L1957" s="11">
        <v>174</v>
      </c>
      <c r="M1957" s="11">
        <v>2016</v>
      </c>
      <c r="N1957" s="11">
        <v>2016</v>
      </c>
      <c r="O1957" s="15"/>
      <c r="P1957" s="8">
        <v>43963</v>
      </c>
      <c r="Q1957" s="8"/>
      <c r="R1957" s="8"/>
      <c r="S1957" s="8"/>
      <c r="T1957" s="8"/>
      <c r="U1957" s="8"/>
      <c r="V1957" s="8"/>
      <c r="W1957" s="8"/>
      <c r="X1957" s="8"/>
      <c r="Y1957" s="8"/>
      <c r="Z1957" s="8"/>
      <c r="AA1957" s="8"/>
      <c r="AB1957" s="8"/>
      <c r="AC1957" s="8"/>
      <c r="AD1957" s="8"/>
      <c r="AE1957" s="8"/>
      <c r="AF1957" s="8"/>
      <c r="AG1957" s="8"/>
      <c r="AH1957" s="8"/>
      <c r="AI1957" s="8"/>
      <c r="AJ1957" s="8"/>
      <c r="AK1957" s="8"/>
      <c r="AL1957" s="8"/>
      <c r="AM1957" s="8"/>
      <c r="AN1957" s="8"/>
      <c r="AO1957" s="8"/>
      <c r="AP1957" s="8"/>
      <c r="AQ1957" s="8"/>
      <c r="AR1957" s="8"/>
      <c r="AS1957" s="8"/>
      <c r="AT1957" s="8"/>
      <c r="AU1957" s="8"/>
      <c r="AV1957" s="8"/>
      <c r="AW1957" s="8"/>
      <c r="AX1957" s="4" t="s">
        <v>38</v>
      </c>
      <c r="AY1957" s="5" t="s">
        <v>8556</v>
      </c>
      <c r="AZ1957" s="5" t="s">
        <v>38</v>
      </c>
      <c r="BA1957" s="12"/>
      <c r="BB1957" s="12"/>
      <c r="BC1957" s="12"/>
      <c r="BD1957" s="11">
        <v>0</v>
      </c>
      <c r="BE1957" s="11">
        <v>0</v>
      </c>
    </row>
    <row x14ac:dyDescent="0.25" r="1958" customHeight="1" ht="17.25">
      <c r="A1958" s="11">
        <v>48989095</v>
      </c>
      <c r="B1958" s="4" t="s">
        <v>8557</v>
      </c>
      <c r="C1958" s="5" t="s">
        <v>8558</v>
      </c>
      <c r="D1958" s="5" t="s">
        <v>8559</v>
      </c>
      <c r="E1958" s="12"/>
      <c r="F1958" s="13">
        <f>"1094120235"</f>
      </c>
      <c r="G1958" s="13">
        <f>"9781094120232"</f>
      </c>
      <c r="H1958" s="11">
        <v>0</v>
      </c>
      <c r="I1958" s="14">
        <v>4.25</v>
      </c>
      <c r="J1958" s="7" t="s">
        <v>4092</v>
      </c>
      <c r="K1958" s="5" t="s">
        <v>2170</v>
      </c>
      <c r="L1958" s="16"/>
      <c r="M1958" s="11">
        <v>2020</v>
      </c>
      <c r="N1958" s="11">
        <v>2020</v>
      </c>
      <c r="O1958" s="15"/>
      <c r="P1958" s="8">
        <v>43962</v>
      </c>
      <c r="Q1958" s="8"/>
      <c r="R1958" s="8"/>
      <c r="S1958" s="8"/>
      <c r="T1958" s="8"/>
      <c r="U1958" s="8"/>
      <c r="V1958" s="8"/>
      <c r="W1958" s="8"/>
      <c r="X1958" s="8"/>
      <c r="Y1958" s="8"/>
      <c r="Z1958" s="8"/>
      <c r="AA1958" s="8"/>
      <c r="AB1958" s="8"/>
      <c r="AC1958" s="8"/>
      <c r="AD1958" s="8"/>
      <c r="AE1958" s="8"/>
      <c r="AF1958" s="8"/>
      <c r="AG1958" s="8"/>
      <c r="AH1958" s="8"/>
      <c r="AI1958" s="8"/>
      <c r="AJ1958" s="8"/>
      <c r="AK1958" s="8"/>
      <c r="AL1958" s="8"/>
      <c r="AM1958" s="8"/>
      <c r="AN1958" s="8"/>
      <c r="AO1958" s="8"/>
      <c r="AP1958" s="8"/>
      <c r="AQ1958" s="8"/>
      <c r="AR1958" s="8"/>
      <c r="AS1958" s="8"/>
      <c r="AT1958" s="8"/>
      <c r="AU1958" s="8"/>
      <c r="AV1958" s="8"/>
      <c r="AW1958" s="8"/>
      <c r="AX1958" s="4" t="s">
        <v>38</v>
      </c>
      <c r="AY1958" s="5" t="s">
        <v>8560</v>
      </c>
      <c r="AZ1958" s="5" t="s">
        <v>38</v>
      </c>
      <c r="BA1958" s="12"/>
      <c r="BB1958" s="12"/>
      <c r="BC1958" s="12"/>
      <c r="BD1958" s="11">
        <v>0</v>
      </c>
      <c r="BE1958" s="11">
        <v>0</v>
      </c>
    </row>
    <row x14ac:dyDescent="0.25" r="1959" customHeight="1" ht="17.25">
      <c r="A1959" s="11">
        <v>325260</v>
      </c>
      <c r="B1959" s="4" t="s">
        <v>8561</v>
      </c>
      <c r="C1959" s="5" t="s">
        <v>585</v>
      </c>
      <c r="D1959" s="5" t="s">
        <v>586</v>
      </c>
      <c r="E1959" s="12"/>
      <c r="F1959" s="13">
        <f>"1840680431"</f>
      </c>
      <c r="G1959" s="13">
        <f>"9781840680430"</f>
      </c>
      <c r="H1959" s="11">
        <v>0</v>
      </c>
      <c r="I1959" s="14">
        <v>4.14</v>
      </c>
      <c r="J1959" s="7" t="s">
        <v>587</v>
      </c>
      <c r="K1959" s="5" t="s">
        <v>60</v>
      </c>
      <c r="L1959" s="11">
        <v>256</v>
      </c>
      <c r="M1959" s="11">
        <v>2001</v>
      </c>
      <c r="N1959" s="11">
        <v>2001</v>
      </c>
      <c r="O1959" s="15"/>
      <c r="P1959" s="8">
        <v>43961</v>
      </c>
      <c r="Q1959" s="8"/>
      <c r="R1959" s="8"/>
      <c r="S1959" s="8"/>
      <c r="T1959" s="8"/>
      <c r="U1959" s="8"/>
      <c r="V1959" s="8"/>
      <c r="W1959" s="8"/>
      <c r="X1959" s="8"/>
      <c r="Y1959" s="8"/>
      <c r="Z1959" s="8"/>
      <c r="AA1959" s="8"/>
      <c r="AB1959" s="8"/>
      <c r="AC1959" s="8"/>
      <c r="AD1959" s="8"/>
      <c r="AE1959" s="8"/>
      <c r="AF1959" s="8"/>
      <c r="AG1959" s="8"/>
      <c r="AH1959" s="8"/>
      <c r="AI1959" s="8"/>
      <c r="AJ1959" s="8"/>
      <c r="AK1959" s="8"/>
      <c r="AL1959" s="8"/>
      <c r="AM1959" s="8"/>
      <c r="AN1959" s="8"/>
      <c r="AO1959" s="8"/>
      <c r="AP1959" s="8"/>
      <c r="AQ1959" s="8"/>
      <c r="AR1959" s="8"/>
      <c r="AS1959" s="8"/>
      <c r="AT1959" s="8"/>
      <c r="AU1959" s="8"/>
      <c r="AV1959" s="8"/>
      <c r="AW1959" s="8"/>
      <c r="AX1959" s="4" t="s">
        <v>38</v>
      </c>
      <c r="AY1959" s="5" t="s">
        <v>8562</v>
      </c>
      <c r="AZ1959" s="5" t="s">
        <v>38</v>
      </c>
      <c r="BA1959" s="12"/>
      <c r="BB1959" s="12"/>
      <c r="BC1959" s="12"/>
      <c r="BD1959" s="11">
        <v>0</v>
      </c>
      <c r="BE1959" s="11">
        <v>0</v>
      </c>
    </row>
    <row x14ac:dyDescent="0.25" r="1960" customHeight="1" ht="17.25">
      <c r="A1960" s="11">
        <v>777260</v>
      </c>
      <c r="B1960" s="4" t="s">
        <v>8563</v>
      </c>
      <c r="C1960" s="5" t="s">
        <v>8564</v>
      </c>
      <c r="D1960" s="5" t="s">
        <v>8565</v>
      </c>
      <c r="E1960" s="12"/>
      <c r="F1960" s="13">
        <f>"0879516240"</f>
      </c>
      <c r="G1960" s="13">
        <f>"9780879516246"</f>
      </c>
      <c r="H1960" s="11">
        <v>0</v>
      </c>
      <c r="I1960" s="14">
        <v>4.57</v>
      </c>
      <c r="J1960" s="7" t="s">
        <v>8566</v>
      </c>
      <c r="K1960" s="5" t="s">
        <v>60</v>
      </c>
      <c r="L1960" s="11">
        <v>496</v>
      </c>
      <c r="M1960" s="11">
        <v>1995</v>
      </c>
      <c r="N1960" s="11">
        <v>1986</v>
      </c>
      <c r="O1960" s="15"/>
      <c r="P1960" s="8">
        <v>43961</v>
      </c>
      <c r="Q1960" s="8"/>
      <c r="R1960" s="8"/>
      <c r="S1960" s="8"/>
      <c r="T1960" s="8"/>
      <c r="U1960" s="8"/>
      <c r="V1960" s="8"/>
      <c r="W1960" s="8"/>
      <c r="X1960" s="8"/>
      <c r="Y1960" s="8"/>
      <c r="Z1960" s="8"/>
      <c r="AA1960" s="8"/>
      <c r="AB1960" s="8"/>
      <c r="AC1960" s="8"/>
      <c r="AD1960" s="8"/>
      <c r="AE1960" s="8"/>
      <c r="AF1960" s="8"/>
      <c r="AG1960" s="8"/>
      <c r="AH1960" s="8"/>
      <c r="AI1960" s="8"/>
      <c r="AJ1960" s="8"/>
      <c r="AK1960" s="8"/>
      <c r="AL1960" s="8"/>
      <c r="AM1960" s="8"/>
      <c r="AN1960" s="8"/>
      <c r="AO1960" s="8"/>
      <c r="AP1960" s="8"/>
      <c r="AQ1960" s="8"/>
      <c r="AR1960" s="8"/>
      <c r="AS1960" s="8"/>
      <c r="AT1960" s="8"/>
      <c r="AU1960" s="8"/>
      <c r="AV1960" s="8"/>
      <c r="AW1960" s="8"/>
      <c r="AX1960" s="4" t="s">
        <v>38</v>
      </c>
      <c r="AY1960" s="5" t="s">
        <v>8567</v>
      </c>
      <c r="AZ1960" s="5" t="s">
        <v>38</v>
      </c>
      <c r="BA1960" s="12"/>
      <c r="BB1960" s="12"/>
      <c r="BC1960" s="12"/>
      <c r="BD1960" s="11">
        <v>0</v>
      </c>
      <c r="BE1960" s="11">
        <v>0</v>
      </c>
    </row>
    <row x14ac:dyDescent="0.25" r="1961" customHeight="1" ht="17.25">
      <c r="A1961" s="11">
        <v>2422891</v>
      </c>
      <c r="B1961" s="4" t="s">
        <v>8568</v>
      </c>
      <c r="C1961" s="5" t="s">
        <v>8569</v>
      </c>
      <c r="D1961" s="5" t="s">
        <v>8570</v>
      </c>
      <c r="E1961" s="5" t="s">
        <v>8571</v>
      </c>
      <c r="F1961" s="13">
        <f>"1842432184"</f>
      </c>
      <c r="G1961" s="13">
        <f>"9781842432181"</f>
      </c>
      <c r="H1961" s="11">
        <v>0</v>
      </c>
      <c r="I1961" s="14">
        <v>3.32</v>
      </c>
      <c r="J1961" s="7" t="s">
        <v>8572</v>
      </c>
      <c r="K1961" s="5" t="s">
        <v>60</v>
      </c>
      <c r="L1961" s="11">
        <v>204</v>
      </c>
      <c r="M1961" s="11">
        <v>2008</v>
      </c>
      <c r="N1961" s="11">
        <v>2001</v>
      </c>
      <c r="O1961" s="15"/>
      <c r="P1961" s="8">
        <v>43961</v>
      </c>
      <c r="Q1961" s="8"/>
      <c r="R1961" s="8"/>
      <c r="S1961" s="8"/>
      <c r="T1961" s="8"/>
      <c r="U1961" s="8"/>
      <c r="V1961" s="8"/>
      <c r="W1961" s="8"/>
      <c r="X1961" s="8"/>
      <c r="Y1961" s="8"/>
      <c r="Z1961" s="8"/>
      <c r="AA1961" s="8"/>
      <c r="AB1961" s="8"/>
      <c r="AC1961" s="8"/>
      <c r="AD1961" s="8"/>
      <c r="AE1961" s="8"/>
      <c r="AF1961" s="8"/>
      <c r="AG1961" s="8"/>
      <c r="AH1961" s="8"/>
      <c r="AI1961" s="8"/>
      <c r="AJ1961" s="8"/>
      <c r="AK1961" s="8"/>
      <c r="AL1961" s="8"/>
      <c r="AM1961" s="8"/>
      <c r="AN1961" s="8"/>
      <c r="AO1961" s="8"/>
      <c r="AP1961" s="8"/>
      <c r="AQ1961" s="8"/>
      <c r="AR1961" s="8"/>
      <c r="AS1961" s="8"/>
      <c r="AT1961" s="8"/>
      <c r="AU1961" s="8"/>
      <c r="AV1961" s="8"/>
      <c r="AW1961" s="8"/>
      <c r="AX1961" s="4" t="s">
        <v>38</v>
      </c>
      <c r="AY1961" s="5" t="s">
        <v>8573</v>
      </c>
      <c r="AZ1961" s="5" t="s">
        <v>38</v>
      </c>
      <c r="BA1961" s="12"/>
      <c r="BB1961" s="12"/>
      <c r="BC1961" s="12"/>
      <c r="BD1961" s="11">
        <v>0</v>
      </c>
      <c r="BE1961" s="11">
        <v>0</v>
      </c>
    </row>
    <row x14ac:dyDescent="0.25" r="1962" customHeight="1" ht="17.25">
      <c r="A1962" s="11">
        <v>602649</v>
      </c>
      <c r="B1962" s="4" t="s">
        <v>8574</v>
      </c>
      <c r="C1962" s="5" t="s">
        <v>8575</v>
      </c>
      <c r="D1962" s="5" t="s">
        <v>8576</v>
      </c>
      <c r="E1962" s="12"/>
      <c r="F1962" s="13">
        <f>"1844571645"</f>
      </c>
      <c r="G1962" s="13">
        <f>"9781844571642"</f>
      </c>
      <c r="H1962" s="11">
        <v>0</v>
      </c>
      <c r="I1962" s="14">
        <v>3.98</v>
      </c>
      <c r="J1962" s="7" t="s">
        <v>8577</v>
      </c>
      <c r="K1962" s="5" t="s">
        <v>60</v>
      </c>
      <c r="L1962" s="11">
        <v>272</v>
      </c>
      <c r="M1962" s="11">
        <v>2007</v>
      </c>
      <c r="N1962" s="11">
        <v>2007</v>
      </c>
      <c r="O1962" s="15"/>
      <c r="P1962" s="8">
        <v>43961</v>
      </c>
      <c r="Q1962" s="8"/>
      <c r="R1962" s="8"/>
      <c r="S1962" s="8"/>
      <c r="T1962" s="8"/>
      <c r="U1962" s="8"/>
      <c r="V1962" s="8"/>
      <c r="W1962" s="8"/>
      <c r="X1962" s="8"/>
      <c r="Y1962" s="8"/>
      <c r="Z1962" s="8"/>
      <c r="AA1962" s="8"/>
      <c r="AB1962" s="8"/>
      <c r="AC1962" s="8"/>
      <c r="AD1962" s="8"/>
      <c r="AE1962" s="8"/>
      <c r="AF1962" s="8"/>
      <c r="AG1962" s="8"/>
      <c r="AH1962" s="8"/>
      <c r="AI1962" s="8"/>
      <c r="AJ1962" s="8"/>
      <c r="AK1962" s="8"/>
      <c r="AL1962" s="8"/>
      <c r="AM1962" s="8"/>
      <c r="AN1962" s="8"/>
      <c r="AO1962" s="8"/>
      <c r="AP1962" s="8"/>
      <c r="AQ1962" s="8"/>
      <c r="AR1962" s="8"/>
      <c r="AS1962" s="8"/>
      <c r="AT1962" s="8"/>
      <c r="AU1962" s="8"/>
      <c r="AV1962" s="8"/>
      <c r="AW1962" s="8"/>
      <c r="AX1962" s="4" t="s">
        <v>38</v>
      </c>
      <c r="AY1962" s="5" t="s">
        <v>8578</v>
      </c>
      <c r="AZ1962" s="5" t="s">
        <v>38</v>
      </c>
      <c r="BA1962" s="12"/>
      <c r="BB1962" s="12"/>
      <c r="BC1962" s="12"/>
      <c r="BD1962" s="11">
        <v>0</v>
      </c>
      <c r="BE1962" s="11">
        <v>0</v>
      </c>
    </row>
    <row x14ac:dyDescent="0.25" r="1963" customHeight="1" ht="17.25">
      <c r="A1963" s="11">
        <v>513752</v>
      </c>
      <c r="B1963" s="4" t="s">
        <v>8579</v>
      </c>
      <c r="C1963" s="5" t="s">
        <v>8580</v>
      </c>
      <c r="D1963" s="5" t="s">
        <v>8581</v>
      </c>
      <c r="E1963" s="5" t="s">
        <v>8582</v>
      </c>
      <c r="F1963" s="13">
        <f>"0879101776"</f>
      </c>
      <c r="G1963" s="13">
        <f>"9780879101770"</f>
      </c>
      <c r="H1963" s="11">
        <v>0</v>
      </c>
      <c r="I1963" s="14">
        <v>4.09</v>
      </c>
      <c r="J1963" s="7" t="s">
        <v>8583</v>
      </c>
      <c r="K1963" s="5" t="s">
        <v>60</v>
      </c>
      <c r="L1963" s="11">
        <v>226</v>
      </c>
      <c r="M1963" s="11">
        <v>2004</v>
      </c>
      <c r="N1963" s="11">
        <v>2004</v>
      </c>
      <c r="O1963" s="15"/>
      <c r="P1963" s="8">
        <v>43961</v>
      </c>
      <c r="Q1963" s="8"/>
      <c r="R1963" s="8"/>
      <c r="S1963" s="8"/>
      <c r="T1963" s="8"/>
      <c r="U1963" s="8"/>
      <c r="V1963" s="8"/>
      <c r="W1963" s="8"/>
      <c r="X1963" s="8"/>
      <c r="Y1963" s="8"/>
      <c r="Z1963" s="8"/>
      <c r="AA1963" s="8"/>
      <c r="AB1963" s="8"/>
      <c r="AC1963" s="8"/>
      <c r="AD1963" s="8"/>
      <c r="AE1963" s="8"/>
      <c r="AF1963" s="8"/>
      <c r="AG1963" s="8"/>
      <c r="AH1963" s="8"/>
      <c r="AI1963" s="8"/>
      <c r="AJ1963" s="8"/>
      <c r="AK1963" s="8"/>
      <c r="AL1963" s="8"/>
      <c r="AM1963" s="8"/>
      <c r="AN1963" s="8"/>
      <c r="AO1963" s="8"/>
      <c r="AP1963" s="8"/>
      <c r="AQ1963" s="8"/>
      <c r="AR1963" s="8"/>
      <c r="AS1963" s="8"/>
      <c r="AT1963" s="8"/>
      <c r="AU1963" s="8"/>
      <c r="AV1963" s="8"/>
      <c r="AW1963" s="8"/>
      <c r="AX1963" s="4" t="s">
        <v>38</v>
      </c>
      <c r="AY1963" s="5" t="s">
        <v>8584</v>
      </c>
      <c r="AZ1963" s="5" t="s">
        <v>38</v>
      </c>
      <c r="BA1963" s="12"/>
      <c r="BB1963" s="12"/>
      <c r="BC1963" s="12"/>
      <c r="BD1963" s="11">
        <v>0</v>
      </c>
      <c r="BE1963" s="11">
        <v>0</v>
      </c>
    </row>
    <row x14ac:dyDescent="0.25" r="1964" customHeight="1" ht="17.25">
      <c r="A1964" s="11">
        <v>1078943</v>
      </c>
      <c r="B1964" s="4" t="s">
        <v>8585</v>
      </c>
      <c r="C1964" s="5" t="s">
        <v>8586</v>
      </c>
      <c r="D1964" s="5" t="s">
        <v>8587</v>
      </c>
      <c r="E1964" s="12"/>
      <c r="F1964" s="13">
        <f>"0806514256"</f>
      </c>
      <c r="G1964" s="13">
        <f>"9780806514253"</f>
      </c>
      <c r="H1964" s="11">
        <v>0</v>
      </c>
      <c r="I1964" s="14">
        <v>3.74</v>
      </c>
      <c r="J1964" s="7" t="s">
        <v>6282</v>
      </c>
      <c r="K1964" s="5" t="s">
        <v>60</v>
      </c>
      <c r="L1964" s="11">
        <v>227</v>
      </c>
      <c r="M1964" s="11">
        <v>2000</v>
      </c>
      <c r="N1964" s="11">
        <v>1993</v>
      </c>
      <c r="O1964" s="15"/>
      <c r="P1964" s="8">
        <v>43961</v>
      </c>
      <c r="Q1964" s="8"/>
      <c r="R1964" s="8"/>
      <c r="S1964" s="8"/>
      <c r="T1964" s="8"/>
      <c r="U1964" s="8"/>
      <c r="V1964" s="8"/>
      <c r="W1964" s="8"/>
      <c r="X1964" s="8"/>
      <c r="Y1964" s="8"/>
      <c r="Z1964" s="8"/>
      <c r="AA1964" s="8"/>
      <c r="AB1964" s="8"/>
      <c r="AC1964" s="8"/>
      <c r="AD1964" s="8"/>
      <c r="AE1964" s="8"/>
      <c r="AF1964" s="8"/>
      <c r="AG1964" s="8"/>
      <c r="AH1964" s="8"/>
      <c r="AI1964" s="8"/>
      <c r="AJ1964" s="8"/>
      <c r="AK1964" s="8"/>
      <c r="AL1964" s="8"/>
      <c r="AM1964" s="8"/>
      <c r="AN1964" s="8"/>
      <c r="AO1964" s="8"/>
      <c r="AP1964" s="8"/>
      <c r="AQ1964" s="8"/>
      <c r="AR1964" s="8"/>
      <c r="AS1964" s="8"/>
      <c r="AT1964" s="8"/>
      <c r="AU1964" s="8"/>
      <c r="AV1964" s="8"/>
      <c r="AW1964" s="8"/>
      <c r="AX1964" s="4" t="s">
        <v>38</v>
      </c>
      <c r="AY1964" s="5" t="s">
        <v>8588</v>
      </c>
      <c r="AZ1964" s="5" t="s">
        <v>38</v>
      </c>
      <c r="BA1964" s="12"/>
      <c r="BB1964" s="12"/>
      <c r="BC1964" s="12"/>
      <c r="BD1964" s="11">
        <v>0</v>
      </c>
      <c r="BE1964" s="11">
        <v>0</v>
      </c>
    </row>
    <row x14ac:dyDescent="0.25" r="1965" customHeight="1" ht="17.25">
      <c r="A1965" s="11">
        <v>516060</v>
      </c>
      <c r="B1965" s="4" t="s">
        <v>8589</v>
      </c>
      <c r="C1965" s="5" t="s">
        <v>8590</v>
      </c>
      <c r="D1965" s="5" t="s">
        <v>8591</v>
      </c>
      <c r="E1965" s="5" t="s">
        <v>8592</v>
      </c>
      <c r="F1965" s="13">
        <f>"1889307017"</f>
      </c>
      <c r="G1965" s="13">
        <f>"9781889307015"</f>
      </c>
      <c r="H1965" s="11">
        <v>0</v>
      </c>
      <c r="I1965" s="14">
        <v>4.28</v>
      </c>
      <c r="J1965" s="7" t="s">
        <v>8593</v>
      </c>
      <c r="K1965" s="5" t="s">
        <v>60</v>
      </c>
      <c r="L1965" s="11">
        <v>224</v>
      </c>
      <c r="M1965" s="11">
        <v>1986</v>
      </c>
      <c r="N1965" s="11">
        <v>1986</v>
      </c>
      <c r="O1965" s="15"/>
      <c r="P1965" s="8">
        <v>43961</v>
      </c>
      <c r="Q1965" s="8"/>
      <c r="R1965" s="8"/>
      <c r="S1965" s="8"/>
      <c r="T1965" s="8"/>
      <c r="U1965" s="8"/>
      <c r="V1965" s="8"/>
      <c r="W1965" s="8"/>
      <c r="X1965" s="8"/>
      <c r="Y1965" s="8"/>
      <c r="Z1965" s="8"/>
      <c r="AA1965" s="8"/>
      <c r="AB1965" s="8"/>
      <c r="AC1965" s="8"/>
      <c r="AD1965" s="8"/>
      <c r="AE1965" s="8"/>
      <c r="AF1965" s="8"/>
      <c r="AG1965" s="8"/>
      <c r="AH1965" s="8"/>
      <c r="AI1965" s="8"/>
      <c r="AJ1965" s="8"/>
      <c r="AK1965" s="8"/>
      <c r="AL1965" s="8"/>
      <c r="AM1965" s="8"/>
      <c r="AN1965" s="8"/>
      <c r="AO1965" s="8"/>
      <c r="AP1965" s="8"/>
      <c r="AQ1965" s="8"/>
      <c r="AR1965" s="8"/>
      <c r="AS1965" s="8"/>
      <c r="AT1965" s="8"/>
      <c r="AU1965" s="8"/>
      <c r="AV1965" s="8"/>
      <c r="AW1965" s="8"/>
      <c r="AX1965" s="4" t="s">
        <v>38</v>
      </c>
      <c r="AY1965" s="5" t="s">
        <v>8594</v>
      </c>
      <c r="AZ1965" s="5" t="s">
        <v>38</v>
      </c>
      <c r="BA1965" s="12"/>
      <c r="BB1965" s="12"/>
      <c r="BC1965" s="12"/>
      <c r="BD1965" s="11">
        <v>0</v>
      </c>
      <c r="BE1965" s="11">
        <v>0</v>
      </c>
    </row>
    <row x14ac:dyDescent="0.25" r="1966" customHeight="1" ht="17.25">
      <c r="A1966" s="11">
        <v>1695103</v>
      </c>
      <c r="B1966" s="4" t="s">
        <v>8595</v>
      </c>
      <c r="C1966" s="5" t="s">
        <v>8596</v>
      </c>
      <c r="D1966" s="5" t="s">
        <v>8597</v>
      </c>
      <c r="E1966" s="12"/>
      <c r="F1966" s="13">
        <f>"0878338799"</f>
      </c>
      <c r="G1966" s="13">
        <f>"9780878338795"</f>
      </c>
      <c r="H1966" s="11">
        <v>0</v>
      </c>
      <c r="I1966" s="14">
        <v>3.84</v>
      </c>
      <c r="J1966" s="7" t="s">
        <v>8598</v>
      </c>
      <c r="K1966" s="5" t="s">
        <v>72</v>
      </c>
      <c r="L1966" s="16"/>
      <c r="M1966" s="11">
        <v>1995</v>
      </c>
      <c r="N1966" s="11">
        <v>1995</v>
      </c>
      <c r="O1966" s="15"/>
      <c r="P1966" s="8">
        <v>43961</v>
      </c>
      <c r="Q1966" s="8"/>
      <c r="R1966" s="8"/>
      <c r="S1966" s="8"/>
      <c r="T1966" s="8"/>
      <c r="U1966" s="8"/>
      <c r="V1966" s="8"/>
      <c r="W1966" s="8"/>
      <c r="X1966" s="8"/>
      <c r="Y1966" s="8"/>
      <c r="Z1966" s="8"/>
      <c r="AA1966" s="8"/>
      <c r="AB1966" s="8"/>
      <c r="AC1966" s="8"/>
      <c r="AD1966" s="8"/>
      <c r="AE1966" s="8"/>
      <c r="AF1966" s="8"/>
      <c r="AG1966" s="8"/>
      <c r="AH1966" s="8"/>
      <c r="AI1966" s="8"/>
      <c r="AJ1966" s="8"/>
      <c r="AK1966" s="8"/>
      <c r="AL1966" s="8"/>
      <c r="AM1966" s="8"/>
      <c r="AN1966" s="8"/>
      <c r="AO1966" s="8"/>
      <c r="AP1966" s="8"/>
      <c r="AQ1966" s="8"/>
      <c r="AR1966" s="8"/>
      <c r="AS1966" s="8"/>
      <c r="AT1966" s="8"/>
      <c r="AU1966" s="8"/>
      <c r="AV1966" s="8"/>
      <c r="AW1966" s="8"/>
      <c r="AX1966" s="4" t="s">
        <v>38</v>
      </c>
      <c r="AY1966" s="5" t="s">
        <v>8599</v>
      </c>
      <c r="AZ1966" s="5" t="s">
        <v>38</v>
      </c>
      <c r="BA1966" s="12"/>
      <c r="BB1966" s="12"/>
      <c r="BC1966" s="12"/>
      <c r="BD1966" s="11">
        <v>0</v>
      </c>
      <c r="BE1966" s="11">
        <v>0</v>
      </c>
    </row>
    <row x14ac:dyDescent="0.25" r="1967" customHeight="1" ht="17.25">
      <c r="A1967" s="11">
        <v>280021</v>
      </c>
      <c r="B1967" s="4" t="s">
        <v>8600</v>
      </c>
      <c r="C1967" s="5" t="s">
        <v>8601</v>
      </c>
      <c r="D1967" s="5" t="s">
        <v>8602</v>
      </c>
      <c r="E1967" s="12"/>
      <c r="F1967" s="13">
        <f>"0517573660"</f>
      </c>
      <c r="G1967" s="13">
        <f>"9780517573662"</f>
      </c>
      <c r="H1967" s="11">
        <v>0</v>
      </c>
      <c r="I1967" s="14">
        <v>4.2</v>
      </c>
      <c r="J1967" s="7" t="s">
        <v>2708</v>
      </c>
      <c r="K1967" s="5" t="s">
        <v>72</v>
      </c>
      <c r="L1967" s="11">
        <v>255</v>
      </c>
      <c r="M1967" s="11">
        <v>1989</v>
      </c>
      <c r="N1967" s="11">
        <v>1984</v>
      </c>
      <c r="O1967" s="15"/>
      <c r="P1967" s="8">
        <v>43961</v>
      </c>
      <c r="Q1967" s="8"/>
      <c r="R1967" s="8"/>
      <c r="S1967" s="8"/>
      <c r="T1967" s="8"/>
      <c r="U1967" s="8"/>
      <c r="V1967" s="8"/>
      <c r="W1967" s="8"/>
      <c r="X1967" s="8"/>
      <c r="Y1967" s="8"/>
      <c r="Z1967" s="8"/>
      <c r="AA1967" s="8"/>
      <c r="AB1967" s="8"/>
      <c r="AC1967" s="8"/>
      <c r="AD1967" s="8"/>
      <c r="AE1967" s="8"/>
      <c r="AF1967" s="8"/>
      <c r="AG1967" s="8"/>
      <c r="AH1967" s="8"/>
      <c r="AI1967" s="8"/>
      <c r="AJ1967" s="8"/>
      <c r="AK1967" s="8"/>
      <c r="AL1967" s="8"/>
      <c r="AM1967" s="8"/>
      <c r="AN1967" s="8"/>
      <c r="AO1967" s="8"/>
      <c r="AP1967" s="8"/>
      <c r="AQ1967" s="8"/>
      <c r="AR1967" s="8"/>
      <c r="AS1967" s="8"/>
      <c r="AT1967" s="8"/>
      <c r="AU1967" s="8"/>
      <c r="AV1967" s="8"/>
      <c r="AW1967" s="8"/>
      <c r="AX1967" s="4" t="s">
        <v>38</v>
      </c>
      <c r="AY1967" s="5" t="s">
        <v>8603</v>
      </c>
      <c r="AZ1967" s="5" t="s">
        <v>38</v>
      </c>
      <c r="BA1967" s="12"/>
      <c r="BB1967" s="12"/>
      <c r="BC1967" s="12"/>
      <c r="BD1967" s="11">
        <v>0</v>
      </c>
      <c r="BE1967" s="11">
        <v>0</v>
      </c>
    </row>
    <row x14ac:dyDescent="0.25" r="1968" customHeight="1" ht="17.25">
      <c r="A1968" s="11">
        <v>97751</v>
      </c>
      <c r="B1968" s="4" t="s">
        <v>8604</v>
      </c>
      <c r="C1968" s="5" t="s">
        <v>8605</v>
      </c>
      <c r="D1968" s="5" t="s">
        <v>8606</v>
      </c>
      <c r="E1968" s="5" t="s">
        <v>8607</v>
      </c>
      <c r="F1968" s="13">
        <f>"0142437476"</f>
      </c>
      <c r="G1968" s="13">
        <f>"9780142437476"</f>
      </c>
      <c r="H1968" s="11">
        <v>0</v>
      </c>
      <c r="I1968" s="14">
        <v>3.88</v>
      </c>
      <c r="J1968" s="7" t="s">
        <v>263</v>
      </c>
      <c r="K1968" s="5" t="s">
        <v>60</v>
      </c>
      <c r="L1968" s="11">
        <v>240</v>
      </c>
      <c r="M1968" s="11">
        <v>2003</v>
      </c>
      <c r="N1968" s="11">
        <v>1919</v>
      </c>
      <c r="O1968" s="15"/>
      <c r="P1968" s="8">
        <v>43961</v>
      </c>
      <c r="Q1968" s="8"/>
      <c r="R1968" s="8"/>
      <c r="S1968" s="8"/>
      <c r="T1968" s="8"/>
      <c r="U1968" s="8"/>
      <c r="V1968" s="8"/>
      <c r="W1968" s="8"/>
      <c r="X1968" s="8"/>
      <c r="Y1968" s="8"/>
      <c r="Z1968" s="8"/>
      <c r="AA1968" s="8"/>
      <c r="AB1968" s="8"/>
      <c r="AC1968" s="8"/>
      <c r="AD1968" s="8"/>
      <c r="AE1968" s="8"/>
      <c r="AF1968" s="8"/>
      <c r="AG1968" s="8"/>
      <c r="AH1968" s="8"/>
      <c r="AI1968" s="8"/>
      <c r="AJ1968" s="8"/>
      <c r="AK1968" s="8"/>
      <c r="AL1968" s="8"/>
      <c r="AM1968" s="8"/>
      <c r="AN1968" s="8"/>
      <c r="AO1968" s="8"/>
      <c r="AP1968" s="8"/>
      <c r="AQ1968" s="8"/>
      <c r="AR1968" s="8"/>
      <c r="AS1968" s="8"/>
      <c r="AT1968" s="8"/>
      <c r="AU1968" s="8"/>
      <c r="AV1968" s="8"/>
      <c r="AW1968" s="8"/>
      <c r="AX1968" s="4" t="s">
        <v>38</v>
      </c>
      <c r="AY1968" s="5" t="s">
        <v>8608</v>
      </c>
      <c r="AZ1968" s="5" t="s">
        <v>38</v>
      </c>
      <c r="BA1968" s="12"/>
      <c r="BB1968" s="12"/>
      <c r="BC1968" s="12"/>
      <c r="BD1968" s="11">
        <v>0</v>
      </c>
      <c r="BE1968" s="11">
        <v>0</v>
      </c>
    </row>
    <row x14ac:dyDescent="0.25" r="1969" customHeight="1" ht="17.25">
      <c r="A1969" s="11">
        <v>42815538</v>
      </c>
      <c r="B1969" s="4" t="s">
        <v>8609</v>
      </c>
      <c r="C1969" s="5" t="s">
        <v>8610</v>
      </c>
      <c r="D1969" s="5" t="s">
        <v>8611</v>
      </c>
      <c r="E1969" s="12"/>
      <c r="F1969" s="13">
        <f>"0525508961"</f>
      </c>
      <c r="G1969" s="13">
        <f>"9780525508960"</f>
      </c>
      <c r="H1969" s="11">
        <v>0</v>
      </c>
      <c r="I1969" s="14">
        <v>3.98</v>
      </c>
      <c r="J1969" s="7" t="s">
        <v>1018</v>
      </c>
      <c r="K1969" s="5" t="s">
        <v>72</v>
      </c>
      <c r="L1969" s="11">
        <v>384</v>
      </c>
      <c r="M1969" s="11">
        <v>2019</v>
      </c>
      <c r="N1969" s="11">
        <v>2019</v>
      </c>
      <c r="O1969" s="15"/>
      <c r="P1969" s="8">
        <v>43961</v>
      </c>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c r="AO1969" s="8"/>
      <c r="AP1969" s="8"/>
      <c r="AQ1969" s="8"/>
      <c r="AR1969" s="8"/>
      <c r="AS1969" s="8"/>
      <c r="AT1969" s="8"/>
      <c r="AU1969" s="8"/>
      <c r="AV1969" s="8"/>
      <c r="AW1969" s="8"/>
      <c r="AX1969" s="4" t="s">
        <v>38</v>
      </c>
      <c r="AY1969" s="5" t="s">
        <v>8612</v>
      </c>
      <c r="AZ1969" s="5" t="s">
        <v>38</v>
      </c>
      <c r="BA1969" s="12"/>
      <c r="BB1969" s="12"/>
      <c r="BC1969" s="12"/>
      <c r="BD1969" s="11">
        <v>0</v>
      </c>
      <c r="BE1969" s="11">
        <v>0</v>
      </c>
    </row>
    <row x14ac:dyDescent="0.25" r="1970" customHeight="1" ht="17.25">
      <c r="A1970" s="11">
        <v>36210669</v>
      </c>
      <c r="B1970" s="4" t="s">
        <v>8613</v>
      </c>
      <c r="C1970" s="5" t="s">
        <v>8614</v>
      </c>
      <c r="D1970" s="5" t="s">
        <v>8615</v>
      </c>
      <c r="E1970" s="5" t="s">
        <v>8616</v>
      </c>
      <c r="F1970" s="13">
        <f>"0813595126"</f>
      </c>
      <c r="G1970" s="13">
        <f>"9780813595122"</f>
      </c>
      <c r="H1970" s="11">
        <v>0</v>
      </c>
      <c r="I1970" s="14">
        <v>3.61</v>
      </c>
      <c r="J1970" s="7" t="s">
        <v>8617</v>
      </c>
      <c r="K1970" s="5" t="s">
        <v>60</v>
      </c>
      <c r="L1970" s="11">
        <v>524</v>
      </c>
      <c r="M1970" s="11">
        <v>2018</v>
      </c>
      <c r="N1970" s="11">
        <v>2008</v>
      </c>
      <c r="O1970" s="15"/>
      <c r="P1970" s="8">
        <v>43961</v>
      </c>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c r="AO1970" s="8"/>
      <c r="AP1970" s="8"/>
      <c r="AQ1970" s="8"/>
      <c r="AR1970" s="8"/>
      <c r="AS1970" s="8"/>
      <c r="AT1970" s="8"/>
      <c r="AU1970" s="8"/>
      <c r="AV1970" s="8"/>
      <c r="AW1970" s="8"/>
      <c r="AX1970" s="4" t="s">
        <v>38</v>
      </c>
      <c r="AY1970" s="5" t="s">
        <v>8618</v>
      </c>
      <c r="AZ1970" s="5" t="s">
        <v>38</v>
      </c>
      <c r="BA1970" s="12"/>
      <c r="BB1970" s="12"/>
      <c r="BC1970" s="12"/>
      <c r="BD1970" s="11">
        <v>0</v>
      </c>
      <c r="BE1970" s="11">
        <v>0</v>
      </c>
    </row>
    <row x14ac:dyDescent="0.25" r="1971" customHeight="1" ht="17.25">
      <c r="A1971" s="11">
        <v>43985446</v>
      </c>
      <c r="B1971" s="4" t="s">
        <v>8619</v>
      </c>
      <c r="C1971" s="5" t="s">
        <v>8620</v>
      </c>
      <c r="D1971" s="5" t="s">
        <v>8621</v>
      </c>
      <c r="E1971" s="12"/>
      <c r="F1971" s="13">
        <f>"0889775842"</f>
      </c>
      <c r="G1971" s="13">
        <f>"9780889775848"</f>
      </c>
      <c r="H1971" s="11">
        <v>0</v>
      </c>
      <c r="I1971" s="14">
        <v>3.71</v>
      </c>
      <c r="J1971" s="7" t="s">
        <v>8622</v>
      </c>
      <c r="K1971" s="5" t="s">
        <v>60</v>
      </c>
      <c r="L1971" s="11">
        <v>356</v>
      </c>
      <c r="M1971" s="11">
        <v>2019</v>
      </c>
      <c r="N1971" s="11">
        <v>2019</v>
      </c>
      <c r="O1971" s="15"/>
      <c r="P1971" s="8">
        <v>43961</v>
      </c>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c r="AO1971" s="8"/>
      <c r="AP1971" s="8"/>
      <c r="AQ1971" s="8"/>
      <c r="AR1971" s="8"/>
      <c r="AS1971" s="8"/>
      <c r="AT1971" s="8"/>
      <c r="AU1971" s="8"/>
      <c r="AV1971" s="8"/>
      <c r="AW1971" s="8"/>
      <c r="AX1971" s="4" t="s">
        <v>38</v>
      </c>
      <c r="AY1971" s="5" t="s">
        <v>8623</v>
      </c>
      <c r="AZ1971" s="5" t="s">
        <v>38</v>
      </c>
      <c r="BA1971" s="12"/>
      <c r="BB1971" s="12"/>
      <c r="BC1971" s="12"/>
      <c r="BD1971" s="11">
        <v>0</v>
      </c>
      <c r="BE1971" s="11">
        <v>0</v>
      </c>
    </row>
    <row x14ac:dyDescent="0.25" r="1972" customHeight="1" ht="17.25">
      <c r="A1972" s="11">
        <v>49660279</v>
      </c>
      <c r="B1972" s="4" t="s">
        <v>8624</v>
      </c>
      <c r="C1972" s="5" t="s">
        <v>8625</v>
      </c>
      <c r="D1972" s="5" t="s">
        <v>8626</v>
      </c>
      <c r="E1972" s="12"/>
      <c r="F1972" s="13">
        <f>"0826522750"</f>
      </c>
      <c r="G1972" s="13">
        <f>"9780826522757"</f>
      </c>
      <c r="H1972" s="11">
        <v>0</v>
      </c>
      <c r="I1972" s="14">
        <v>3.78</v>
      </c>
      <c r="J1972" s="7" t="s">
        <v>8627</v>
      </c>
      <c r="K1972" s="5" t="s">
        <v>60</v>
      </c>
      <c r="L1972" s="11">
        <v>172</v>
      </c>
      <c r="M1972" s="11">
        <v>2020</v>
      </c>
      <c r="N1972" s="16"/>
      <c r="O1972" s="15"/>
      <c r="P1972" s="8">
        <v>43961</v>
      </c>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c r="AO1972" s="8"/>
      <c r="AP1972" s="8"/>
      <c r="AQ1972" s="8"/>
      <c r="AR1972" s="8"/>
      <c r="AS1972" s="8"/>
      <c r="AT1972" s="8"/>
      <c r="AU1972" s="8"/>
      <c r="AV1972" s="8"/>
      <c r="AW1972" s="8"/>
      <c r="AX1972" s="4" t="s">
        <v>38</v>
      </c>
      <c r="AY1972" s="5" t="s">
        <v>8628</v>
      </c>
      <c r="AZ1972" s="5" t="s">
        <v>38</v>
      </c>
      <c r="BA1972" s="12"/>
      <c r="BB1972" s="12"/>
      <c r="BC1972" s="12"/>
      <c r="BD1972" s="11">
        <v>0</v>
      </c>
      <c r="BE1972" s="11">
        <v>0</v>
      </c>
    </row>
    <row x14ac:dyDescent="0.25" r="1973" customHeight="1" ht="17.25">
      <c r="A1973" s="11">
        <v>24406</v>
      </c>
      <c r="B1973" s="4" t="s">
        <v>8629</v>
      </c>
      <c r="C1973" s="5" t="s">
        <v>8630</v>
      </c>
      <c r="D1973" s="5" t="s">
        <v>8631</v>
      </c>
      <c r="E1973" s="12"/>
      <c r="F1973" s="13">
        <f>"155728024X"</f>
      </c>
      <c r="G1973" s="13">
        <f>"9781557280244"</f>
      </c>
      <c r="H1973" s="11">
        <v>0</v>
      </c>
      <c r="I1973" s="14">
        <v>4.18</v>
      </c>
      <c r="J1973" s="7" t="s">
        <v>8632</v>
      </c>
      <c r="K1973" s="5" t="s">
        <v>60</v>
      </c>
      <c r="L1973" s="11">
        <v>61</v>
      </c>
      <c r="M1973" s="11">
        <v>1988</v>
      </c>
      <c r="N1973" s="11">
        <v>1988</v>
      </c>
      <c r="O1973" s="15"/>
      <c r="P1973" s="8">
        <v>43961</v>
      </c>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c r="AO1973" s="8"/>
      <c r="AP1973" s="8"/>
      <c r="AQ1973" s="8"/>
      <c r="AR1973" s="8"/>
      <c r="AS1973" s="8"/>
      <c r="AT1973" s="8"/>
      <c r="AU1973" s="8"/>
      <c r="AV1973" s="8"/>
      <c r="AW1973" s="8"/>
      <c r="AX1973" s="4" t="s">
        <v>38</v>
      </c>
      <c r="AY1973" s="5" t="s">
        <v>8633</v>
      </c>
      <c r="AZ1973" s="5" t="s">
        <v>38</v>
      </c>
      <c r="BA1973" s="12"/>
      <c r="BB1973" s="12"/>
      <c r="BC1973" s="12"/>
      <c r="BD1973" s="11">
        <v>0</v>
      </c>
      <c r="BE1973" s="11">
        <v>0</v>
      </c>
    </row>
    <row x14ac:dyDescent="0.25" r="1974" customHeight="1" ht="17.25">
      <c r="A1974" s="11">
        <v>44803810</v>
      </c>
      <c r="B1974" s="4" t="s">
        <v>8634</v>
      </c>
      <c r="C1974" s="5" t="s">
        <v>8635</v>
      </c>
      <c r="D1974" s="5" t="s">
        <v>8636</v>
      </c>
      <c r="E1974" s="12"/>
      <c r="F1974" s="13">
        <f>"081653991X"</f>
      </c>
      <c r="G1974" s="13">
        <f>"9780816539918"</f>
      </c>
      <c r="H1974" s="11">
        <v>0</v>
      </c>
      <c r="I1974" s="14">
        <v>4.3</v>
      </c>
      <c r="J1974" s="7" t="s">
        <v>8637</v>
      </c>
      <c r="K1974" s="5" t="s">
        <v>60</v>
      </c>
      <c r="L1974" s="11">
        <v>168</v>
      </c>
      <c r="M1974" s="11">
        <v>2019</v>
      </c>
      <c r="N1974" s="11">
        <v>2019</v>
      </c>
      <c r="O1974" s="15"/>
      <c r="P1974" s="8">
        <v>43961</v>
      </c>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c r="AO1974" s="8"/>
      <c r="AP1974" s="8"/>
      <c r="AQ1974" s="8"/>
      <c r="AR1974" s="8"/>
      <c r="AS1974" s="8"/>
      <c r="AT1974" s="8"/>
      <c r="AU1974" s="8"/>
      <c r="AV1974" s="8"/>
      <c r="AW1974" s="8"/>
      <c r="AX1974" s="4" t="s">
        <v>38</v>
      </c>
      <c r="AY1974" s="5" t="s">
        <v>8638</v>
      </c>
      <c r="AZ1974" s="5" t="s">
        <v>38</v>
      </c>
      <c r="BA1974" s="12"/>
      <c r="BB1974" s="12"/>
      <c r="BC1974" s="12"/>
      <c r="BD1974" s="11">
        <v>0</v>
      </c>
      <c r="BE1974" s="11">
        <v>0</v>
      </c>
    </row>
    <row x14ac:dyDescent="0.25" r="1975" customHeight="1" ht="17.25">
      <c r="A1975" s="11">
        <v>88047</v>
      </c>
      <c r="B1975" s="4" t="s">
        <v>8639</v>
      </c>
      <c r="C1975" s="5" t="s">
        <v>8640</v>
      </c>
      <c r="D1975" s="5" t="s">
        <v>8641</v>
      </c>
      <c r="E1975" s="12"/>
      <c r="F1975" s="13">
        <f>"1555974260"</f>
      </c>
      <c r="G1975" s="13">
        <f>"9781555974268"</f>
      </c>
      <c r="H1975" s="11">
        <v>0</v>
      </c>
      <c r="I1975" s="14">
        <v>4.03</v>
      </c>
      <c r="J1975" s="7" t="s">
        <v>1001</v>
      </c>
      <c r="K1975" s="5" t="s">
        <v>60</v>
      </c>
      <c r="L1975" s="11">
        <v>261</v>
      </c>
      <c r="M1975" s="11">
        <v>2005</v>
      </c>
      <c r="N1975" s="11">
        <v>2003</v>
      </c>
      <c r="O1975" s="15"/>
      <c r="P1975" s="8">
        <v>43957</v>
      </c>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c r="AO1975" s="8"/>
      <c r="AP1975" s="8"/>
      <c r="AQ1975" s="8"/>
      <c r="AR1975" s="8"/>
      <c r="AS1975" s="8"/>
      <c r="AT1975" s="8"/>
      <c r="AU1975" s="8"/>
      <c r="AV1975" s="8"/>
      <c r="AW1975" s="8"/>
      <c r="AX1975" s="4" t="s">
        <v>38</v>
      </c>
      <c r="AY1975" s="5" t="s">
        <v>8642</v>
      </c>
      <c r="AZ1975" s="5" t="s">
        <v>38</v>
      </c>
      <c r="BA1975" s="12"/>
      <c r="BB1975" s="12"/>
      <c r="BC1975" s="12"/>
      <c r="BD1975" s="11">
        <v>0</v>
      </c>
      <c r="BE1975" s="11">
        <v>0</v>
      </c>
    </row>
    <row x14ac:dyDescent="0.25" r="1976" customHeight="1" ht="17.25">
      <c r="A1976" s="11">
        <v>2818194</v>
      </c>
      <c r="B1976" s="4" t="s">
        <v>8643</v>
      </c>
      <c r="C1976" s="5" t="s">
        <v>7795</v>
      </c>
      <c r="D1976" s="5" t="s">
        <v>7796</v>
      </c>
      <c r="E1976" s="12"/>
      <c r="F1976" s="13">
        <f>"9505572247"</f>
      </c>
      <c r="G1976" s="13">
        <f>"9789505572243"</f>
      </c>
      <c r="H1976" s="11">
        <v>0</v>
      </c>
      <c r="I1976" s="14">
        <v>3.4</v>
      </c>
      <c r="J1976" s="7" t="s">
        <v>8644</v>
      </c>
      <c r="K1976" s="5" t="s">
        <v>60</v>
      </c>
      <c r="L1976" s="11">
        <v>208</v>
      </c>
      <c r="M1976" s="11">
        <v>1996</v>
      </c>
      <c r="N1976" s="11">
        <v>1965</v>
      </c>
      <c r="O1976" s="15"/>
      <c r="P1976" s="8">
        <v>43957</v>
      </c>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c r="AO1976" s="8"/>
      <c r="AP1976" s="8"/>
      <c r="AQ1976" s="8"/>
      <c r="AR1976" s="8"/>
      <c r="AS1976" s="8"/>
      <c r="AT1976" s="8"/>
      <c r="AU1976" s="8"/>
      <c r="AV1976" s="8"/>
      <c r="AW1976" s="8"/>
      <c r="AX1976" s="4" t="s">
        <v>38</v>
      </c>
      <c r="AY1976" s="5" t="s">
        <v>8645</v>
      </c>
      <c r="AZ1976" s="5" t="s">
        <v>38</v>
      </c>
      <c r="BA1976" s="12"/>
      <c r="BB1976" s="12"/>
      <c r="BC1976" s="12"/>
      <c r="BD1976" s="11">
        <v>0</v>
      </c>
      <c r="BE1976" s="11">
        <v>0</v>
      </c>
    </row>
    <row x14ac:dyDescent="0.25" r="1977" customHeight="1" ht="17.25">
      <c r="A1977" s="11">
        <v>13121960</v>
      </c>
      <c r="B1977" s="4" t="s">
        <v>3589</v>
      </c>
      <c r="C1977" s="5" t="s">
        <v>1174</v>
      </c>
      <c r="D1977" s="5" t="s">
        <v>1175</v>
      </c>
      <c r="E1977" s="12"/>
      <c r="F1977" s="13">
        <f>""</f>
      </c>
      <c r="G1977" s="13">
        <f>"9789500432122"</f>
      </c>
      <c r="H1977" s="11">
        <v>0</v>
      </c>
      <c r="I1977" s="14">
        <v>3.83</v>
      </c>
      <c r="J1977" s="7" t="s">
        <v>3318</v>
      </c>
      <c r="K1977" s="5" t="s">
        <v>60</v>
      </c>
      <c r="L1977" s="11">
        <v>221</v>
      </c>
      <c r="M1977" s="11">
        <v>2009</v>
      </c>
      <c r="N1977" s="11">
        <v>2009</v>
      </c>
      <c r="O1977" s="15"/>
      <c r="P1977" s="8">
        <v>43954</v>
      </c>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c r="AO1977" s="8"/>
      <c r="AP1977" s="8"/>
      <c r="AQ1977" s="8"/>
      <c r="AR1977" s="8"/>
      <c r="AS1977" s="8"/>
      <c r="AT1977" s="8"/>
      <c r="AU1977" s="8"/>
      <c r="AV1977" s="8"/>
      <c r="AW1977" s="8"/>
      <c r="AX1977" s="4" t="s">
        <v>38</v>
      </c>
      <c r="AY1977" s="5" t="s">
        <v>8646</v>
      </c>
      <c r="AZ1977" s="5" t="s">
        <v>38</v>
      </c>
      <c r="BA1977" s="12"/>
      <c r="BB1977" s="12"/>
      <c r="BC1977" s="12"/>
      <c r="BD1977" s="11">
        <v>0</v>
      </c>
      <c r="BE1977" s="11">
        <v>0</v>
      </c>
    </row>
    <row x14ac:dyDescent="0.25" r="1978" customHeight="1" ht="17.25">
      <c r="A1978" s="11">
        <v>40314099</v>
      </c>
      <c r="B1978" s="4" t="s">
        <v>8647</v>
      </c>
      <c r="C1978" s="5" t="s">
        <v>1174</v>
      </c>
      <c r="D1978" s="5" t="s">
        <v>1175</v>
      </c>
      <c r="E1978" s="12"/>
      <c r="F1978" s="13">
        <f>"8433939483"</f>
      </c>
      <c r="G1978" s="13">
        <f>"9788433939487"</f>
      </c>
      <c r="H1978" s="11">
        <v>0</v>
      </c>
      <c r="I1978" s="14">
        <v>4.29</v>
      </c>
      <c r="J1978" s="7" t="s">
        <v>1710</v>
      </c>
      <c r="K1978" s="5" t="s">
        <v>90</v>
      </c>
      <c r="L1978" s="11">
        <v>173</v>
      </c>
      <c r="M1978" s="11">
        <v>2018</v>
      </c>
      <c r="N1978" s="11">
        <v>2014</v>
      </c>
      <c r="O1978" s="15"/>
      <c r="P1978" s="8">
        <v>43954</v>
      </c>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c r="AO1978" s="8"/>
      <c r="AP1978" s="8"/>
      <c r="AQ1978" s="8"/>
      <c r="AR1978" s="8"/>
      <c r="AS1978" s="8"/>
      <c r="AT1978" s="8"/>
      <c r="AU1978" s="8"/>
      <c r="AV1978" s="8"/>
      <c r="AW1978" s="8"/>
      <c r="AX1978" s="4" t="s">
        <v>38</v>
      </c>
      <c r="AY1978" s="5" t="s">
        <v>8648</v>
      </c>
      <c r="AZ1978" s="5" t="s">
        <v>38</v>
      </c>
      <c r="BA1978" s="12"/>
      <c r="BB1978" s="12"/>
      <c r="BC1978" s="12"/>
      <c r="BD1978" s="11">
        <v>0</v>
      </c>
      <c r="BE1978" s="11">
        <v>0</v>
      </c>
    </row>
    <row x14ac:dyDescent="0.25" r="1979" customHeight="1" ht="17.25">
      <c r="A1979" s="11">
        <v>551866</v>
      </c>
      <c r="B1979" s="4" t="s">
        <v>8649</v>
      </c>
      <c r="C1979" s="5" t="s">
        <v>8650</v>
      </c>
      <c r="D1979" s="5" t="s">
        <v>8651</v>
      </c>
      <c r="E1979" s="5" t="s">
        <v>2112</v>
      </c>
      <c r="F1979" s="13">
        <f>"0684717255"</f>
      </c>
      <c r="G1979" s="13">
        <f>"9780684717258"</f>
      </c>
      <c r="H1979" s="11">
        <v>0</v>
      </c>
      <c r="I1979" s="14">
        <v>4.07</v>
      </c>
      <c r="J1979" s="7" t="s">
        <v>8652</v>
      </c>
      <c r="K1979" s="5" t="s">
        <v>60</v>
      </c>
      <c r="L1979" s="11">
        <v>185</v>
      </c>
      <c r="M1979" s="11">
        <v>1971</v>
      </c>
      <c r="N1979" s="11">
        <v>1923</v>
      </c>
      <c r="O1979" s="15"/>
      <c r="P1979" s="8">
        <v>43952</v>
      </c>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c r="AO1979" s="8"/>
      <c r="AP1979" s="8"/>
      <c r="AQ1979" s="8"/>
      <c r="AR1979" s="8"/>
      <c r="AS1979" s="8"/>
      <c r="AT1979" s="8"/>
      <c r="AU1979" s="8"/>
      <c r="AV1979" s="8"/>
      <c r="AW1979" s="8"/>
      <c r="AX1979" s="4" t="s">
        <v>38</v>
      </c>
      <c r="AY1979" s="5" t="s">
        <v>8653</v>
      </c>
      <c r="AZ1979" s="5" t="s">
        <v>38</v>
      </c>
      <c r="BA1979" s="12"/>
      <c r="BB1979" s="12"/>
      <c r="BC1979" s="12"/>
      <c r="BD1979" s="11">
        <v>0</v>
      </c>
      <c r="BE1979" s="11">
        <v>0</v>
      </c>
    </row>
    <row x14ac:dyDescent="0.25" r="1980" customHeight="1" ht="17.25">
      <c r="A1980" s="11">
        <v>337521</v>
      </c>
      <c r="B1980" s="4" t="s">
        <v>8654</v>
      </c>
      <c r="C1980" s="5" t="s">
        <v>8655</v>
      </c>
      <c r="D1980" s="5" t="s">
        <v>8656</v>
      </c>
      <c r="E1980" s="12"/>
      <c r="F1980" s="13">
        <f>"0801822181"</f>
      </c>
      <c r="G1980" s="13">
        <f>"9780801822186"</f>
      </c>
      <c r="H1980" s="11">
        <v>0</v>
      </c>
      <c r="I1980" s="14">
        <v>4.13</v>
      </c>
      <c r="J1980" s="7" t="s">
        <v>1324</v>
      </c>
      <c r="K1980" s="5" t="s">
        <v>60</v>
      </c>
      <c r="L1980" s="11">
        <v>352</v>
      </c>
      <c r="M1980" s="11">
        <v>1979</v>
      </c>
      <c r="N1980" s="11">
        <v>1972</v>
      </c>
      <c r="O1980" s="15"/>
      <c r="P1980" s="8">
        <v>43952</v>
      </c>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c r="AO1980" s="8"/>
      <c r="AP1980" s="8"/>
      <c r="AQ1980" s="8"/>
      <c r="AR1980" s="8"/>
      <c r="AS1980" s="8"/>
      <c r="AT1980" s="8"/>
      <c r="AU1980" s="8"/>
      <c r="AV1980" s="8"/>
      <c r="AW1980" s="8"/>
      <c r="AX1980" s="4" t="s">
        <v>38</v>
      </c>
      <c r="AY1980" s="5" t="s">
        <v>8657</v>
      </c>
      <c r="AZ1980" s="5" t="s">
        <v>38</v>
      </c>
      <c r="BA1980" s="12"/>
      <c r="BB1980" s="12"/>
      <c r="BC1980" s="12"/>
      <c r="BD1980" s="11">
        <v>0</v>
      </c>
      <c r="BE1980" s="11">
        <v>0</v>
      </c>
    </row>
    <row x14ac:dyDescent="0.25" r="1981" customHeight="1" ht="17.25">
      <c r="A1981" s="11">
        <v>18877989</v>
      </c>
      <c r="B1981" s="4" t="s">
        <v>8658</v>
      </c>
      <c r="C1981" s="5" t="s">
        <v>8659</v>
      </c>
      <c r="D1981" s="5" t="s">
        <v>8660</v>
      </c>
      <c r="E1981" s="12"/>
      <c r="F1981" s="13">
        <f>""</f>
      </c>
      <c r="G1981" s="13">
        <f>""</f>
      </c>
      <c r="H1981" s="11">
        <v>0</v>
      </c>
      <c r="I1981" s="14">
        <v>3.78</v>
      </c>
      <c r="J1981" s="7" t="s">
        <v>1143</v>
      </c>
      <c r="K1981" s="5" t="s">
        <v>90</v>
      </c>
      <c r="L1981" s="11">
        <v>465</v>
      </c>
      <c r="M1981" s="11">
        <v>2012</v>
      </c>
      <c r="N1981" s="11">
        <v>2010</v>
      </c>
      <c r="O1981" s="15"/>
      <c r="P1981" s="8">
        <v>43952</v>
      </c>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c r="AO1981" s="8"/>
      <c r="AP1981" s="8"/>
      <c r="AQ1981" s="8"/>
      <c r="AR1981" s="8"/>
      <c r="AS1981" s="8"/>
      <c r="AT1981" s="8"/>
      <c r="AU1981" s="8"/>
      <c r="AV1981" s="8"/>
      <c r="AW1981" s="8"/>
      <c r="AX1981" s="4" t="s">
        <v>38</v>
      </c>
      <c r="AY1981" s="5" t="s">
        <v>8661</v>
      </c>
      <c r="AZ1981" s="5" t="s">
        <v>38</v>
      </c>
      <c r="BA1981" s="12"/>
      <c r="BB1981" s="12"/>
      <c r="BC1981" s="12"/>
      <c r="BD1981" s="11">
        <v>0</v>
      </c>
      <c r="BE1981" s="11">
        <v>0</v>
      </c>
    </row>
    <row x14ac:dyDescent="0.25" r="1982" customHeight="1" ht="17.25">
      <c r="A1982" s="11">
        <v>545421</v>
      </c>
      <c r="B1982" s="4" t="s">
        <v>8662</v>
      </c>
      <c r="C1982" s="5" t="s">
        <v>8663</v>
      </c>
      <c r="D1982" s="5" t="s">
        <v>8664</v>
      </c>
      <c r="E1982" s="12"/>
      <c r="F1982" s="13">
        <f>"078671669X"</f>
      </c>
      <c r="G1982" s="13">
        <f>"9780786716692"</f>
      </c>
      <c r="H1982" s="11">
        <v>0</v>
      </c>
      <c r="I1982" s="14">
        <v>3.86</v>
      </c>
      <c r="J1982" s="7" t="s">
        <v>335</v>
      </c>
      <c r="K1982" s="5" t="s">
        <v>60</v>
      </c>
      <c r="L1982" s="11">
        <v>185</v>
      </c>
      <c r="M1982" s="11">
        <v>2005</v>
      </c>
      <c r="N1982" s="11">
        <v>1978</v>
      </c>
      <c r="O1982" s="15"/>
      <c r="P1982" s="8">
        <v>43952</v>
      </c>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c r="AO1982" s="8"/>
      <c r="AP1982" s="8"/>
      <c r="AQ1982" s="8"/>
      <c r="AR1982" s="8"/>
      <c r="AS1982" s="8"/>
      <c r="AT1982" s="8"/>
      <c r="AU1982" s="8"/>
      <c r="AV1982" s="8"/>
      <c r="AW1982" s="8"/>
      <c r="AX1982" s="4" t="s">
        <v>38</v>
      </c>
      <c r="AY1982" s="5" t="s">
        <v>8665</v>
      </c>
      <c r="AZ1982" s="5" t="s">
        <v>38</v>
      </c>
      <c r="BA1982" s="12"/>
      <c r="BB1982" s="12"/>
      <c r="BC1982" s="12"/>
      <c r="BD1982" s="11">
        <v>0</v>
      </c>
      <c r="BE1982" s="11">
        <v>0</v>
      </c>
    </row>
    <row x14ac:dyDescent="0.25" r="1983" customHeight="1" ht="17.25">
      <c r="A1983" s="11">
        <v>43842414</v>
      </c>
      <c r="B1983" s="4" t="s">
        <v>8666</v>
      </c>
      <c r="C1983" s="5" t="s">
        <v>7630</v>
      </c>
      <c r="D1983" s="5" t="s">
        <v>7631</v>
      </c>
      <c r="E1983" s="5" t="s">
        <v>8667</v>
      </c>
      <c r="F1983" s="13">
        <f>""</f>
      </c>
      <c r="G1983" s="13">
        <f>""</f>
      </c>
      <c r="H1983" s="11">
        <v>0</v>
      </c>
      <c r="I1983" s="14">
        <v>4.13</v>
      </c>
      <c r="J1983" s="7" t="s">
        <v>8668</v>
      </c>
      <c r="K1983" s="5" t="s">
        <v>90</v>
      </c>
      <c r="L1983" s="11">
        <v>82</v>
      </c>
      <c r="M1983" s="11">
        <v>2019</v>
      </c>
      <c r="N1983" s="11">
        <v>2018</v>
      </c>
      <c r="O1983" s="15"/>
      <c r="P1983" s="8">
        <v>43952</v>
      </c>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c r="AO1983" s="8"/>
      <c r="AP1983" s="8"/>
      <c r="AQ1983" s="8"/>
      <c r="AR1983" s="8"/>
      <c r="AS1983" s="8"/>
      <c r="AT1983" s="8"/>
      <c r="AU1983" s="8"/>
      <c r="AV1983" s="8"/>
      <c r="AW1983" s="8"/>
      <c r="AX1983" s="4" t="s">
        <v>38</v>
      </c>
      <c r="AY1983" s="5" t="s">
        <v>8669</v>
      </c>
      <c r="AZ1983" s="5" t="s">
        <v>38</v>
      </c>
      <c r="BA1983" s="12"/>
      <c r="BB1983" s="12"/>
      <c r="BC1983" s="12"/>
      <c r="BD1983" s="11">
        <v>0</v>
      </c>
      <c r="BE1983" s="11">
        <v>0</v>
      </c>
    </row>
    <row x14ac:dyDescent="0.25" r="1984" customHeight="1" ht="17.25">
      <c r="A1984" s="11">
        <v>183332</v>
      </c>
      <c r="B1984" s="4" t="s">
        <v>8670</v>
      </c>
      <c r="C1984" s="5" t="s">
        <v>1813</v>
      </c>
      <c r="D1984" s="5" t="s">
        <v>1814</v>
      </c>
      <c r="E1984" s="5" t="s">
        <v>8671</v>
      </c>
      <c r="F1984" s="13">
        <f>"0374529787"</f>
      </c>
      <c r="G1984" s="13">
        <f>"9780374529789"</f>
      </c>
      <c r="H1984" s="11">
        <v>0</v>
      </c>
      <c r="I1984" s="14">
        <v>4.21</v>
      </c>
      <c r="J1984" s="7" t="s">
        <v>120</v>
      </c>
      <c r="K1984" s="5" t="s">
        <v>60</v>
      </c>
      <c r="L1984" s="11">
        <v>496</v>
      </c>
      <c r="M1984" s="11">
        <v>2005</v>
      </c>
      <c r="N1984" s="11">
        <v>1966</v>
      </c>
      <c r="O1984" s="15"/>
      <c r="P1984" s="8">
        <v>43952</v>
      </c>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c r="AO1984" s="8"/>
      <c r="AP1984" s="8"/>
      <c r="AQ1984" s="8"/>
      <c r="AR1984" s="8"/>
      <c r="AS1984" s="8"/>
      <c r="AT1984" s="8"/>
      <c r="AU1984" s="8"/>
      <c r="AV1984" s="8"/>
      <c r="AW1984" s="8"/>
      <c r="AX1984" s="4" t="s">
        <v>38</v>
      </c>
      <c r="AY1984" s="5" t="s">
        <v>8672</v>
      </c>
      <c r="AZ1984" s="5" t="s">
        <v>38</v>
      </c>
      <c r="BA1984" s="12"/>
      <c r="BB1984" s="12"/>
      <c r="BC1984" s="12"/>
      <c r="BD1984" s="11">
        <v>0</v>
      </c>
      <c r="BE1984" s="11">
        <v>0</v>
      </c>
    </row>
    <row x14ac:dyDescent="0.25" r="1985" customHeight="1" ht="17.25">
      <c r="A1985" s="11">
        <v>13377250</v>
      </c>
      <c r="B1985" s="4" t="s">
        <v>8673</v>
      </c>
      <c r="C1985" s="5" t="s">
        <v>8674</v>
      </c>
      <c r="D1985" s="5" t="s">
        <v>8675</v>
      </c>
      <c r="E1985" s="12"/>
      <c r="F1985" s="13">
        <f>"0522855547"</f>
      </c>
      <c r="G1985" s="13">
        <f>"9780522855548"</f>
      </c>
      <c r="H1985" s="11">
        <v>0</v>
      </c>
      <c r="I1985" s="14">
        <v>3.57</v>
      </c>
      <c r="J1985" s="7" t="s">
        <v>8676</v>
      </c>
      <c r="K1985" s="5" t="s">
        <v>60</v>
      </c>
      <c r="L1985" s="11">
        <v>551</v>
      </c>
      <c r="M1985" s="11">
        <v>2011</v>
      </c>
      <c r="N1985" s="11">
        <v>1940</v>
      </c>
      <c r="O1985" s="15"/>
      <c r="P1985" s="8">
        <v>43952</v>
      </c>
      <c r="Q1985" s="8"/>
      <c r="R1985" s="8"/>
      <c r="S1985" s="8"/>
      <c r="T1985" s="8"/>
      <c r="U1985" s="8"/>
      <c r="V1985" s="8"/>
      <c r="W1985" s="8"/>
      <c r="X1985" s="8"/>
      <c r="Y1985" s="8"/>
      <c r="Z1985" s="8"/>
      <c r="AA1985" s="8"/>
      <c r="AB1985" s="8"/>
      <c r="AC1985" s="8"/>
      <c r="AD1985" s="8"/>
      <c r="AE1985" s="8"/>
      <c r="AF1985" s="8"/>
      <c r="AG1985" s="8"/>
      <c r="AH1985" s="8"/>
      <c r="AI1985" s="8"/>
      <c r="AJ1985" s="8"/>
      <c r="AK1985" s="8"/>
      <c r="AL1985" s="8"/>
      <c r="AM1985" s="8"/>
      <c r="AN1985" s="8"/>
      <c r="AO1985" s="8"/>
      <c r="AP1985" s="8"/>
      <c r="AQ1985" s="8"/>
      <c r="AR1985" s="8"/>
      <c r="AS1985" s="8"/>
      <c r="AT1985" s="8"/>
      <c r="AU1985" s="8"/>
      <c r="AV1985" s="8"/>
      <c r="AW1985" s="8"/>
      <c r="AX1985" s="4" t="s">
        <v>38</v>
      </c>
      <c r="AY1985" s="5" t="s">
        <v>8677</v>
      </c>
      <c r="AZ1985" s="5" t="s">
        <v>38</v>
      </c>
      <c r="BA1985" s="12"/>
      <c r="BB1985" s="12"/>
      <c r="BC1985" s="12"/>
      <c r="BD1985" s="11">
        <v>0</v>
      </c>
      <c r="BE1985" s="11">
        <v>0</v>
      </c>
    </row>
    <row x14ac:dyDescent="0.25" r="1986" customHeight="1" ht="17.25">
      <c r="A1986" s="11">
        <v>915979</v>
      </c>
      <c r="B1986" s="4" t="s">
        <v>8678</v>
      </c>
      <c r="C1986" s="5" t="s">
        <v>8679</v>
      </c>
      <c r="D1986" s="5" t="s">
        <v>8680</v>
      </c>
      <c r="E1986" s="12"/>
      <c r="F1986" s="13">
        <f>"0712662979"</f>
      </c>
      <c r="G1986" s="13">
        <f>"9780712662970"</f>
      </c>
      <c r="H1986" s="11">
        <v>0</v>
      </c>
      <c r="I1986" s="14">
        <v>3.92</v>
      </c>
      <c r="J1986" s="7" t="s">
        <v>8681</v>
      </c>
      <c r="K1986" s="5" t="s">
        <v>60</v>
      </c>
      <c r="L1986" s="11">
        <v>336</v>
      </c>
      <c r="M1986" s="11">
        <v>1995</v>
      </c>
      <c r="N1986" s="11">
        <v>1972</v>
      </c>
      <c r="O1986" s="15"/>
      <c r="P1986" s="8">
        <v>43952</v>
      </c>
      <c r="Q1986" s="8"/>
      <c r="R1986" s="8"/>
      <c r="S1986" s="8"/>
      <c r="T1986" s="8"/>
      <c r="U1986" s="8"/>
      <c r="V1986" s="8"/>
      <c r="W1986" s="8"/>
      <c r="X1986" s="8"/>
      <c r="Y1986" s="8"/>
      <c r="Z1986" s="8"/>
      <c r="AA1986" s="8"/>
      <c r="AB1986" s="8"/>
      <c r="AC1986" s="8"/>
      <c r="AD1986" s="8"/>
      <c r="AE1986" s="8"/>
      <c r="AF1986" s="8"/>
      <c r="AG1986" s="8"/>
      <c r="AH1986" s="8"/>
      <c r="AI1986" s="8"/>
      <c r="AJ1986" s="8"/>
      <c r="AK1986" s="8"/>
      <c r="AL1986" s="8"/>
      <c r="AM1986" s="8"/>
      <c r="AN1986" s="8"/>
      <c r="AO1986" s="8"/>
      <c r="AP1986" s="8"/>
      <c r="AQ1986" s="8"/>
      <c r="AR1986" s="8"/>
      <c r="AS1986" s="8"/>
      <c r="AT1986" s="8"/>
      <c r="AU1986" s="8"/>
      <c r="AV1986" s="8"/>
      <c r="AW1986" s="8"/>
      <c r="AX1986" s="4" t="s">
        <v>38</v>
      </c>
      <c r="AY1986" s="5" t="s">
        <v>8682</v>
      </c>
      <c r="AZ1986" s="5" t="s">
        <v>38</v>
      </c>
      <c r="BA1986" s="12"/>
      <c r="BB1986" s="12"/>
      <c r="BC1986" s="12"/>
      <c r="BD1986" s="11">
        <v>0</v>
      </c>
      <c r="BE1986" s="11">
        <v>0</v>
      </c>
    </row>
    <row x14ac:dyDescent="0.25" r="1987" customHeight="1" ht="17.25">
      <c r="A1987" s="11">
        <v>39655238</v>
      </c>
      <c r="B1987" s="4" t="s">
        <v>8683</v>
      </c>
      <c r="C1987" s="5" t="s">
        <v>821</v>
      </c>
      <c r="D1987" s="5" t="s">
        <v>822</v>
      </c>
      <c r="E1987" s="5" t="s">
        <v>8684</v>
      </c>
      <c r="F1987" s="13">
        <f>"1635900409"</f>
      </c>
      <c r="G1987" s="13">
        <f>"9781635900408"</f>
      </c>
      <c r="H1987" s="11">
        <v>0</v>
      </c>
      <c r="I1987" s="14">
        <v>4.12</v>
      </c>
      <c r="J1987" s="7" t="s">
        <v>6068</v>
      </c>
      <c r="K1987" s="5" t="s">
        <v>60</v>
      </c>
      <c r="L1987" s="11">
        <v>312</v>
      </c>
      <c r="M1987" s="11">
        <v>2018</v>
      </c>
      <c r="N1987" s="11">
        <v>2018</v>
      </c>
      <c r="O1987" s="15"/>
      <c r="P1987" s="8">
        <v>43952</v>
      </c>
      <c r="Q1987" s="8"/>
      <c r="R1987" s="8"/>
      <c r="S1987" s="8"/>
      <c r="T1987" s="8"/>
      <c r="U1987" s="8"/>
      <c r="V1987" s="8"/>
      <c r="W1987" s="8"/>
      <c r="X1987" s="8"/>
      <c r="Y1987" s="8"/>
      <c r="Z1987" s="8"/>
      <c r="AA1987" s="8"/>
      <c r="AB1987" s="8"/>
      <c r="AC1987" s="8"/>
      <c r="AD1987" s="8"/>
      <c r="AE1987" s="8"/>
      <c r="AF1987" s="8"/>
      <c r="AG1987" s="8"/>
      <c r="AH1987" s="8"/>
      <c r="AI1987" s="8"/>
      <c r="AJ1987" s="8"/>
      <c r="AK1987" s="8"/>
      <c r="AL1987" s="8"/>
      <c r="AM1987" s="8"/>
      <c r="AN1987" s="8"/>
      <c r="AO1987" s="8"/>
      <c r="AP1987" s="8"/>
      <c r="AQ1987" s="8"/>
      <c r="AR1987" s="8"/>
      <c r="AS1987" s="8"/>
      <c r="AT1987" s="8"/>
      <c r="AU1987" s="8"/>
      <c r="AV1987" s="8"/>
      <c r="AW1987" s="8"/>
      <c r="AX1987" s="4" t="s">
        <v>38</v>
      </c>
      <c r="AY1987" s="5" t="s">
        <v>8685</v>
      </c>
      <c r="AZ1987" s="5" t="s">
        <v>38</v>
      </c>
      <c r="BA1987" s="12"/>
      <c r="BB1987" s="12"/>
      <c r="BC1987" s="12"/>
      <c r="BD1987" s="11">
        <v>0</v>
      </c>
      <c r="BE1987" s="11">
        <v>0</v>
      </c>
    </row>
    <row x14ac:dyDescent="0.25" r="1988" customHeight="1" ht="17.25">
      <c r="A1988" s="11">
        <v>1056293</v>
      </c>
      <c r="B1988" s="4" t="s">
        <v>8686</v>
      </c>
      <c r="C1988" s="5" t="s">
        <v>8687</v>
      </c>
      <c r="D1988" s="5" t="s">
        <v>8688</v>
      </c>
      <c r="E1988" s="5" t="s">
        <v>8689</v>
      </c>
      <c r="F1988" s="13">
        <f>"0807015598"</f>
      </c>
      <c r="G1988" s="13">
        <f>"9780807015599"</f>
      </c>
      <c r="H1988" s="11">
        <v>0</v>
      </c>
      <c r="I1988" s="14">
        <v>3.59</v>
      </c>
      <c r="J1988" s="7" t="s">
        <v>861</v>
      </c>
      <c r="K1988" s="5" t="s">
        <v>60</v>
      </c>
      <c r="L1988" s="11">
        <v>123</v>
      </c>
      <c r="M1988" s="11">
        <v>1997</v>
      </c>
      <c r="N1988" s="11">
        <v>1965</v>
      </c>
      <c r="O1988" s="15"/>
      <c r="P1988" s="8">
        <v>43950</v>
      </c>
      <c r="Q1988" s="8"/>
      <c r="R1988" s="8"/>
      <c r="S1988" s="8"/>
      <c r="T1988" s="8"/>
      <c r="U1988" s="8"/>
      <c r="V1988" s="8"/>
      <c r="W1988" s="8"/>
      <c r="X1988" s="8"/>
      <c r="Y1988" s="8"/>
      <c r="Z1988" s="8"/>
      <c r="AA1988" s="8"/>
      <c r="AB1988" s="8"/>
      <c r="AC1988" s="8"/>
      <c r="AD1988" s="8"/>
      <c r="AE1988" s="8"/>
      <c r="AF1988" s="8"/>
      <c r="AG1988" s="8"/>
      <c r="AH1988" s="8"/>
      <c r="AI1988" s="8"/>
      <c r="AJ1988" s="8"/>
      <c r="AK1988" s="8"/>
      <c r="AL1988" s="8"/>
      <c r="AM1988" s="8"/>
      <c r="AN1988" s="8"/>
      <c r="AO1988" s="8"/>
      <c r="AP1988" s="8"/>
      <c r="AQ1988" s="8"/>
      <c r="AR1988" s="8"/>
      <c r="AS1988" s="8"/>
      <c r="AT1988" s="8"/>
      <c r="AU1988" s="8"/>
      <c r="AV1988" s="8"/>
      <c r="AW1988" s="8"/>
      <c r="AX1988" s="4" t="s">
        <v>38</v>
      </c>
      <c r="AY1988" s="5" t="s">
        <v>8690</v>
      </c>
      <c r="AZ1988" s="5" t="s">
        <v>38</v>
      </c>
      <c r="BA1988" s="12"/>
      <c r="BB1988" s="12"/>
      <c r="BC1988" s="12"/>
      <c r="BD1988" s="11">
        <v>0</v>
      </c>
      <c r="BE1988" s="11">
        <v>0</v>
      </c>
    </row>
    <row x14ac:dyDescent="0.25" r="1989" customHeight="1" ht="17.25">
      <c r="A1989" s="11">
        <v>14142</v>
      </c>
      <c r="B1989" s="4" t="s">
        <v>8691</v>
      </c>
      <c r="C1989" s="5" t="s">
        <v>7108</v>
      </c>
      <c r="D1989" s="5" t="s">
        <v>7109</v>
      </c>
      <c r="E1989" s="12"/>
      <c r="F1989" s="13">
        <f>"0061129739"</f>
      </c>
      <c r="G1989" s="13">
        <f>"9780061129735"</f>
      </c>
      <c r="H1989" s="11">
        <v>0</v>
      </c>
      <c r="I1989" s="14">
        <v>4.01</v>
      </c>
      <c r="J1989" s="7" t="s">
        <v>1061</v>
      </c>
      <c r="K1989" s="5" t="s">
        <v>60</v>
      </c>
      <c r="L1989" s="11">
        <v>180</v>
      </c>
      <c r="M1989" s="11">
        <v>2006</v>
      </c>
      <c r="N1989" s="11">
        <v>1956</v>
      </c>
      <c r="O1989" s="15"/>
      <c r="P1989" s="8">
        <v>43950</v>
      </c>
      <c r="Q1989" s="8"/>
      <c r="R1989" s="8"/>
      <c r="S1989" s="8"/>
      <c r="T1989" s="8"/>
      <c r="U1989" s="8"/>
      <c r="V1989" s="8"/>
      <c r="W1989" s="8"/>
      <c r="X1989" s="8"/>
      <c r="Y1989" s="8"/>
      <c r="Z1989" s="8"/>
      <c r="AA1989" s="8"/>
      <c r="AB1989" s="8"/>
      <c r="AC1989" s="8"/>
      <c r="AD1989" s="8"/>
      <c r="AE1989" s="8"/>
      <c r="AF1989" s="8"/>
      <c r="AG1989" s="8"/>
      <c r="AH1989" s="8"/>
      <c r="AI1989" s="8"/>
      <c r="AJ1989" s="8"/>
      <c r="AK1989" s="8"/>
      <c r="AL1989" s="8"/>
      <c r="AM1989" s="8"/>
      <c r="AN1989" s="8"/>
      <c r="AO1989" s="8"/>
      <c r="AP1989" s="8"/>
      <c r="AQ1989" s="8"/>
      <c r="AR1989" s="8"/>
      <c r="AS1989" s="8"/>
      <c r="AT1989" s="8"/>
      <c r="AU1989" s="8"/>
      <c r="AV1989" s="8"/>
      <c r="AW1989" s="8"/>
      <c r="AX1989" s="4" t="s">
        <v>38</v>
      </c>
      <c r="AY1989" s="5" t="s">
        <v>8692</v>
      </c>
      <c r="AZ1989" s="5" t="s">
        <v>38</v>
      </c>
      <c r="BA1989" s="12"/>
      <c r="BB1989" s="12"/>
      <c r="BC1989" s="12"/>
      <c r="BD1989" s="11">
        <v>0</v>
      </c>
      <c r="BE1989" s="11">
        <v>0</v>
      </c>
    </row>
    <row x14ac:dyDescent="0.25" r="1990" customHeight="1" ht="17.25">
      <c r="A1990" s="11">
        <v>45026242</v>
      </c>
      <c r="B1990" s="4" t="s">
        <v>8693</v>
      </c>
      <c r="C1990" s="5" t="s">
        <v>166</v>
      </c>
      <c r="D1990" s="5" t="s">
        <v>167</v>
      </c>
      <c r="E1990" s="5" t="s">
        <v>8371</v>
      </c>
      <c r="F1990" s="13">
        <f>"8433998765"</f>
      </c>
      <c r="G1990" s="13">
        <f>"9788433998767"</f>
      </c>
      <c r="H1990" s="11">
        <v>0</v>
      </c>
      <c r="I1990" s="14">
        <v>4.23</v>
      </c>
      <c r="J1990" s="7" t="s">
        <v>1710</v>
      </c>
      <c r="K1990" s="5" t="s">
        <v>60</v>
      </c>
      <c r="L1990" s="11">
        <v>320</v>
      </c>
      <c r="M1990" s="11">
        <v>2019</v>
      </c>
      <c r="N1990" s="11">
        <v>2019</v>
      </c>
      <c r="O1990" s="15"/>
      <c r="P1990" s="8">
        <v>43950</v>
      </c>
      <c r="Q1990" s="8"/>
      <c r="R1990" s="8"/>
      <c r="S1990" s="8"/>
      <c r="T1990" s="8"/>
      <c r="U1990" s="8"/>
      <c r="V1990" s="8"/>
      <c r="W1990" s="8"/>
      <c r="X1990" s="8"/>
      <c r="Y1990" s="8"/>
      <c r="Z1990" s="8"/>
      <c r="AA1990" s="8"/>
      <c r="AB1990" s="8"/>
      <c r="AC1990" s="8"/>
      <c r="AD1990" s="8"/>
      <c r="AE1990" s="8"/>
      <c r="AF1990" s="8"/>
      <c r="AG1990" s="8"/>
      <c r="AH1990" s="8"/>
      <c r="AI1990" s="8"/>
      <c r="AJ1990" s="8"/>
      <c r="AK1990" s="8"/>
      <c r="AL1990" s="8"/>
      <c r="AM1990" s="8"/>
      <c r="AN1990" s="8"/>
      <c r="AO1990" s="8"/>
      <c r="AP1990" s="8"/>
      <c r="AQ1990" s="8"/>
      <c r="AR1990" s="8"/>
      <c r="AS1990" s="8"/>
      <c r="AT1990" s="8"/>
      <c r="AU1990" s="8"/>
      <c r="AV1990" s="8"/>
      <c r="AW1990" s="8"/>
      <c r="AX1990" s="4" t="s">
        <v>38</v>
      </c>
      <c r="AY1990" s="5" t="s">
        <v>8694</v>
      </c>
      <c r="AZ1990" s="5" t="s">
        <v>38</v>
      </c>
      <c r="BA1990" s="12"/>
      <c r="BB1990" s="12"/>
      <c r="BC1990" s="12"/>
      <c r="BD1990" s="11">
        <v>0</v>
      </c>
      <c r="BE1990" s="11">
        <v>0</v>
      </c>
    </row>
    <row x14ac:dyDescent="0.25" r="1991" customHeight="1" ht="17.25">
      <c r="A1991" s="11">
        <v>34953392</v>
      </c>
      <c r="B1991" s="4" t="s">
        <v>8695</v>
      </c>
      <c r="C1991" s="5" t="s">
        <v>1174</v>
      </c>
      <c r="D1991" s="5" t="s">
        <v>1175</v>
      </c>
      <c r="E1991" s="12"/>
      <c r="F1991" s="13">
        <f>""</f>
      </c>
      <c r="G1991" s="13">
        <f>""</f>
      </c>
      <c r="H1991" s="11">
        <v>0</v>
      </c>
      <c r="I1991" s="14">
        <v>3.49</v>
      </c>
      <c r="J1991" s="7" t="s">
        <v>6798</v>
      </c>
      <c r="K1991" s="5" t="s">
        <v>90</v>
      </c>
      <c r="L1991" s="11">
        <v>108</v>
      </c>
      <c r="M1991" s="11">
        <v>2017</v>
      </c>
      <c r="N1991" s="11">
        <v>2017</v>
      </c>
      <c r="O1991" s="15"/>
      <c r="P1991" s="8">
        <v>43950</v>
      </c>
      <c r="Q1991" s="8"/>
      <c r="R1991" s="8"/>
      <c r="S1991" s="8"/>
      <c r="T1991" s="8"/>
      <c r="U1991" s="8"/>
      <c r="V1991" s="8"/>
      <c r="W1991" s="8"/>
      <c r="X1991" s="8"/>
      <c r="Y1991" s="8"/>
      <c r="Z1991" s="8"/>
      <c r="AA1991" s="8"/>
      <c r="AB1991" s="8"/>
      <c r="AC1991" s="8"/>
      <c r="AD1991" s="8"/>
      <c r="AE1991" s="8"/>
      <c r="AF1991" s="8"/>
      <c r="AG1991" s="8"/>
      <c r="AH1991" s="8"/>
      <c r="AI1991" s="8"/>
      <c r="AJ1991" s="8"/>
      <c r="AK1991" s="8"/>
      <c r="AL1991" s="8"/>
      <c r="AM1991" s="8"/>
      <c r="AN1991" s="8"/>
      <c r="AO1991" s="8"/>
      <c r="AP1991" s="8"/>
      <c r="AQ1991" s="8"/>
      <c r="AR1991" s="8"/>
      <c r="AS1991" s="8"/>
      <c r="AT1991" s="8"/>
      <c r="AU1991" s="8"/>
      <c r="AV1991" s="8"/>
      <c r="AW1991" s="8"/>
      <c r="AX1991" s="4" t="s">
        <v>38</v>
      </c>
      <c r="AY1991" s="5" t="s">
        <v>8696</v>
      </c>
      <c r="AZ1991" s="5" t="s">
        <v>38</v>
      </c>
      <c r="BA1991" s="12"/>
      <c r="BB1991" s="12"/>
      <c r="BC1991" s="12"/>
      <c r="BD1991" s="11">
        <v>0</v>
      </c>
      <c r="BE1991" s="11">
        <v>0</v>
      </c>
    </row>
    <row x14ac:dyDescent="0.25" r="1992" customHeight="1" ht="17.25">
      <c r="A1992" s="11">
        <v>45487462</v>
      </c>
      <c r="B1992" s="4" t="s">
        <v>8697</v>
      </c>
      <c r="C1992" s="5" t="s">
        <v>8698</v>
      </c>
      <c r="D1992" s="5" t="s">
        <v>8699</v>
      </c>
      <c r="E1992" s="12"/>
      <c r="F1992" s="13">
        <f>"9874063653"</f>
      </c>
      <c r="G1992" s="13">
        <f>"9789874063656"</f>
      </c>
      <c r="H1992" s="11">
        <v>0</v>
      </c>
      <c r="I1992" s="14">
        <v>3.62</v>
      </c>
      <c r="J1992" s="7" t="s">
        <v>8700</v>
      </c>
      <c r="K1992" s="5" t="s">
        <v>60</v>
      </c>
      <c r="L1992" s="11">
        <v>176</v>
      </c>
      <c r="M1992" s="11">
        <v>2019</v>
      </c>
      <c r="N1992" s="11">
        <v>2019</v>
      </c>
      <c r="O1992" s="15"/>
      <c r="P1992" s="8">
        <v>43949</v>
      </c>
      <c r="Q1992" s="8"/>
      <c r="R1992" s="8"/>
      <c r="S1992" s="8"/>
      <c r="T1992" s="8"/>
      <c r="U1992" s="8"/>
      <c r="V1992" s="8"/>
      <c r="W1992" s="8"/>
      <c r="X1992" s="8"/>
      <c r="Y1992" s="8"/>
      <c r="Z1992" s="8"/>
      <c r="AA1992" s="8"/>
      <c r="AB1992" s="8"/>
      <c r="AC1992" s="8"/>
      <c r="AD1992" s="8"/>
      <c r="AE1992" s="8"/>
      <c r="AF1992" s="8"/>
      <c r="AG1992" s="8"/>
      <c r="AH1992" s="8"/>
      <c r="AI1992" s="8"/>
      <c r="AJ1992" s="8"/>
      <c r="AK1992" s="8"/>
      <c r="AL1992" s="8"/>
      <c r="AM1992" s="8"/>
      <c r="AN1992" s="8"/>
      <c r="AO1992" s="8"/>
      <c r="AP1992" s="8"/>
      <c r="AQ1992" s="8"/>
      <c r="AR1992" s="8"/>
      <c r="AS1992" s="8"/>
      <c r="AT1992" s="8"/>
      <c r="AU1992" s="8"/>
      <c r="AV1992" s="8"/>
      <c r="AW1992" s="8"/>
      <c r="AX1992" s="4" t="s">
        <v>38</v>
      </c>
      <c r="AY1992" s="5" t="s">
        <v>8701</v>
      </c>
      <c r="AZ1992" s="5" t="s">
        <v>38</v>
      </c>
      <c r="BA1992" s="12"/>
      <c r="BB1992" s="12"/>
      <c r="BC1992" s="12"/>
      <c r="BD1992" s="11">
        <v>0</v>
      </c>
      <c r="BE1992" s="11">
        <v>0</v>
      </c>
    </row>
    <row x14ac:dyDescent="0.25" r="1993" customHeight="1" ht="17.25">
      <c r="A1993" s="11">
        <v>340340</v>
      </c>
      <c r="B1993" s="4" t="s">
        <v>8702</v>
      </c>
      <c r="C1993" s="5" t="s">
        <v>8703</v>
      </c>
      <c r="D1993" s="5" t="s">
        <v>8704</v>
      </c>
      <c r="E1993" s="5" t="s">
        <v>8705</v>
      </c>
      <c r="F1993" s="13">
        <f>"0231116098"</f>
      </c>
      <c r="G1993" s="13">
        <f>"9780231116091"</f>
      </c>
      <c r="H1993" s="11">
        <v>0</v>
      </c>
      <c r="I1993" s="14">
        <v>3.58</v>
      </c>
      <c r="J1993" s="7" t="s">
        <v>2638</v>
      </c>
      <c r="K1993" s="5" t="s">
        <v>60</v>
      </c>
      <c r="L1993" s="11">
        <v>184</v>
      </c>
      <c r="M1993" s="11">
        <v>2000</v>
      </c>
      <c r="N1993" s="11">
        <v>1994</v>
      </c>
      <c r="O1993" s="15"/>
      <c r="P1993" s="8">
        <v>43949</v>
      </c>
      <c r="Q1993" s="8"/>
      <c r="R1993" s="8"/>
      <c r="S1993" s="8"/>
      <c r="T1993" s="8"/>
      <c r="U1993" s="8"/>
      <c r="V1993" s="8"/>
      <c r="W1993" s="8"/>
      <c r="X1993" s="8"/>
      <c r="Y1993" s="8"/>
      <c r="Z1993" s="8"/>
      <c r="AA1993" s="8"/>
      <c r="AB1993" s="8"/>
      <c r="AC1993" s="8"/>
      <c r="AD1993" s="8"/>
      <c r="AE1993" s="8"/>
      <c r="AF1993" s="8"/>
      <c r="AG1993" s="8"/>
      <c r="AH1993" s="8"/>
      <c r="AI1993" s="8"/>
      <c r="AJ1993" s="8"/>
      <c r="AK1993" s="8"/>
      <c r="AL1993" s="8"/>
      <c r="AM1993" s="8"/>
      <c r="AN1993" s="8"/>
      <c r="AO1993" s="8"/>
      <c r="AP1993" s="8"/>
      <c r="AQ1993" s="8"/>
      <c r="AR1993" s="8"/>
      <c r="AS1993" s="8"/>
      <c r="AT1993" s="8"/>
      <c r="AU1993" s="8"/>
      <c r="AV1993" s="8"/>
      <c r="AW1993" s="8"/>
      <c r="AX1993" s="4" t="s">
        <v>38</v>
      </c>
      <c r="AY1993" s="5" t="s">
        <v>8706</v>
      </c>
      <c r="AZ1993" s="5" t="s">
        <v>38</v>
      </c>
      <c r="BA1993" s="12"/>
      <c r="BB1993" s="12"/>
      <c r="BC1993" s="12"/>
      <c r="BD1993" s="11">
        <v>0</v>
      </c>
      <c r="BE1993" s="11">
        <v>0</v>
      </c>
    </row>
    <row x14ac:dyDescent="0.25" r="1994" customHeight="1" ht="17.25">
      <c r="A1994" s="11">
        <v>12534</v>
      </c>
      <c r="B1994" s="4" t="s">
        <v>8707</v>
      </c>
      <c r="C1994" s="5" t="s">
        <v>7483</v>
      </c>
      <c r="D1994" s="5" t="s">
        <v>7484</v>
      </c>
      <c r="E1994" s="12"/>
      <c r="F1994" s="13">
        <f>"0060915412"</f>
      </c>
      <c r="G1994" s="13">
        <f>"9780060915414"</f>
      </c>
      <c r="H1994" s="11">
        <v>0</v>
      </c>
      <c r="I1994" s="14">
        <v>4.15</v>
      </c>
      <c r="J1994" s="7" t="s">
        <v>505</v>
      </c>
      <c r="K1994" s="5" t="s">
        <v>60</v>
      </c>
      <c r="L1994" s="11">
        <v>175</v>
      </c>
      <c r="M1994" s="11">
        <v>1988</v>
      </c>
      <c r="N1994" s="11">
        <v>1982</v>
      </c>
      <c r="O1994" s="15"/>
      <c r="P1994" s="8">
        <v>43949</v>
      </c>
      <c r="Q1994" s="8"/>
      <c r="R1994" s="8"/>
      <c r="S1994" s="8"/>
      <c r="T1994" s="8"/>
      <c r="U1994" s="8"/>
      <c r="V1994" s="8"/>
      <c r="W1994" s="8"/>
      <c r="X1994" s="8"/>
      <c r="Y1994" s="8"/>
      <c r="Z1994" s="8"/>
      <c r="AA1994" s="8"/>
      <c r="AB1994" s="8"/>
      <c r="AC1994" s="8"/>
      <c r="AD1994" s="8"/>
      <c r="AE1994" s="8"/>
      <c r="AF1994" s="8"/>
      <c r="AG1994" s="8"/>
      <c r="AH1994" s="8"/>
      <c r="AI1994" s="8"/>
      <c r="AJ1994" s="8"/>
      <c r="AK1994" s="8"/>
      <c r="AL1994" s="8"/>
      <c r="AM1994" s="8"/>
      <c r="AN1994" s="8"/>
      <c r="AO1994" s="8"/>
      <c r="AP1994" s="8"/>
      <c r="AQ1994" s="8"/>
      <c r="AR1994" s="8"/>
      <c r="AS1994" s="8"/>
      <c r="AT1994" s="8"/>
      <c r="AU1994" s="8"/>
      <c r="AV1994" s="8"/>
      <c r="AW1994" s="8"/>
      <c r="AX1994" s="4" t="s">
        <v>38</v>
      </c>
      <c r="AY1994" s="5" t="s">
        <v>8708</v>
      </c>
      <c r="AZ1994" s="5" t="s">
        <v>38</v>
      </c>
      <c r="BA1994" s="12"/>
      <c r="BB1994" s="12"/>
      <c r="BC1994" s="12"/>
      <c r="BD1994" s="11">
        <v>0</v>
      </c>
      <c r="BE1994" s="11">
        <v>0</v>
      </c>
    </row>
    <row x14ac:dyDescent="0.25" r="1995" customHeight="1" ht="17.25">
      <c r="A1995" s="11">
        <v>620939</v>
      </c>
      <c r="B1995" s="4" t="s">
        <v>8709</v>
      </c>
      <c r="C1995" s="5" t="s">
        <v>8710</v>
      </c>
      <c r="D1995" s="5" t="s">
        <v>8711</v>
      </c>
      <c r="E1995" s="5" t="s">
        <v>8712</v>
      </c>
      <c r="F1995" s="13">
        <f>"058228452X"</f>
      </c>
      <c r="G1995" s="13">
        <f>"9780582284524"</f>
      </c>
      <c r="H1995" s="11">
        <v>0</v>
      </c>
      <c r="I1995" s="14">
        <v>4.04</v>
      </c>
      <c r="J1995" s="7" t="s">
        <v>8713</v>
      </c>
      <c r="K1995" s="5" t="s">
        <v>60</v>
      </c>
      <c r="L1995" s="11">
        <v>528</v>
      </c>
      <c r="M1995" s="11">
        <v>1984</v>
      </c>
      <c r="N1995" s="11">
        <v>1984</v>
      </c>
      <c r="O1995" s="15"/>
      <c r="P1995" s="8">
        <v>43949</v>
      </c>
      <c r="Q1995" s="8"/>
      <c r="R1995" s="8"/>
      <c r="S1995" s="8"/>
      <c r="T1995" s="8"/>
      <c r="U1995" s="8"/>
      <c r="V1995" s="8"/>
      <c r="W1995" s="8"/>
      <c r="X1995" s="8"/>
      <c r="Y1995" s="8"/>
      <c r="Z1995" s="8"/>
      <c r="AA1995" s="8"/>
      <c r="AB1995" s="8"/>
      <c r="AC1995" s="8"/>
      <c r="AD1995" s="8"/>
      <c r="AE1995" s="8"/>
      <c r="AF1995" s="8"/>
      <c r="AG1995" s="8"/>
      <c r="AH1995" s="8"/>
      <c r="AI1995" s="8"/>
      <c r="AJ1995" s="8"/>
      <c r="AK1995" s="8"/>
      <c r="AL1995" s="8"/>
      <c r="AM1995" s="8"/>
      <c r="AN1995" s="8"/>
      <c r="AO1995" s="8"/>
      <c r="AP1995" s="8"/>
      <c r="AQ1995" s="8"/>
      <c r="AR1995" s="8"/>
      <c r="AS1995" s="8"/>
      <c r="AT1995" s="8"/>
      <c r="AU1995" s="8"/>
      <c r="AV1995" s="8"/>
      <c r="AW1995" s="8"/>
      <c r="AX1995" s="4" t="s">
        <v>38</v>
      </c>
      <c r="AY1995" s="5" t="s">
        <v>8714</v>
      </c>
      <c r="AZ1995" s="5" t="s">
        <v>38</v>
      </c>
      <c r="BA1995" s="12"/>
      <c r="BB1995" s="12"/>
      <c r="BC1995" s="12"/>
      <c r="BD1995" s="11">
        <v>0</v>
      </c>
      <c r="BE1995" s="11">
        <v>0</v>
      </c>
    </row>
    <row x14ac:dyDescent="0.25" r="1996" customHeight="1" ht="17.25">
      <c r="A1996" s="11">
        <v>75291</v>
      </c>
      <c r="B1996" s="4" t="s">
        <v>8715</v>
      </c>
      <c r="C1996" s="5" t="s">
        <v>8716</v>
      </c>
      <c r="D1996" s="5" t="s">
        <v>8717</v>
      </c>
      <c r="E1996" s="12"/>
      <c r="F1996" s="13">
        <f>"0399531971"</f>
      </c>
      <c r="G1996" s="13">
        <f>"9780399531972"</f>
      </c>
      <c r="H1996" s="11">
        <v>0</v>
      </c>
      <c r="I1996" s="14">
        <v>3.94</v>
      </c>
      <c r="J1996" s="7" t="s">
        <v>5338</v>
      </c>
      <c r="K1996" s="5" t="s">
        <v>60</v>
      </c>
      <c r="L1996" s="11">
        <v>371</v>
      </c>
      <c r="M1996" s="11">
        <v>2005</v>
      </c>
      <c r="N1996" s="11">
        <v>1934</v>
      </c>
      <c r="O1996" s="15"/>
      <c r="P1996" s="8">
        <v>43949</v>
      </c>
      <c r="Q1996" s="8"/>
      <c r="R1996" s="8"/>
      <c r="S1996" s="8"/>
      <c r="T1996" s="8"/>
      <c r="U1996" s="8"/>
      <c r="V1996" s="8"/>
      <c r="W1996" s="8"/>
      <c r="X1996" s="8"/>
      <c r="Y1996" s="8"/>
      <c r="Z1996" s="8"/>
      <c r="AA1996" s="8"/>
      <c r="AB1996" s="8"/>
      <c r="AC1996" s="8"/>
      <c r="AD1996" s="8"/>
      <c r="AE1996" s="8"/>
      <c r="AF1996" s="8"/>
      <c r="AG1996" s="8"/>
      <c r="AH1996" s="8"/>
      <c r="AI1996" s="8"/>
      <c r="AJ1996" s="8"/>
      <c r="AK1996" s="8"/>
      <c r="AL1996" s="8"/>
      <c r="AM1996" s="8"/>
      <c r="AN1996" s="8"/>
      <c r="AO1996" s="8"/>
      <c r="AP1996" s="8"/>
      <c r="AQ1996" s="8"/>
      <c r="AR1996" s="8"/>
      <c r="AS1996" s="8"/>
      <c r="AT1996" s="8"/>
      <c r="AU1996" s="8"/>
      <c r="AV1996" s="8"/>
      <c r="AW1996" s="8"/>
      <c r="AX1996" s="4" t="s">
        <v>38</v>
      </c>
      <c r="AY1996" s="5" t="s">
        <v>8718</v>
      </c>
      <c r="AZ1996" s="5" t="s">
        <v>38</v>
      </c>
      <c r="BA1996" s="12"/>
      <c r="BB1996" s="12"/>
      <c r="BC1996" s="12"/>
      <c r="BD1996" s="11">
        <v>0</v>
      </c>
      <c r="BE1996" s="11">
        <v>0</v>
      </c>
    </row>
    <row x14ac:dyDescent="0.25" r="1997" customHeight="1" ht="17.25">
      <c r="A1997" s="11">
        <v>52940</v>
      </c>
      <c r="B1997" s="4" t="s">
        <v>8719</v>
      </c>
      <c r="C1997" s="5" t="s">
        <v>4057</v>
      </c>
      <c r="D1997" s="5" t="s">
        <v>4058</v>
      </c>
      <c r="E1997" s="12"/>
      <c r="F1997" s="13">
        <f>"0747543038"</f>
      </c>
      <c r="G1997" s="13">
        <f>"9780747543039"</f>
      </c>
      <c r="H1997" s="11">
        <v>0</v>
      </c>
      <c r="I1997" s="11">
        <v>4</v>
      </c>
      <c r="J1997" s="7" t="s">
        <v>1841</v>
      </c>
      <c r="K1997" s="5" t="s">
        <v>60</v>
      </c>
      <c r="L1997" s="11">
        <v>208</v>
      </c>
      <c r="M1997" s="11">
        <v>1999</v>
      </c>
      <c r="N1997" s="11">
        <v>1979</v>
      </c>
      <c r="O1997" s="15"/>
      <c r="P1997" s="8">
        <v>43949</v>
      </c>
      <c r="Q1997" s="8"/>
      <c r="R1997" s="8"/>
      <c r="S1997" s="8"/>
      <c r="T1997" s="8"/>
      <c r="U1997" s="8"/>
      <c r="V1997" s="8"/>
      <c r="W1997" s="8"/>
      <c r="X1997" s="8"/>
      <c r="Y1997" s="8"/>
      <c r="Z1997" s="8"/>
      <c r="AA1997" s="8"/>
      <c r="AB1997" s="8"/>
      <c r="AC1997" s="8"/>
      <c r="AD1997" s="8"/>
      <c r="AE1997" s="8"/>
      <c r="AF1997" s="8"/>
      <c r="AG1997" s="8"/>
      <c r="AH1997" s="8"/>
      <c r="AI1997" s="8"/>
      <c r="AJ1997" s="8"/>
      <c r="AK1997" s="8"/>
      <c r="AL1997" s="8"/>
      <c r="AM1997" s="8"/>
      <c r="AN1997" s="8"/>
      <c r="AO1997" s="8"/>
      <c r="AP1997" s="8"/>
      <c r="AQ1997" s="8"/>
      <c r="AR1997" s="8"/>
      <c r="AS1997" s="8"/>
      <c r="AT1997" s="8"/>
      <c r="AU1997" s="8"/>
      <c r="AV1997" s="8"/>
      <c r="AW1997" s="8"/>
      <c r="AX1997" s="4" t="s">
        <v>38</v>
      </c>
      <c r="AY1997" s="5" t="s">
        <v>8720</v>
      </c>
      <c r="AZ1997" s="5" t="s">
        <v>38</v>
      </c>
      <c r="BA1997" s="12"/>
      <c r="BB1997" s="12"/>
      <c r="BC1997" s="12"/>
      <c r="BD1997" s="11">
        <v>0</v>
      </c>
      <c r="BE1997" s="11">
        <v>0</v>
      </c>
    </row>
    <row x14ac:dyDescent="0.25" r="1998" customHeight="1" ht="17.25">
      <c r="A1998" s="11">
        <v>306965</v>
      </c>
      <c r="B1998" s="4" t="s">
        <v>8721</v>
      </c>
      <c r="C1998" s="5" t="s">
        <v>4510</v>
      </c>
      <c r="D1998" s="5" t="s">
        <v>4511</v>
      </c>
      <c r="E1998" s="12"/>
      <c r="F1998" s="13">
        <f>"0807029238"</f>
      </c>
      <c r="G1998" s="13">
        <f>"9780807029237"</f>
      </c>
      <c r="H1998" s="11">
        <v>0</v>
      </c>
      <c r="I1998" s="14">
        <v>4.12</v>
      </c>
      <c r="J1998" s="7" t="s">
        <v>861</v>
      </c>
      <c r="K1998" s="5" t="s">
        <v>60</v>
      </c>
      <c r="L1998" s="11">
        <v>240</v>
      </c>
      <c r="M1998" s="11">
        <v>2000</v>
      </c>
      <c r="N1998" s="11">
        <v>1999</v>
      </c>
      <c r="O1998" s="15"/>
      <c r="P1998" s="8">
        <v>43949</v>
      </c>
      <c r="Q1998" s="8"/>
      <c r="R1998" s="8"/>
      <c r="S1998" s="8"/>
      <c r="T1998" s="8"/>
      <c r="U1998" s="8"/>
      <c r="V1998" s="8"/>
      <c r="W1998" s="8"/>
      <c r="X1998" s="8"/>
      <c r="Y1998" s="8"/>
      <c r="Z1998" s="8"/>
      <c r="AA1998" s="8"/>
      <c r="AB1998" s="8"/>
      <c r="AC1998" s="8"/>
      <c r="AD1998" s="8"/>
      <c r="AE1998" s="8"/>
      <c r="AF1998" s="8"/>
      <c r="AG1998" s="8"/>
      <c r="AH1998" s="8"/>
      <c r="AI1998" s="8"/>
      <c r="AJ1998" s="8"/>
      <c r="AK1998" s="8"/>
      <c r="AL1998" s="8"/>
      <c r="AM1998" s="8"/>
      <c r="AN1998" s="8"/>
      <c r="AO1998" s="8"/>
      <c r="AP1998" s="8"/>
      <c r="AQ1998" s="8"/>
      <c r="AR1998" s="8"/>
      <c r="AS1998" s="8"/>
      <c r="AT1998" s="8"/>
      <c r="AU1998" s="8"/>
      <c r="AV1998" s="8"/>
      <c r="AW1998" s="8"/>
      <c r="AX1998" s="4" t="s">
        <v>38</v>
      </c>
      <c r="AY1998" s="5" t="s">
        <v>8722</v>
      </c>
      <c r="AZ1998" s="5" t="s">
        <v>38</v>
      </c>
      <c r="BA1998" s="12"/>
      <c r="BB1998" s="12"/>
      <c r="BC1998" s="12"/>
      <c r="BD1998" s="11">
        <v>0</v>
      </c>
      <c r="BE1998" s="11">
        <v>0</v>
      </c>
    </row>
    <row x14ac:dyDescent="0.25" r="1999" customHeight="1" ht="17.25">
      <c r="A1999" s="11">
        <v>34524485</v>
      </c>
      <c r="B1999" s="4" t="s">
        <v>8723</v>
      </c>
      <c r="C1999" s="5" t="s">
        <v>8724</v>
      </c>
      <c r="D1999" s="5" t="s">
        <v>8725</v>
      </c>
      <c r="E1999" s="5" t="s">
        <v>8726</v>
      </c>
      <c r="F1999" s="13">
        <f>"022629983X"</f>
      </c>
      <c r="G1999" s="13">
        <f>"9780226299839"</f>
      </c>
      <c r="H1999" s="11">
        <v>0</v>
      </c>
      <c r="I1999" s="14">
        <v>4.15</v>
      </c>
      <c r="J1999" s="7" t="s">
        <v>255</v>
      </c>
      <c r="K1999" s="5" t="s">
        <v>72</v>
      </c>
      <c r="L1999" s="11">
        <v>320</v>
      </c>
      <c r="M1999" s="11">
        <v>2017</v>
      </c>
      <c r="N1999" s="11">
        <v>2017</v>
      </c>
      <c r="O1999" s="15"/>
      <c r="P1999" s="8">
        <v>43943</v>
      </c>
      <c r="Q1999" s="8"/>
      <c r="R1999" s="8"/>
      <c r="S1999" s="8"/>
      <c r="T1999" s="8"/>
      <c r="U1999" s="8"/>
      <c r="V1999" s="8"/>
      <c r="W1999" s="8"/>
      <c r="X1999" s="8"/>
      <c r="Y1999" s="8"/>
      <c r="Z1999" s="8"/>
      <c r="AA1999" s="8"/>
      <c r="AB1999" s="8"/>
      <c r="AC1999" s="8"/>
      <c r="AD1999" s="8"/>
      <c r="AE1999" s="8"/>
      <c r="AF1999" s="8"/>
      <c r="AG1999" s="8"/>
      <c r="AH1999" s="8"/>
      <c r="AI1999" s="8"/>
      <c r="AJ1999" s="8"/>
      <c r="AK1999" s="8"/>
      <c r="AL1999" s="8"/>
      <c r="AM1999" s="8"/>
      <c r="AN1999" s="8"/>
      <c r="AO1999" s="8"/>
      <c r="AP1999" s="8"/>
      <c r="AQ1999" s="8"/>
      <c r="AR1999" s="8"/>
      <c r="AS1999" s="8"/>
      <c r="AT1999" s="8"/>
      <c r="AU1999" s="8"/>
      <c r="AV1999" s="8"/>
      <c r="AW1999" s="8"/>
      <c r="AX1999" s="4" t="s">
        <v>38</v>
      </c>
      <c r="AY1999" s="5" t="s">
        <v>8727</v>
      </c>
      <c r="AZ1999" s="5" t="s">
        <v>38</v>
      </c>
      <c r="BA1999" s="12"/>
      <c r="BB1999" s="12"/>
      <c r="BC1999" s="12"/>
      <c r="BD1999" s="11">
        <v>0</v>
      </c>
      <c r="BE1999" s="11">
        <v>0</v>
      </c>
    </row>
    <row x14ac:dyDescent="0.25" r="2000" customHeight="1" ht="17.25">
      <c r="A2000" s="11">
        <v>672222</v>
      </c>
      <c r="B2000" s="4" t="s">
        <v>8728</v>
      </c>
      <c r="C2000" s="5" t="s">
        <v>8729</v>
      </c>
      <c r="D2000" s="5" t="s">
        <v>8730</v>
      </c>
      <c r="E2000" s="12"/>
      <c r="F2000" s="13">
        <f>"0151707553"</f>
      </c>
      <c r="G2000" s="13">
        <f>"9780151707553"</f>
      </c>
      <c r="H2000" s="11">
        <v>0</v>
      </c>
      <c r="I2000" s="14">
        <v>3.98</v>
      </c>
      <c r="J2000" s="7" t="s">
        <v>434</v>
      </c>
      <c r="K2000" s="5" t="s">
        <v>72</v>
      </c>
      <c r="L2000" s="11">
        <v>208</v>
      </c>
      <c r="M2000" s="11">
        <v>1990</v>
      </c>
      <c r="N2000" s="11">
        <v>1939</v>
      </c>
      <c r="O2000" s="15"/>
      <c r="P2000" s="8">
        <v>43941</v>
      </c>
      <c r="Q2000" s="8"/>
      <c r="R2000" s="8"/>
      <c r="S2000" s="8"/>
      <c r="T2000" s="8"/>
      <c r="U2000" s="8"/>
      <c r="V2000" s="8"/>
      <c r="W2000" s="8"/>
      <c r="X2000" s="8"/>
      <c r="Y2000" s="8"/>
      <c r="Z2000" s="8"/>
      <c r="AA2000" s="8"/>
      <c r="AB2000" s="8"/>
      <c r="AC2000" s="8"/>
      <c r="AD2000" s="8"/>
      <c r="AE2000" s="8"/>
      <c r="AF2000" s="8"/>
      <c r="AG2000" s="8"/>
      <c r="AH2000" s="8"/>
      <c r="AI2000" s="8"/>
      <c r="AJ2000" s="8"/>
      <c r="AK2000" s="8"/>
      <c r="AL2000" s="8"/>
      <c r="AM2000" s="8"/>
      <c r="AN2000" s="8"/>
      <c r="AO2000" s="8"/>
      <c r="AP2000" s="8"/>
      <c r="AQ2000" s="8"/>
      <c r="AR2000" s="8"/>
      <c r="AS2000" s="8"/>
      <c r="AT2000" s="8"/>
      <c r="AU2000" s="8"/>
      <c r="AV2000" s="8"/>
      <c r="AW2000" s="8"/>
      <c r="AX2000" s="4" t="s">
        <v>38</v>
      </c>
      <c r="AY2000" s="5" t="s">
        <v>8731</v>
      </c>
      <c r="AZ2000" s="5" t="s">
        <v>38</v>
      </c>
      <c r="BA2000" s="12"/>
      <c r="BB2000" s="12"/>
      <c r="BC2000" s="12"/>
      <c r="BD2000" s="11">
        <v>0</v>
      </c>
      <c r="BE2000" s="11">
        <v>0</v>
      </c>
    </row>
    <row x14ac:dyDescent="0.25" r="2001" customHeight="1" ht="17.25">
      <c r="A2001" s="11">
        <v>16200</v>
      </c>
      <c r="B2001" s="4" t="s">
        <v>8732</v>
      </c>
      <c r="C2001" s="5" t="s">
        <v>8733</v>
      </c>
      <c r="D2001" s="5" t="s">
        <v>8734</v>
      </c>
      <c r="E2001" s="12"/>
      <c r="F2001" s="13">
        <f>"0385722435"</f>
      </c>
      <c r="G2001" s="13">
        <f>"9780385722438"</f>
      </c>
      <c r="H2001" s="11">
        <v>0</v>
      </c>
      <c r="I2001" s="14">
        <v>3.92</v>
      </c>
      <c r="J2001" s="7" t="s">
        <v>2044</v>
      </c>
      <c r="K2001" s="5" t="s">
        <v>60</v>
      </c>
      <c r="L2001" s="11">
        <v>208</v>
      </c>
      <c r="M2001" s="11">
        <v>2002</v>
      </c>
      <c r="N2001" s="11">
        <v>2001</v>
      </c>
      <c r="O2001" s="15"/>
      <c r="P2001" s="8">
        <v>43939</v>
      </c>
      <c r="Q2001" s="8"/>
      <c r="R2001" s="8"/>
      <c r="S2001" s="8"/>
      <c r="T2001" s="8"/>
      <c r="U2001" s="8"/>
      <c r="V2001" s="8"/>
      <c r="W2001" s="8"/>
      <c r="X2001" s="8"/>
      <c r="Y2001" s="8"/>
      <c r="Z2001" s="8"/>
      <c r="AA2001" s="8"/>
      <c r="AB2001" s="8"/>
      <c r="AC2001" s="8"/>
      <c r="AD2001" s="8"/>
      <c r="AE2001" s="8"/>
      <c r="AF2001" s="8"/>
      <c r="AG2001" s="8"/>
      <c r="AH2001" s="8"/>
      <c r="AI2001" s="8"/>
      <c r="AJ2001" s="8"/>
      <c r="AK2001" s="8"/>
      <c r="AL2001" s="8"/>
      <c r="AM2001" s="8"/>
      <c r="AN2001" s="8"/>
      <c r="AO2001" s="8"/>
      <c r="AP2001" s="8"/>
      <c r="AQ2001" s="8"/>
      <c r="AR2001" s="8"/>
      <c r="AS2001" s="8"/>
      <c r="AT2001" s="8"/>
      <c r="AU2001" s="8"/>
      <c r="AV2001" s="8"/>
      <c r="AW2001" s="8"/>
      <c r="AX2001" s="4" t="s">
        <v>38</v>
      </c>
      <c r="AY2001" s="5" t="s">
        <v>8735</v>
      </c>
      <c r="AZ2001" s="5" t="s">
        <v>38</v>
      </c>
      <c r="BA2001" s="12"/>
      <c r="BB2001" s="12"/>
      <c r="BC2001" s="12"/>
      <c r="BD2001" s="11">
        <v>0</v>
      </c>
      <c r="BE2001" s="11">
        <v>0</v>
      </c>
    </row>
    <row x14ac:dyDescent="0.25" r="2002" customHeight="1" ht="17.25">
      <c r="A2002" s="11">
        <v>24796231</v>
      </c>
      <c r="B2002" s="4" t="s">
        <v>8736</v>
      </c>
      <c r="C2002" s="5" t="s">
        <v>7118</v>
      </c>
      <c r="D2002" s="5" t="s">
        <v>7119</v>
      </c>
      <c r="E2002" s="5" t="s">
        <v>8737</v>
      </c>
      <c r="F2002" s="13">
        <f>"1566894093"</f>
      </c>
      <c r="G2002" s="13">
        <f>"9781566894098"</f>
      </c>
      <c r="H2002" s="11">
        <v>0</v>
      </c>
      <c r="I2002" s="14">
        <v>3.49</v>
      </c>
      <c r="J2002" s="7" t="s">
        <v>4035</v>
      </c>
      <c r="K2002" s="5" t="s">
        <v>60</v>
      </c>
      <c r="L2002" s="11">
        <v>192</v>
      </c>
      <c r="M2002" s="11">
        <v>2015</v>
      </c>
      <c r="N2002" s="11">
        <v>2013</v>
      </c>
      <c r="O2002" s="15"/>
      <c r="P2002" s="8">
        <v>43939</v>
      </c>
      <c r="Q2002" s="8"/>
      <c r="R2002" s="8"/>
      <c r="S2002" s="8"/>
      <c r="T2002" s="8"/>
      <c r="U2002" s="8"/>
      <c r="V2002" s="8"/>
      <c r="W2002" s="8"/>
      <c r="X2002" s="8"/>
      <c r="Y2002" s="8"/>
      <c r="Z2002" s="8"/>
      <c r="AA2002" s="8"/>
      <c r="AB2002" s="8"/>
      <c r="AC2002" s="8"/>
      <c r="AD2002" s="8"/>
      <c r="AE2002" s="8"/>
      <c r="AF2002" s="8"/>
      <c r="AG2002" s="8"/>
      <c r="AH2002" s="8"/>
      <c r="AI2002" s="8"/>
      <c r="AJ2002" s="8"/>
      <c r="AK2002" s="8"/>
      <c r="AL2002" s="8"/>
      <c r="AM2002" s="8"/>
      <c r="AN2002" s="8"/>
      <c r="AO2002" s="8"/>
      <c r="AP2002" s="8"/>
      <c r="AQ2002" s="8"/>
      <c r="AR2002" s="8"/>
      <c r="AS2002" s="8"/>
      <c r="AT2002" s="8"/>
      <c r="AU2002" s="8"/>
      <c r="AV2002" s="8"/>
      <c r="AW2002" s="8"/>
      <c r="AX2002" s="4" t="s">
        <v>38</v>
      </c>
      <c r="AY2002" s="5" t="s">
        <v>8738</v>
      </c>
      <c r="AZ2002" s="5" t="s">
        <v>38</v>
      </c>
      <c r="BA2002" s="12"/>
      <c r="BB2002" s="12"/>
      <c r="BC2002" s="12"/>
      <c r="BD2002" s="11">
        <v>0</v>
      </c>
      <c r="BE2002" s="11">
        <v>0</v>
      </c>
    </row>
    <row x14ac:dyDescent="0.25" r="2003" customHeight="1" ht="17.25">
      <c r="A2003" s="11">
        <v>2410293</v>
      </c>
      <c r="B2003" s="4" t="s">
        <v>8739</v>
      </c>
      <c r="C2003" s="5" t="s">
        <v>1806</v>
      </c>
      <c r="D2003" s="5" t="s">
        <v>1807</v>
      </c>
      <c r="E2003" s="12"/>
      <c r="F2003" s="13">
        <f>"0374200114"</f>
      </c>
      <c r="G2003" s="13">
        <f>"9780374200114"</f>
      </c>
      <c r="H2003" s="11">
        <v>0</v>
      </c>
      <c r="I2003" s="14">
        <v>3.18</v>
      </c>
      <c r="J2003" s="7" t="s">
        <v>120</v>
      </c>
      <c r="K2003" s="5" t="s">
        <v>72</v>
      </c>
      <c r="L2003" s="11">
        <v>240</v>
      </c>
      <c r="M2003" s="11">
        <v>2008</v>
      </c>
      <c r="N2003" s="11">
        <v>2008</v>
      </c>
      <c r="O2003" s="15"/>
      <c r="P2003" s="8">
        <v>43939</v>
      </c>
      <c r="Q2003" s="8"/>
      <c r="R2003" s="8"/>
      <c r="S2003" s="8"/>
      <c r="T2003" s="8"/>
      <c r="U2003" s="8"/>
      <c r="V2003" s="8"/>
      <c r="W2003" s="8"/>
      <c r="X2003" s="8"/>
      <c r="Y2003" s="8"/>
      <c r="Z2003" s="8"/>
      <c r="AA2003" s="8"/>
      <c r="AB2003" s="8"/>
      <c r="AC2003" s="8"/>
      <c r="AD2003" s="8"/>
      <c r="AE2003" s="8"/>
      <c r="AF2003" s="8"/>
      <c r="AG2003" s="8"/>
      <c r="AH2003" s="8"/>
      <c r="AI2003" s="8"/>
      <c r="AJ2003" s="8"/>
      <c r="AK2003" s="8"/>
      <c r="AL2003" s="8"/>
      <c r="AM2003" s="8"/>
      <c r="AN2003" s="8"/>
      <c r="AO2003" s="8"/>
      <c r="AP2003" s="8"/>
      <c r="AQ2003" s="8"/>
      <c r="AR2003" s="8"/>
      <c r="AS2003" s="8"/>
      <c r="AT2003" s="8"/>
      <c r="AU2003" s="8"/>
      <c r="AV2003" s="8"/>
      <c r="AW2003" s="8"/>
      <c r="AX2003" s="4" t="s">
        <v>38</v>
      </c>
      <c r="AY2003" s="5" t="s">
        <v>8740</v>
      </c>
      <c r="AZ2003" s="5" t="s">
        <v>38</v>
      </c>
      <c r="BA2003" s="12"/>
      <c r="BB2003" s="12"/>
      <c r="BC2003" s="12"/>
      <c r="BD2003" s="11">
        <v>0</v>
      </c>
      <c r="BE2003" s="11">
        <v>0</v>
      </c>
    </row>
    <row x14ac:dyDescent="0.25" r="2004" customHeight="1" ht="17.25">
      <c r="A2004" s="11">
        <v>8944483</v>
      </c>
      <c r="B2004" s="4" t="s">
        <v>8741</v>
      </c>
      <c r="C2004" s="5" t="s">
        <v>8742</v>
      </c>
      <c r="D2004" s="5" t="s">
        <v>8743</v>
      </c>
      <c r="E2004" s="12"/>
      <c r="F2004" s="13">
        <f>"8437618797"</f>
      </c>
      <c r="G2004" s="13">
        <f>"9788437618791"</f>
      </c>
      <c r="H2004" s="11">
        <v>0</v>
      </c>
      <c r="I2004" s="14">
        <v>3.97</v>
      </c>
      <c r="J2004" s="7" t="s">
        <v>3460</v>
      </c>
      <c r="K2004" s="5" t="s">
        <v>60</v>
      </c>
      <c r="L2004" s="11">
        <v>387</v>
      </c>
      <c r="M2004" s="11">
        <v>2005</v>
      </c>
      <c r="N2004" s="11">
        <v>1976</v>
      </c>
      <c r="O2004" s="15"/>
      <c r="P2004" s="8">
        <v>43938</v>
      </c>
      <c r="Q2004" s="8"/>
      <c r="R2004" s="8"/>
      <c r="S2004" s="8"/>
      <c r="T2004" s="8"/>
      <c r="U2004" s="8"/>
      <c r="V2004" s="8"/>
      <c r="W2004" s="8"/>
      <c r="X2004" s="8"/>
      <c r="Y2004" s="8"/>
      <c r="Z2004" s="8"/>
      <c r="AA2004" s="8"/>
      <c r="AB2004" s="8"/>
      <c r="AC2004" s="8"/>
      <c r="AD2004" s="8"/>
      <c r="AE2004" s="8"/>
      <c r="AF2004" s="8"/>
      <c r="AG2004" s="8"/>
      <c r="AH2004" s="8"/>
      <c r="AI2004" s="8"/>
      <c r="AJ2004" s="8"/>
      <c r="AK2004" s="8"/>
      <c r="AL2004" s="8"/>
      <c r="AM2004" s="8"/>
      <c r="AN2004" s="8"/>
      <c r="AO2004" s="8"/>
      <c r="AP2004" s="8"/>
      <c r="AQ2004" s="8"/>
      <c r="AR2004" s="8"/>
      <c r="AS2004" s="8"/>
      <c r="AT2004" s="8"/>
      <c r="AU2004" s="8"/>
      <c r="AV2004" s="8"/>
      <c r="AW2004" s="8"/>
      <c r="AX2004" s="4" t="s">
        <v>38</v>
      </c>
      <c r="AY2004" s="5" t="s">
        <v>8744</v>
      </c>
      <c r="AZ2004" s="5" t="s">
        <v>38</v>
      </c>
      <c r="BA2004" s="12"/>
      <c r="BB2004" s="12"/>
      <c r="BC2004" s="12"/>
      <c r="BD2004" s="11">
        <v>0</v>
      </c>
      <c r="BE2004" s="11">
        <v>0</v>
      </c>
    </row>
    <row x14ac:dyDescent="0.25" r="2005" customHeight="1" ht="17.25">
      <c r="A2005" s="11">
        <v>7860</v>
      </c>
      <c r="B2005" s="4" t="s">
        <v>8745</v>
      </c>
      <c r="C2005" s="5" t="s">
        <v>8746</v>
      </c>
      <c r="D2005" s="5" t="s">
        <v>8747</v>
      </c>
      <c r="E2005" s="5" t="s">
        <v>8748</v>
      </c>
      <c r="F2005" s="13">
        <f>"185984328X"</f>
      </c>
      <c r="G2005" s="13">
        <f>"9781859843284"</f>
      </c>
      <c r="H2005" s="11">
        <v>0</v>
      </c>
      <c r="I2005" s="14">
        <v>3.71</v>
      </c>
      <c r="J2005" s="7" t="s">
        <v>2001</v>
      </c>
      <c r="K2005" s="5" t="s">
        <v>60</v>
      </c>
      <c r="L2005" s="11">
        <v>192</v>
      </c>
      <c r="M2005" s="11">
        <v>2001</v>
      </c>
      <c r="N2005" s="11">
        <v>2000</v>
      </c>
      <c r="O2005" s="15"/>
      <c r="P2005" s="8">
        <v>43938</v>
      </c>
      <c r="Q2005" s="8"/>
      <c r="R2005" s="8"/>
      <c r="S2005" s="8"/>
      <c r="T2005" s="8"/>
      <c r="U2005" s="8"/>
      <c r="V2005" s="8"/>
      <c r="W2005" s="8"/>
      <c r="X2005" s="8"/>
      <c r="Y2005" s="8"/>
      <c r="Z2005" s="8"/>
      <c r="AA2005" s="8"/>
      <c r="AB2005" s="8"/>
      <c r="AC2005" s="8"/>
      <c r="AD2005" s="8"/>
      <c r="AE2005" s="8"/>
      <c r="AF2005" s="8"/>
      <c r="AG2005" s="8"/>
      <c r="AH2005" s="8"/>
      <c r="AI2005" s="8"/>
      <c r="AJ2005" s="8"/>
      <c r="AK2005" s="8"/>
      <c r="AL2005" s="8"/>
      <c r="AM2005" s="8"/>
      <c r="AN2005" s="8"/>
      <c r="AO2005" s="8"/>
      <c r="AP2005" s="8"/>
      <c r="AQ2005" s="8"/>
      <c r="AR2005" s="8"/>
      <c r="AS2005" s="8"/>
      <c r="AT2005" s="8"/>
      <c r="AU2005" s="8"/>
      <c r="AV2005" s="8"/>
      <c r="AW2005" s="8"/>
      <c r="AX2005" s="4" t="s">
        <v>38</v>
      </c>
      <c r="AY2005" s="5" t="s">
        <v>8749</v>
      </c>
      <c r="AZ2005" s="5" t="s">
        <v>38</v>
      </c>
      <c r="BA2005" s="12"/>
      <c r="BB2005" s="12"/>
      <c r="BC2005" s="12"/>
      <c r="BD2005" s="11">
        <v>0</v>
      </c>
      <c r="BE2005" s="11">
        <v>0</v>
      </c>
    </row>
    <row x14ac:dyDescent="0.25" r="2006" customHeight="1" ht="17.25">
      <c r="A2006" s="11">
        <v>11700333</v>
      </c>
      <c r="B2006" s="4" t="s">
        <v>8750</v>
      </c>
      <c r="C2006" s="5" t="s">
        <v>2893</v>
      </c>
      <c r="D2006" s="5" t="s">
        <v>2894</v>
      </c>
      <c r="E2006" s="12"/>
      <c r="F2006" s="13">
        <f>"1908276029"</f>
      </c>
      <c r="G2006" s="13">
        <f>"9781908276025"</f>
      </c>
      <c r="H2006" s="11">
        <v>0</v>
      </c>
      <c r="I2006" s="14">
        <v>3.4</v>
      </c>
      <c r="J2006" s="7" t="s">
        <v>1692</v>
      </c>
      <c r="K2006" s="5" t="s">
        <v>60</v>
      </c>
      <c r="L2006" s="11">
        <v>165</v>
      </c>
      <c r="M2006" s="11">
        <v>2011</v>
      </c>
      <c r="N2006" s="11">
        <v>2011</v>
      </c>
      <c r="O2006" s="15"/>
      <c r="P2006" s="8">
        <v>43935</v>
      </c>
      <c r="Q2006" s="8"/>
      <c r="R2006" s="8"/>
      <c r="S2006" s="8"/>
      <c r="T2006" s="8"/>
      <c r="U2006" s="8"/>
      <c r="V2006" s="8"/>
      <c r="W2006" s="8"/>
      <c r="X2006" s="8"/>
      <c r="Y2006" s="8"/>
      <c r="Z2006" s="8"/>
      <c r="AA2006" s="8"/>
      <c r="AB2006" s="8"/>
      <c r="AC2006" s="8"/>
      <c r="AD2006" s="8"/>
      <c r="AE2006" s="8"/>
      <c r="AF2006" s="8"/>
      <c r="AG2006" s="8"/>
      <c r="AH2006" s="8"/>
      <c r="AI2006" s="8"/>
      <c r="AJ2006" s="8"/>
      <c r="AK2006" s="8"/>
      <c r="AL2006" s="8"/>
      <c r="AM2006" s="8"/>
      <c r="AN2006" s="8"/>
      <c r="AO2006" s="8"/>
      <c r="AP2006" s="8"/>
      <c r="AQ2006" s="8"/>
      <c r="AR2006" s="8"/>
      <c r="AS2006" s="8"/>
      <c r="AT2006" s="8"/>
      <c r="AU2006" s="8"/>
      <c r="AV2006" s="8"/>
      <c r="AW2006" s="8"/>
      <c r="AX2006" s="4" t="s">
        <v>38</v>
      </c>
      <c r="AY2006" s="5" t="s">
        <v>8751</v>
      </c>
      <c r="AZ2006" s="5" t="s">
        <v>38</v>
      </c>
      <c r="BA2006" s="12"/>
      <c r="BB2006" s="12"/>
      <c r="BC2006" s="12"/>
      <c r="BD2006" s="11">
        <v>0</v>
      </c>
      <c r="BE2006" s="11">
        <v>0</v>
      </c>
    </row>
    <row x14ac:dyDescent="0.25" r="2007" customHeight="1" ht="17.25">
      <c r="A2007" s="11">
        <v>398145</v>
      </c>
      <c r="B2007" s="4" t="s">
        <v>8752</v>
      </c>
      <c r="C2007" s="5" t="s">
        <v>8753</v>
      </c>
      <c r="D2007" s="5" t="s">
        <v>8754</v>
      </c>
      <c r="E2007" s="5" t="s">
        <v>8755</v>
      </c>
      <c r="F2007" s="13">
        <f>"0976140721"</f>
      </c>
      <c r="G2007" s="13">
        <f>"9780976140726"</f>
      </c>
      <c r="H2007" s="11">
        <v>0</v>
      </c>
      <c r="I2007" s="14">
        <v>3.55</v>
      </c>
      <c r="J2007" s="7" t="s">
        <v>1737</v>
      </c>
      <c r="K2007" s="5" t="s">
        <v>60</v>
      </c>
      <c r="L2007" s="11">
        <v>133</v>
      </c>
      <c r="M2007" s="11">
        <v>2005</v>
      </c>
      <c r="N2007" s="11">
        <v>1810</v>
      </c>
      <c r="O2007" s="15"/>
      <c r="P2007" s="8">
        <v>43935</v>
      </c>
      <c r="Q2007" s="8"/>
      <c r="R2007" s="8"/>
      <c r="S2007" s="8"/>
      <c r="T2007" s="8"/>
      <c r="U2007" s="8"/>
      <c r="V2007" s="8"/>
      <c r="W2007" s="8"/>
      <c r="X2007" s="8"/>
      <c r="Y2007" s="8"/>
      <c r="Z2007" s="8"/>
      <c r="AA2007" s="8"/>
      <c r="AB2007" s="8"/>
      <c r="AC2007" s="8"/>
      <c r="AD2007" s="8"/>
      <c r="AE2007" s="8"/>
      <c r="AF2007" s="8"/>
      <c r="AG2007" s="8"/>
      <c r="AH2007" s="8"/>
      <c r="AI2007" s="8"/>
      <c r="AJ2007" s="8"/>
      <c r="AK2007" s="8"/>
      <c r="AL2007" s="8"/>
      <c r="AM2007" s="8"/>
      <c r="AN2007" s="8"/>
      <c r="AO2007" s="8"/>
      <c r="AP2007" s="8"/>
      <c r="AQ2007" s="8"/>
      <c r="AR2007" s="8"/>
      <c r="AS2007" s="8"/>
      <c r="AT2007" s="8"/>
      <c r="AU2007" s="8"/>
      <c r="AV2007" s="8"/>
      <c r="AW2007" s="8"/>
      <c r="AX2007" s="4" t="s">
        <v>38</v>
      </c>
      <c r="AY2007" s="5" t="s">
        <v>8756</v>
      </c>
      <c r="AZ2007" s="5" t="s">
        <v>38</v>
      </c>
      <c r="BA2007" s="12"/>
      <c r="BB2007" s="12"/>
      <c r="BC2007" s="12"/>
      <c r="BD2007" s="11">
        <v>0</v>
      </c>
      <c r="BE2007" s="11">
        <v>0</v>
      </c>
    </row>
    <row x14ac:dyDescent="0.25" r="2008" customHeight="1" ht="17.25">
      <c r="A2008" s="11">
        <v>1013972</v>
      </c>
      <c r="B2008" s="4" t="s">
        <v>8757</v>
      </c>
      <c r="C2008" s="5" t="s">
        <v>8758</v>
      </c>
      <c r="D2008" s="5" t="s">
        <v>8759</v>
      </c>
      <c r="E2008" s="5" t="s">
        <v>8760</v>
      </c>
      <c r="F2008" s="13">
        <f>"0394739698"</f>
      </c>
      <c r="G2008" s="13">
        <f>"9780394739694"</f>
      </c>
      <c r="H2008" s="11">
        <v>0</v>
      </c>
      <c r="I2008" s="14">
        <v>4.34</v>
      </c>
      <c r="J2008" s="7" t="s">
        <v>665</v>
      </c>
      <c r="K2008" s="5" t="s">
        <v>60</v>
      </c>
      <c r="L2008" s="11">
        <v>525</v>
      </c>
      <c r="M2008" s="11">
        <v>1984</v>
      </c>
      <c r="N2008" s="11">
        <v>1984</v>
      </c>
      <c r="O2008" s="15"/>
      <c r="P2008" s="8">
        <v>43934</v>
      </c>
      <c r="Q2008" s="8"/>
      <c r="R2008" s="8"/>
      <c r="S2008" s="8"/>
      <c r="T2008" s="8"/>
      <c r="U2008" s="8"/>
      <c r="V2008" s="8"/>
      <c r="W2008" s="8"/>
      <c r="X2008" s="8"/>
      <c r="Y2008" s="8"/>
      <c r="Z2008" s="8"/>
      <c r="AA2008" s="8"/>
      <c r="AB2008" s="8"/>
      <c r="AC2008" s="8"/>
      <c r="AD2008" s="8"/>
      <c r="AE2008" s="8"/>
      <c r="AF2008" s="8"/>
      <c r="AG2008" s="8"/>
      <c r="AH2008" s="8"/>
      <c r="AI2008" s="8"/>
      <c r="AJ2008" s="8"/>
      <c r="AK2008" s="8"/>
      <c r="AL2008" s="8"/>
      <c r="AM2008" s="8"/>
      <c r="AN2008" s="8"/>
      <c r="AO2008" s="8"/>
      <c r="AP2008" s="8"/>
      <c r="AQ2008" s="8"/>
      <c r="AR2008" s="8"/>
      <c r="AS2008" s="8"/>
      <c r="AT2008" s="8"/>
      <c r="AU2008" s="8"/>
      <c r="AV2008" s="8"/>
      <c r="AW2008" s="8"/>
      <c r="AX2008" s="4" t="s">
        <v>38</v>
      </c>
      <c r="AY2008" s="5" t="s">
        <v>8761</v>
      </c>
      <c r="AZ2008" s="5" t="s">
        <v>38</v>
      </c>
      <c r="BA2008" s="12"/>
      <c r="BB2008" s="12"/>
      <c r="BC2008" s="12"/>
      <c r="BD2008" s="11">
        <v>0</v>
      </c>
      <c r="BE2008" s="11">
        <v>0</v>
      </c>
    </row>
    <row x14ac:dyDescent="0.25" r="2009" customHeight="1" ht="17.25">
      <c r="A2009" s="11">
        <v>98780</v>
      </c>
      <c r="B2009" s="4" t="s">
        <v>8762</v>
      </c>
      <c r="C2009" s="5" t="s">
        <v>8763</v>
      </c>
      <c r="D2009" s="5" t="s">
        <v>8764</v>
      </c>
      <c r="E2009" s="12"/>
      <c r="F2009" s="13">
        <f>"080506270X"</f>
      </c>
      <c r="G2009" s="13">
        <f>"9780805062700"</f>
      </c>
      <c r="H2009" s="11">
        <v>0</v>
      </c>
      <c r="I2009" s="14">
        <v>3.8</v>
      </c>
      <c r="J2009" s="7" t="s">
        <v>8765</v>
      </c>
      <c r="K2009" s="5" t="s">
        <v>4093</v>
      </c>
      <c r="L2009" s="11">
        <v>296</v>
      </c>
      <c r="M2009" s="11">
        <v>1999</v>
      </c>
      <c r="N2009" s="11">
        <v>1998</v>
      </c>
      <c r="O2009" s="15"/>
      <c r="P2009" s="8">
        <v>43934</v>
      </c>
      <c r="Q2009" s="8"/>
      <c r="R2009" s="8"/>
      <c r="S2009" s="8"/>
      <c r="T2009" s="8"/>
      <c r="U2009" s="8"/>
      <c r="V2009" s="8"/>
      <c r="W2009" s="8"/>
      <c r="X2009" s="8"/>
      <c r="Y2009" s="8"/>
      <c r="Z2009" s="8"/>
      <c r="AA2009" s="8"/>
      <c r="AB2009" s="8"/>
      <c r="AC2009" s="8"/>
      <c r="AD2009" s="8"/>
      <c r="AE2009" s="8"/>
      <c r="AF2009" s="8"/>
      <c r="AG2009" s="8"/>
      <c r="AH2009" s="8"/>
      <c r="AI2009" s="8"/>
      <c r="AJ2009" s="8"/>
      <c r="AK2009" s="8"/>
      <c r="AL2009" s="8"/>
      <c r="AM2009" s="8"/>
      <c r="AN2009" s="8"/>
      <c r="AO2009" s="8"/>
      <c r="AP2009" s="8"/>
      <c r="AQ2009" s="8"/>
      <c r="AR2009" s="8"/>
      <c r="AS2009" s="8"/>
      <c r="AT2009" s="8"/>
      <c r="AU2009" s="8"/>
      <c r="AV2009" s="8"/>
      <c r="AW2009" s="8"/>
      <c r="AX2009" s="4" t="s">
        <v>38</v>
      </c>
      <c r="AY2009" s="5" t="s">
        <v>8766</v>
      </c>
      <c r="AZ2009" s="5" t="s">
        <v>38</v>
      </c>
      <c r="BA2009" s="12"/>
      <c r="BB2009" s="12"/>
      <c r="BC2009" s="12"/>
      <c r="BD2009" s="11">
        <v>0</v>
      </c>
      <c r="BE2009" s="11">
        <v>0</v>
      </c>
    </row>
    <row x14ac:dyDescent="0.25" r="2010" customHeight="1" ht="17.25">
      <c r="A2010" s="11">
        <v>142239</v>
      </c>
      <c r="B2010" s="4" t="s">
        <v>8767</v>
      </c>
      <c r="C2010" s="5" t="s">
        <v>8768</v>
      </c>
      <c r="D2010" s="5" t="s">
        <v>8769</v>
      </c>
      <c r="E2010" s="12"/>
      <c r="F2010" s="13">
        <f>"0817463003"</f>
      </c>
      <c r="G2010" s="13">
        <f>"9780817463007"</f>
      </c>
      <c r="H2010" s="11">
        <v>0</v>
      </c>
      <c r="I2010" s="14">
        <v>4.32</v>
      </c>
      <c r="J2010" s="7" t="s">
        <v>8770</v>
      </c>
      <c r="K2010" s="5" t="s">
        <v>60</v>
      </c>
      <c r="L2010" s="11">
        <v>160</v>
      </c>
      <c r="M2010" s="11">
        <v>2004</v>
      </c>
      <c r="N2010" s="11">
        <v>1990</v>
      </c>
      <c r="O2010" s="15"/>
      <c r="P2010" s="8">
        <v>43934</v>
      </c>
      <c r="Q2010" s="8"/>
      <c r="R2010" s="8"/>
      <c r="S2010" s="8"/>
      <c r="T2010" s="8"/>
      <c r="U2010" s="8"/>
      <c r="V2010" s="8"/>
      <c r="W2010" s="8"/>
      <c r="X2010" s="8"/>
      <c r="Y2010" s="8"/>
      <c r="Z2010" s="8"/>
      <c r="AA2010" s="8"/>
      <c r="AB2010" s="8"/>
      <c r="AC2010" s="8"/>
      <c r="AD2010" s="8"/>
      <c r="AE2010" s="8"/>
      <c r="AF2010" s="8"/>
      <c r="AG2010" s="8"/>
      <c r="AH2010" s="8"/>
      <c r="AI2010" s="8"/>
      <c r="AJ2010" s="8"/>
      <c r="AK2010" s="8"/>
      <c r="AL2010" s="8"/>
      <c r="AM2010" s="8"/>
      <c r="AN2010" s="8"/>
      <c r="AO2010" s="8"/>
      <c r="AP2010" s="8"/>
      <c r="AQ2010" s="8"/>
      <c r="AR2010" s="8"/>
      <c r="AS2010" s="8"/>
      <c r="AT2010" s="8"/>
      <c r="AU2010" s="8"/>
      <c r="AV2010" s="8"/>
      <c r="AW2010" s="8"/>
      <c r="AX2010" s="4" t="s">
        <v>38</v>
      </c>
      <c r="AY2010" s="5" t="s">
        <v>8771</v>
      </c>
      <c r="AZ2010" s="5" t="s">
        <v>38</v>
      </c>
      <c r="BA2010" s="12"/>
      <c r="BB2010" s="12"/>
      <c r="BC2010" s="12"/>
      <c r="BD2010" s="11">
        <v>0</v>
      </c>
      <c r="BE2010" s="11">
        <v>0</v>
      </c>
    </row>
    <row x14ac:dyDescent="0.25" r="2011" customHeight="1" ht="17.25">
      <c r="A2011" s="11">
        <v>733648</v>
      </c>
      <c r="B2011" s="4" t="s">
        <v>8772</v>
      </c>
      <c r="C2011" s="5" t="s">
        <v>8773</v>
      </c>
      <c r="D2011" s="5" t="s">
        <v>8774</v>
      </c>
      <c r="E2011" s="12"/>
      <c r="F2011" s="13">
        <f>"1578590450"</f>
      </c>
      <c r="G2011" s="13">
        <f>"9781578590452"</f>
      </c>
      <c r="H2011" s="11">
        <v>0</v>
      </c>
      <c r="I2011" s="14">
        <v>3.97</v>
      </c>
      <c r="J2011" s="7" t="s">
        <v>8775</v>
      </c>
      <c r="K2011" s="5" t="s">
        <v>60</v>
      </c>
      <c r="L2011" s="11">
        <v>637</v>
      </c>
      <c r="M2011" s="11">
        <v>1993</v>
      </c>
      <c r="N2011" s="11">
        <v>1993</v>
      </c>
      <c r="O2011" s="15"/>
      <c r="P2011" s="8">
        <v>43934</v>
      </c>
      <c r="Q2011" s="8"/>
      <c r="R2011" s="8"/>
      <c r="S2011" s="8"/>
      <c r="T2011" s="8"/>
      <c r="U2011" s="8"/>
      <c r="V2011" s="8"/>
      <c r="W2011" s="8"/>
      <c r="X2011" s="8"/>
      <c r="Y2011" s="8"/>
      <c r="Z2011" s="8"/>
      <c r="AA2011" s="8"/>
      <c r="AB2011" s="8"/>
      <c r="AC2011" s="8"/>
      <c r="AD2011" s="8"/>
      <c r="AE2011" s="8"/>
      <c r="AF2011" s="8"/>
      <c r="AG2011" s="8"/>
      <c r="AH2011" s="8"/>
      <c r="AI2011" s="8"/>
      <c r="AJ2011" s="8"/>
      <c r="AK2011" s="8"/>
      <c r="AL2011" s="8"/>
      <c r="AM2011" s="8"/>
      <c r="AN2011" s="8"/>
      <c r="AO2011" s="8"/>
      <c r="AP2011" s="8"/>
      <c r="AQ2011" s="8"/>
      <c r="AR2011" s="8"/>
      <c r="AS2011" s="8"/>
      <c r="AT2011" s="8"/>
      <c r="AU2011" s="8"/>
      <c r="AV2011" s="8"/>
      <c r="AW2011" s="8"/>
      <c r="AX2011" s="4" t="s">
        <v>38</v>
      </c>
      <c r="AY2011" s="5" t="s">
        <v>8776</v>
      </c>
      <c r="AZ2011" s="5" t="s">
        <v>38</v>
      </c>
      <c r="BA2011" s="12"/>
      <c r="BB2011" s="12"/>
      <c r="BC2011" s="12"/>
      <c r="BD2011" s="11">
        <v>0</v>
      </c>
      <c r="BE2011" s="11">
        <v>0</v>
      </c>
    </row>
    <row x14ac:dyDescent="0.25" r="2012" customHeight="1" ht="17.25">
      <c r="A2012" s="11">
        <v>43398196</v>
      </c>
      <c r="B2012" s="4" t="s">
        <v>8777</v>
      </c>
      <c r="C2012" s="5" t="s">
        <v>8778</v>
      </c>
      <c r="D2012" s="5" t="s">
        <v>8779</v>
      </c>
      <c r="E2012" s="5" t="s">
        <v>8780</v>
      </c>
      <c r="F2012" s="13">
        <f>"1911284169"</f>
      </c>
      <c r="G2012" s="13">
        <f>"9781911284161"</f>
      </c>
      <c r="H2012" s="11">
        <v>0</v>
      </c>
      <c r="I2012" s="14">
        <v>3.49</v>
      </c>
      <c r="J2012" s="7" t="s">
        <v>8781</v>
      </c>
      <c r="K2012" s="5" t="s">
        <v>60</v>
      </c>
      <c r="L2012" s="11">
        <v>168</v>
      </c>
      <c r="M2012" s="11">
        <v>2019</v>
      </c>
      <c r="N2012" s="11">
        <v>2014</v>
      </c>
      <c r="O2012" s="15"/>
      <c r="P2012" s="8">
        <v>43934</v>
      </c>
      <c r="Q2012" s="8"/>
      <c r="R2012" s="8"/>
      <c r="S2012" s="8"/>
      <c r="T2012" s="8"/>
      <c r="U2012" s="8"/>
      <c r="V2012" s="8"/>
      <c r="W2012" s="8"/>
      <c r="X2012" s="8"/>
      <c r="Y2012" s="8"/>
      <c r="Z2012" s="8"/>
      <c r="AA2012" s="8"/>
      <c r="AB2012" s="8"/>
      <c r="AC2012" s="8"/>
      <c r="AD2012" s="8"/>
      <c r="AE2012" s="8"/>
      <c r="AF2012" s="8"/>
      <c r="AG2012" s="8"/>
      <c r="AH2012" s="8"/>
      <c r="AI2012" s="8"/>
      <c r="AJ2012" s="8"/>
      <c r="AK2012" s="8"/>
      <c r="AL2012" s="8"/>
      <c r="AM2012" s="8"/>
      <c r="AN2012" s="8"/>
      <c r="AO2012" s="8"/>
      <c r="AP2012" s="8"/>
      <c r="AQ2012" s="8"/>
      <c r="AR2012" s="8"/>
      <c r="AS2012" s="8"/>
      <c r="AT2012" s="8"/>
      <c r="AU2012" s="8"/>
      <c r="AV2012" s="8"/>
      <c r="AW2012" s="8"/>
      <c r="AX2012" s="4" t="s">
        <v>38</v>
      </c>
      <c r="AY2012" s="5" t="s">
        <v>8782</v>
      </c>
      <c r="AZ2012" s="5" t="s">
        <v>38</v>
      </c>
      <c r="BA2012" s="12"/>
      <c r="BB2012" s="12"/>
      <c r="BC2012" s="12"/>
      <c r="BD2012" s="11">
        <v>0</v>
      </c>
      <c r="BE2012" s="11">
        <v>0</v>
      </c>
    </row>
    <row x14ac:dyDescent="0.25" r="2013" customHeight="1" ht="17.25">
      <c r="A2013" s="11">
        <v>41649489</v>
      </c>
      <c r="B2013" s="4" t="s">
        <v>8783</v>
      </c>
      <c r="C2013" s="5" t="s">
        <v>8784</v>
      </c>
      <c r="D2013" s="5" t="s">
        <v>8785</v>
      </c>
      <c r="E2013" s="5" t="s">
        <v>8786</v>
      </c>
      <c r="F2013" s="13">
        <f>""</f>
      </c>
      <c r="G2013" s="13">
        <f>""</f>
      </c>
      <c r="H2013" s="11">
        <v>0</v>
      </c>
      <c r="I2013" s="14">
        <v>3.77</v>
      </c>
      <c r="J2013" s="7" t="s">
        <v>376</v>
      </c>
      <c r="K2013" s="1"/>
      <c r="L2013" s="16"/>
      <c r="M2013" s="11">
        <v>2020</v>
      </c>
      <c r="N2013" s="11">
        <v>2020</v>
      </c>
      <c r="O2013" s="15"/>
      <c r="P2013" s="8">
        <v>43934</v>
      </c>
      <c r="Q2013" s="8"/>
      <c r="R2013" s="8"/>
      <c r="S2013" s="8"/>
      <c r="T2013" s="8"/>
      <c r="U2013" s="8"/>
      <c r="V2013" s="8"/>
      <c r="W2013" s="8"/>
      <c r="X2013" s="8"/>
      <c r="Y2013" s="8"/>
      <c r="Z2013" s="8"/>
      <c r="AA2013" s="8"/>
      <c r="AB2013" s="8"/>
      <c r="AC2013" s="8"/>
      <c r="AD2013" s="8"/>
      <c r="AE2013" s="8"/>
      <c r="AF2013" s="8"/>
      <c r="AG2013" s="8"/>
      <c r="AH2013" s="8"/>
      <c r="AI2013" s="8"/>
      <c r="AJ2013" s="8"/>
      <c r="AK2013" s="8"/>
      <c r="AL2013" s="8"/>
      <c r="AM2013" s="8"/>
      <c r="AN2013" s="8"/>
      <c r="AO2013" s="8"/>
      <c r="AP2013" s="8"/>
      <c r="AQ2013" s="8"/>
      <c r="AR2013" s="8"/>
      <c r="AS2013" s="8"/>
      <c r="AT2013" s="8"/>
      <c r="AU2013" s="8"/>
      <c r="AV2013" s="8"/>
      <c r="AW2013" s="8"/>
      <c r="AX2013" s="4" t="s">
        <v>38</v>
      </c>
      <c r="AY2013" s="5" t="s">
        <v>8787</v>
      </c>
      <c r="AZ2013" s="5" t="s">
        <v>38</v>
      </c>
      <c r="BA2013" s="12"/>
      <c r="BB2013" s="12"/>
      <c r="BC2013" s="12"/>
      <c r="BD2013" s="11">
        <v>0</v>
      </c>
      <c r="BE2013" s="11">
        <v>0</v>
      </c>
    </row>
    <row x14ac:dyDescent="0.25" r="2014" customHeight="1" ht="17.25">
      <c r="A2014" s="11">
        <v>50755102</v>
      </c>
      <c r="B2014" s="4" t="s">
        <v>8788</v>
      </c>
      <c r="C2014" s="5" t="s">
        <v>8789</v>
      </c>
      <c r="D2014" s="5" t="s">
        <v>8790</v>
      </c>
      <c r="E2014" s="12"/>
      <c r="F2014" s="13">
        <f>"132400570X"</f>
      </c>
      <c r="G2014" s="13">
        <f>"9781324005704"</f>
      </c>
      <c r="H2014" s="11">
        <v>0</v>
      </c>
      <c r="I2014" s="14">
        <v>4.02</v>
      </c>
      <c r="J2014" s="7" t="s">
        <v>144</v>
      </c>
      <c r="K2014" s="5" t="s">
        <v>72</v>
      </c>
      <c r="L2014" s="11">
        <v>272</v>
      </c>
      <c r="M2014" s="11">
        <v>2020</v>
      </c>
      <c r="N2014" s="11">
        <v>2020</v>
      </c>
      <c r="O2014" s="15"/>
      <c r="P2014" s="8">
        <v>43934</v>
      </c>
      <c r="Q2014" s="8"/>
      <c r="R2014" s="8"/>
      <c r="S2014" s="8"/>
      <c r="T2014" s="8"/>
      <c r="U2014" s="8"/>
      <c r="V2014" s="8"/>
      <c r="W2014" s="8"/>
      <c r="X2014" s="8"/>
      <c r="Y2014" s="8"/>
      <c r="Z2014" s="8"/>
      <c r="AA2014" s="8"/>
      <c r="AB2014" s="8"/>
      <c r="AC2014" s="8"/>
      <c r="AD2014" s="8"/>
      <c r="AE2014" s="8"/>
      <c r="AF2014" s="8"/>
      <c r="AG2014" s="8"/>
      <c r="AH2014" s="8"/>
      <c r="AI2014" s="8"/>
      <c r="AJ2014" s="8"/>
      <c r="AK2014" s="8"/>
      <c r="AL2014" s="8"/>
      <c r="AM2014" s="8"/>
      <c r="AN2014" s="8"/>
      <c r="AO2014" s="8"/>
      <c r="AP2014" s="8"/>
      <c r="AQ2014" s="8"/>
      <c r="AR2014" s="8"/>
      <c r="AS2014" s="8"/>
      <c r="AT2014" s="8"/>
      <c r="AU2014" s="8"/>
      <c r="AV2014" s="8"/>
      <c r="AW2014" s="8"/>
      <c r="AX2014" s="4" t="s">
        <v>38</v>
      </c>
      <c r="AY2014" s="5" t="s">
        <v>8791</v>
      </c>
      <c r="AZ2014" s="5" t="s">
        <v>38</v>
      </c>
      <c r="BA2014" s="12"/>
      <c r="BB2014" s="12"/>
      <c r="BC2014" s="12"/>
      <c r="BD2014" s="11">
        <v>0</v>
      </c>
      <c r="BE2014" s="11">
        <v>0</v>
      </c>
    </row>
    <row x14ac:dyDescent="0.25" r="2015" customHeight="1" ht="17.25">
      <c r="A2015" s="11">
        <v>52224</v>
      </c>
      <c r="B2015" s="4" t="s">
        <v>8792</v>
      </c>
      <c r="C2015" s="5" t="s">
        <v>6703</v>
      </c>
      <c r="D2015" s="5" t="s">
        <v>6704</v>
      </c>
      <c r="E2015" s="5" t="s">
        <v>8793</v>
      </c>
      <c r="F2015" s="13">
        <f>"0674022211"</f>
      </c>
      <c r="G2015" s="13">
        <f>"9780674022218"</f>
      </c>
      <c r="H2015" s="11">
        <v>0</v>
      </c>
      <c r="I2015" s="14">
        <v>3.62</v>
      </c>
      <c r="J2015" s="7" t="s">
        <v>905</v>
      </c>
      <c r="K2015" s="5" t="s">
        <v>60</v>
      </c>
      <c r="L2015" s="11">
        <v>208</v>
      </c>
      <c r="M2015" s="11">
        <v>2006</v>
      </c>
      <c r="N2015" s="11">
        <v>1972</v>
      </c>
      <c r="O2015" s="15"/>
      <c r="P2015" s="8">
        <v>43934</v>
      </c>
      <c r="Q2015" s="8"/>
      <c r="R2015" s="8"/>
      <c r="S2015" s="8"/>
      <c r="T2015" s="8"/>
      <c r="U2015" s="8"/>
      <c r="V2015" s="8"/>
      <c r="W2015" s="8"/>
      <c r="X2015" s="8"/>
      <c r="Y2015" s="8"/>
      <c r="Z2015" s="8"/>
      <c r="AA2015" s="8"/>
      <c r="AB2015" s="8"/>
      <c r="AC2015" s="8"/>
      <c r="AD2015" s="8"/>
      <c r="AE2015" s="8"/>
      <c r="AF2015" s="8"/>
      <c r="AG2015" s="8"/>
      <c r="AH2015" s="8"/>
      <c r="AI2015" s="8"/>
      <c r="AJ2015" s="8"/>
      <c r="AK2015" s="8"/>
      <c r="AL2015" s="8"/>
      <c r="AM2015" s="8"/>
      <c r="AN2015" s="8"/>
      <c r="AO2015" s="8"/>
      <c r="AP2015" s="8"/>
      <c r="AQ2015" s="8"/>
      <c r="AR2015" s="8"/>
      <c r="AS2015" s="8"/>
      <c r="AT2015" s="8"/>
      <c r="AU2015" s="8"/>
      <c r="AV2015" s="8"/>
      <c r="AW2015" s="8"/>
      <c r="AX2015" s="4" t="s">
        <v>38</v>
      </c>
      <c r="AY2015" s="5" t="s">
        <v>8794</v>
      </c>
      <c r="AZ2015" s="5" t="s">
        <v>38</v>
      </c>
      <c r="BA2015" s="12"/>
      <c r="BB2015" s="12"/>
      <c r="BC2015" s="12"/>
      <c r="BD2015" s="11">
        <v>0</v>
      </c>
      <c r="BE2015" s="11">
        <v>0</v>
      </c>
    </row>
    <row x14ac:dyDescent="0.25" r="2016" customHeight="1" ht="17.25">
      <c r="A2016" s="11">
        <v>18492351</v>
      </c>
      <c r="B2016" s="4" t="s">
        <v>8795</v>
      </c>
      <c r="C2016" s="5" t="s">
        <v>8796</v>
      </c>
      <c r="D2016" s="5" t="s">
        <v>8797</v>
      </c>
      <c r="E2016" s="12"/>
      <c r="F2016" s="13">
        <f>"0615870864"</f>
      </c>
      <c r="G2016" s="13">
        <f>"9780615870861"</f>
      </c>
      <c r="H2016" s="11">
        <v>0</v>
      </c>
      <c r="I2016" s="14">
        <v>3.95</v>
      </c>
      <c r="J2016" s="7" t="s">
        <v>8798</v>
      </c>
      <c r="K2016" s="5" t="s">
        <v>60</v>
      </c>
      <c r="L2016" s="11">
        <v>250</v>
      </c>
      <c r="M2016" s="11">
        <v>2013</v>
      </c>
      <c r="N2016" s="11">
        <v>2013</v>
      </c>
      <c r="O2016" s="15"/>
      <c r="P2016" s="8">
        <v>43926</v>
      </c>
      <c r="Q2016" s="8"/>
      <c r="R2016" s="8"/>
      <c r="S2016" s="8"/>
      <c r="T2016" s="8"/>
      <c r="U2016" s="8"/>
      <c r="V2016" s="8"/>
      <c r="W2016" s="8"/>
      <c r="X2016" s="8"/>
      <c r="Y2016" s="8"/>
      <c r="Z2016" s="8"/>
      <c r="AA2016" s="8"/>
      <c r="AB2016" s="8"/>
      <c r="AC2016" s="8"/>
      <c r="AD2016" s="8"/>
      <c r="AE2016" s="8"/>
      <c r="AF2016" s="8"/>
      <c r="AG2016" s="8"/>
      <c r="AH2016" s="8"/>
      <c r="AI2016" s="8"/>
      <c r="AJ2016" s="8"/>
      <c r="AK2016" s="8"/>
      <c r="AL2016" s="8"/>
      <c r="AM2016" s="8"/>
      <c r="AN2016" s="8"/>
      <c r="AO2016" s="8"/>
      <c r="AP2016" s="8"/>
      <c r="AQ2016" s="8"/>
      <c r="AR2016" s="8"/>
      <c r="AS2016" s="8"/>
      <c r="AT2016" s="8"/>
      <c r="AU2016" s="8"/>
      <c r="AV2016" s="8"/>
      <c r="AW2016" s="8"/>
      <c r="AX2016" s="4" t="s">
        <v>38</v>
      </c>
      <c r="AY2016" s="5" t="s">
        <v>8799</v>
      </c>
      <c r="AZ2016" s="5" t="s">
        <v>38</v>
      </c>
      <c r="BA2016" s="12"/>
      <c r="BB2016" s="12"/>
      <c r="BC2016" s="12"/>
      <c r="BD2016" s="11">
        <v>0</v>
      </c>
      <c r="BE2016" s="11">
        <v>0</v>
      </c>
    </row>
    <row x14ac:dyDescent="0.25" r="2017" customHeight="1" ht="17.25">
      <c r="A2017" s="11">
        <v>6316356</v>
      </c>
      <c r="B2017" s="4" t="s">
        <v>8800</v>
      </c>
      <c r="C2017" s="5" t="s">
        <v>8011</v>
      </c>
      <c r="D2017" s="5" t="s">
        <v>8012</v>
      </c>
      <c r="E2017" s="5" t="s">
        <v>3130</v>
      </c>
      <c r="F2017" s="13">
        <f>"158243543X"</f>
      </c>
      <c r="G2017" s="13">
        <f>"9781582435435"</f>
      </c>
      <c r="H2017" s="11">
        <v>0</v>
      </c>
      <c r="I2017" s="14">
        <v>4.18</v>
      </c>
      <c r="J2017" s="7" t="s">
        <v>6506</v>
      </c>
      <c r="K2017" s="5" t="s">
        <v>60</v>
      </c>
      <c r="L2017" s="11">
        <v>234</v>
      </c>
      <c r="M2017" s="11">
        <v>2009</v>
      </c>
      <c r="N2017" s="11">
        <v>2009</v>
      </c>
      <c r="O2017" s="15"/>
      <c r="P2017" s="8">
        <v>43926</v>
      </c>
      <c r="Q2017" s="8"/>
      <c r="R2017" s="8"/>
      <c r="S2017" s="8"/>
      <c r="T2017" s="8"/>
      <c r="U2017" s="8"/>
      <c r="V2017" s="8"/>
      <c r="W2017" s="8"/>
      <c r="X2017" s="8"/>
      <c r="Y2017" s="8"/>
      <c r="Z2017" s="8"/>
      <c r="AA2017" s="8"/>
      <c r="AB2017" s="8"/>
      <c r="AC2017" s="8"/>
      <c r="AD2017" s="8"/>
      <c r="AE2017" s="8"/>
      <c r="AF2017" s="8"/>
      <c r="AG2017" s="8"/>
      <c r="AH2017" s="8"/>
      <c r="AI2017" s="8"/>
      <c r="AJ2017" s="8"/>
      <c r="AK2017" s="8"/>
      <c r="AL2017" s="8"/>
      <c r="AM2017" s="8"/>
      <c r="AN2017" s="8"/>
      <c r="AO2017" s="8"/>
      <c r="AP2017" s="8"/>
      <c r="AQ2017" s="8"/>
      <c r="AR2017" s="8"/>
      <c r="AS2017" s="8"/>
      <c r="AT2017" s="8"/>
      <c r="AU2017" s="8"/>
      <c r="AV2017" s="8"/>
      <c r="AW2017" s="8"/>
      <c r="AX2017" s="4" t="s">
        <v>38</v>
      </c>
      <c r="AY2017" s="5" t="s">
        <v>8801</v>
      </c>
      <c r="AZ2017" s="5" t="s">
        <v>38</v>
      </c>
      <c r="BA2017" s="12"/>
      <c r="BB2017" s="12"/>
      <c r="BC2017" s="12"/>
      <c r="BD2017" s="11">
        <v>0</v>
      </c>
      <c r="BE2017" s="11">
        <v>0</v>
      </c>
    </row>
    <row x14ac:dyDescent="0.25" r="2018" customHeight="1" ht="17.25">
      <c r="A2018" s="11">
        <v>243970</v>
      </c>
      <c r="B2018" s="4" t="s">
        <v>8802</v>
      </c>
      <c r="C2018" s="5" t="s">
        <v>8803</v>
      </c>
      <c r="D2018" s="5" t="s">
        <v>8804</v>
      </c>
      <c r="E2018" s="12"/>
      <c r="F2018" s="13">
        <f>"0877040583"</f>
      </c>
      <c r="G2018" s="13">
        <f>"9780877040583"</f>
      </c>
      <c r="H2018" s="11">
        <v>0</v>
      </c>
      <c r="I2018" s="14">
        <v>4.32</v>
      </c>
      <c r="J2018" s="7" t="s">
        <v>8805</v>
      </c>
      <c r="K2018" s="5" t="s">
        <v>60</v>
      </c>
      <c r="L2018" s="11">
        <v>106</v>
      </c>
      <c r="M2018" s="11">
        <v>2001</v>
      </c>
      <c r="N2018" s="11">
        <v>1982</v>
      </c>
      <c r="O2018" s="15"/>
      <c r="P2018" s="8">
        <v>43926</v>
      </c>
      <c r="Q2018" s="8"/>
      <c r="R2018" s="8"/>
      <c r="S2018" s="8"/>
      <c r="T2018" s="8"/>
      <c r="U2018" s="8"/>
      <c r="V2018" s="8"/>
      <c r="W2018" s="8"/>
      <c r="X2018" s="8"/>
      <c r="Y2018" s="8"/>
      <c r="Z2018" s="8"/>
      <c r="AA2018" s="8"/>
      <c r="AB2018" s="8"/>
      <c r="AC2018" s="8"/>
      <c r="AD2018" s="8"/>
      <c r="AE2018" s="8"/>
      <c r="AF2018" s="8"/>
      <c r="AG2018" s="8"/>
      <c r="AH2018" s="8"/>
      <c r="AI2018" s="8"/>
      <c r="AJ2018" s="8"/>
      <c r="AK2018" s="8"/>
      <c r="AL2018" s="8"/>
      <c r="AM2018" s="8"/>
      <c r="AN2018" s="8"/>
      <c r="AO2018" s="8"/>
      <c r="AP2018" s="8"/>
      <c r="AQ2018" s="8"/>
      <c r="AR2018" s="8"/>
      <c r="AS2018" s="8"/>
      <c r="AT2018" s="8"/>
      <c r="AU2018" s="8"/>
      <c r="AV2018" s="8"/>
      <c r="AW2018" s="8"/>
      <c r="AX2018" s="4" t="s">
        <v>38</v>
      </c>
      <c r="AY2018" s="5" t="s">
        <v>8806</v>
      </c>
      <c r="AZ2018" s="5" t="s">
        <v>38</v>
      </c>
      <c r="BA2018" s="12"/>
      <c r="BB2018" s="12"/>
      <c r="BC2018" s="12"/>
      <c r="BD2018" s="11">
        <v>0</v>
      </c>
      <c r="BE2018" s="11">
        <v>0</v>
      </c>
    </row>
    <row x14ac:dyDescent="0.25" r="2019" customHeight="1" ht="17.25">
      <c r="A2019" s="11">
        <v>34525338</v>
      </c>
      <c r="B2019" s="4" t="s">
        <v>8807</v>
      </c>
      <c r="C2019" s="5" t="s">
        <v>754</v>
      </c>
      <c r="D2019" s="5" t="s">
        <v>755</v>
      </c>
      <c r="E2019" s="12"/>
      <c r="F2019" s="13">
        <f>"1936932156"</f>
      </c>
      <c r="G2019" s="13">
        <f>"9781936932153"</f>
      </c>
      <c r="H2019" s="11">
        <v>0</v>
      </c>
      <c r="I2019" s="14">
        <v>3.96</v>
      </c>
      <c r="J2019" s="7" t="s">
        <v>2147</v>
      </c>
      <c r="K2019" s="5" t="s">
        <v>60</v>
      </c>
      <c r="L2019" s="11">
        <v>166</v>
      </c>
      <c r="M2019" s="11">
        <v>2017</v>
      </c>
      <c r="N2019" s="11">
        <v>2015</v>
      </c>
      <c r="O2019" s="15"/>
      <c r="P2019" s="8">
        <v>43926</v>
      </c>
      <c r="Q2019" s="8"/>
      <c r="R2019" s="8"/>
      <c r="S2019" s="8"/>
      <c r="T2019" s="8"/>
      <c r="U2019" s="8"/>
      <c r="V2019" s="8"/>
      <c r="W2019" s="8"/>
      <c r="X2019" s="8"/>
      <c r="Y2019" s="8"/>
      <c r="Z2019" s="8"/>
      <c r="AA2019" s="8"/>
      <c r="AB2019" s="8"/>
      <c r="AC2019" s="8"/>
      <c r="AD2019" s="8"/>
      <c r="AE2019" s="8"/>
      <c r="AF2019" s="8"/>
      <c r="AG2019" s="8"/>
      <c r="AH2019" s="8"/>
      <c r="AI2019" s="8"/>
      <c r="AJ2019" s="8"/>
      <c r="AK2019" s="8"/>
      <c r="AL2019" s="8"/>
      <c r="AM2019" s="8"/>
      <c r="AN2019" s="8"/>
      <c r="AO2019" s="8"/>
      <c r="AP2019" s="8"/>
      <c r="AQ2019" s="8"/>
      <c r="AR2019" s="8"/>
      <c r="AS2019" s="8"/>
      <c r="AT2019" s="8"/>
      <c r="AU2019" s="8"/>
      <c r="AV2019" s="8"/>
      <c r="AW2019" s="8"/>
      <c r="AX2019" s="4" t="s">
        <v>38</v>
      </c>
      <c r="AY2019" s="5" t="s">
        <v>8808</v>
      </c>
      <c r="AZ2019" s="5" t="s">
        <v>38</v>
      </c>
      <c r="BA2019" s="12"/>
      <c r="BB2019" s="12"/>
      <c r="BC2019" s="12"/>
      <c r="BD2019" s="11">
        <v>0</v>
      </c>
      <c r="BE2019" s="11">
        <v>0</v>
      </c>
    </row>
    <row x14ac:dyDescent="0.25" r="2020" customHeight="1" ht="17.25">
      <c r="A2020" s="11">
        <v>1322003</v>
      </c>
      <c r="B2020" s="4" t="s">
        <v>8809</v>
      </c>
      <c r="C2020" s="5" t="s">
        <v>8810</v>
      </c>
      <c r="D2020" s="5" t="s">
        <v>8811</v>
      </c>
      <c r="E2020" s="12"/>
      <c r="F2020" s="13">
        <f>"1568582021"</f>
      </c>
      <c r="G2020" s="13">
        <f>"9781568582023"</f>
      </c>
      <c r="H2020" s="11">
        <v>0</v>
      </c>
      <c r="I2020" s="14">
        <v>3.18</v>
      </c>
      <c r="J2020" s="7" t="s">
        <v>8812</v>
      </c>
      <c r="K2020" s="5" t="s">
        <v>60</v>
      </c>
      <c r="L2020" s="11">
        <v>179</v>
      </c>
      <c r="M2020" s="11">
        <v>2001</v>
      </c>
      <c r="N2020" s="11">
        <v>1999</v>
      </c>
      <c r="O2020" s="15"/>
      <c r="P2020" s="8">
        <v>43926</v>
      </c>
      <c r="Q2020" s="8"/>
      <c r="R2020" s="8"/>
      <c r="S2020" s="8"/>
      <c r="T2020" s="8"/>
      <c r="U2020" s="8"/>
      <c r="V2020" s="8"/>
      <c r="W2020" s="8"/>
      <c r="X2020" s="8"/>
      <c r="Y2020" s="8"/>
      <c r="Z2020" s="8"/>
      <c r="AA2020" s="8"/>
      <c r="AB2020" s="8"/>
      <c r="AC2020" s="8"/>
      <c r="AD2020" s="8"/>
      <c r="AE2020" s="8"/>
      <c r="AF2020" s="8"/>
      <c r="AG2020" s="8"/>
      <c r="AH2020" s="8"/>
      <c r="AI2020" s="8"/>
      <c r="AJ2020" s="8"/>
      <c r="AK2020" s="8"/>
      <c r="AL2020" s="8"/>
      <c r="AM2020" s="8"/>
      <c r="AN2020" s="8"/>
      <c r="AO2020" s="8"/>
      <c r="AP2020" s="8"/>
      <c r="AQ2020" s="8"/>
      <c r="AR2020" s="8"/>
      <c r="AS2020" s="8"/>
      <c r="AT2020" s="8"/>
      <c r="AU2020" s="8"/>
      <c r="AV2020" s="8"/>
      <c r="AW2020" s="8"/>
      <c r="AX2020" s="4" t="s">
        <v>38</v>
      </c>
      <c r="AY2020" s="5" t="s">
        <v>8813</v>
      </c>
      <c r="AZ2020" s="5" t="s">
        <v>38</v>
      </c>
      <c r="BA2020" s="12"/>
      <c r="BB2020" s="12"/>
      <c r="BC2020" s="12"/>
      <c r="BD2020" s="11">
        <v>0</v>
      </c>
      <c r="BE2020" s="11">
        <v>0</v>
      </c>
    </row>
    <row x14ac:dyDescent="0.25" r="2021" customHeight="1" ht="17.25">
      <c r="A2021" s="11">
        <v>418293</v>
      </c>
      <c r="B2021" s="4" t="s">
        <v>8814</v>
      </c>
      <c r="C2021" s="5" t="s">
        <v>8810</v>
      </c>
      <c r="D2021" s="5" t="s">
        <v>8811</v>
      </c>
      <c r="E2021" s="12"/>
      <c r="F2021" s="13">
        <f>"1568582722"</f>
      </c>
      <c r="G2021" s="13">
        <f>"9781568582726"</f>
      </c>
      <c r="H2021" s="11">
        <v>0</v>
      </c>
      <c r="I2021" s="14">
        <v>3.85</v>
      </c>
      <c r="J2021" s="7" t="s">
        <v>8812</v>
      </c>
      <c r="K2021" s="5" t="s">
        <v>72</v>
      </c>
      <c r="L2021" s="11">
        <v>208</v>
      </c>
      <c r="M2021" s="11">
        <v>2003</v>
      </c>
      <c r="N2021" s="11">
        <v>2003</v>
      </c>
      <c r="O2021" s="15"/>
      <c r="P2021" s="8">
        <v>43926</v>
      </c>
      <c r="Q2021" s="8"/>
      <c r="R2021" s="8"/>
      <c r="S2021" s="8"/>
      <c r="T2021" s="8"/>
      <c r="U2021" s="8"/>
      <c r="V2021" s="8"/>
      <c r="W2021" s="8"/>
      <c r="X2021" s="8"/>
      <c r="Y2021" s="8"/>
      <c r="Z2021" s="8"/>
      <c r="AA2021" s="8"/>
      <c r="AB2021" s="8"/>
      <c r="AC2021" s="8"/>
      <c r="AD2021" s="8"/>
      <c r="AE2021" s="8"/>
      <c r="AF2021" s="8"/>
      <c r="AG2021" s="8"/>
      <c r="AH2021" s="8"/>
      <c r="AI2021" s="8"/>
      <c r="AJ2021" s="8"/>
      <c r="AK2021" s="8"/>
      <c r="AL2021" s="8"/>
      <c r="AM2021" s="8"/>
      <c r="AN2021" s="8"/>
      <c r="AO2021" s="8"/>
      <c r="AP2021" s="8"/>
      <c r="AQ2021" s="8"/>
      <c r="AR2021" s="8"/>
      <c r="AS2021" s="8"/>
      <c r="AT2021" s="8"/>
      <c r="AU2021" s="8"/>
      <c r="AV2021" s="8"/>
      <c r="AW2021" s="8"/>
      <c r="AX2021" s="4" t="s">
        <v>38</v>
      </c>
      <c r="AY2021" s="5" t="s">
        <v>8815</v>
      </c>
      <c r="AZ2021" s="5" t="s">
        <v>38</v>
      </c>
      <c r="BA2021" s="12"/>
      <c r="BB2021" s="12"/>
      <c r="BC2021" s="12"/>
      <c r="BD2021" s="11">
        <v>0</v>
      </c>
      <c r="BE2021" s="11">
        <v>0</v>
      </c>
    </row>
    <row x14ac:dyDescent="0.25" r="2022" customHeight="1" ht="17.25">
      <c r="A2022" s="11">
        <v>480707</v>
      </c>
      <c r="B2022" s="4" t="s">
        <v>8816</v>
      </c>
      <c r="C2022" s="5" t="s">
        <v>908</v>
      </c>
      <c r="D2022" s="5" t="s">
        <v>909</v>
      </c>
      <c r="E2022" s="12"/>
      <c r="F2022" s="13">
        <f>"0896082172"</f>
      </c>
      <c r="G2022" s="13">
        <f>"9780896082175"</f>
      </c>
      <c r="H2022" s="11">
        <v>0</v>
      </c>
      <c r="I2022" s="14">
        <v>3.86</v>
      </c>
      <c r="J2022" s="7" t="s">
        <v>8817</v>
      </c>
      <c r="K2022" s="5" t="s">
        <v>60</v>
      </c>
      <c r="L2022" s="11">
        <v>249</v>
      </c>
      <c r="M2022" s="11">
        <v>1999</v>
      </c>
      <c r="N2022" s="11">
        <v>1984</v>
      </c>
      <c r="O2022" s="15"/>
      <c r="P2022" s="8">
        <v>43926</v>
      </c>
      <c r="Q2022" s="8"/>
      <c r="R2022" s="8"/>
      <c r="S2022" s="8"/>
      <c r="T2022" s="8"/>
      <c r="U2022" s="8"/>
      <c r="V2022" s="8"/>
      <c r="W2022" s="8"/>
      <c r="X2022" s="8"/>
      <c r="Y2022" s="8"/>
      <c r="Z2022" s="8"/>
      <c r="AA2022" s="8"/>
      <c r="AB2022" s="8"/>
      <c r="AC2022" s="8"/>
      <c r="AD2022" s="8"/>
      <c r="AE2022" s="8"/>
      <c r="AF2022" s="8"/>
      <c r="AG2022" s="8"/>
      <c r="AH2022" s="8"/>
      <c r="AI2022" s="8"/>
      <c r="AJ2022" s="8"/>
      <c r="AK2022" s="8"/>
      <c r="AL2022" s="8"/>
      <c r="AM2022" s="8"/>
      <c r="AN2022" s="8"/>
      <c r="AO2022" s="8"/>
      <c r="AP2022" s="8"/>
      <c r="AQ2022" s="8"/>
      <c r="AR2022" s="8"/>
      <c r="AS2022" s="8"/>
      <c r="AT2022" s="8"/>
      <c r="AU2022" s="8"/>
      <c r="AV2022" s="8"/>
      <c r="AW2022" s="8"/>
      <c r="AX2022" s="4" t="s">
        <v>38</v>
      </c>
      <c r="AY2022" s="5" t="s">
        <v>8818</v>
      </c>
      <c r="AZ2022" s="5" t="s">
        <v>38</v>
      </c>
      <c r="BA2022" s="12"/>
      <c r="BB2022" s="12"/>
      <c r="BC2022" s="12"/>
      <c r="BD2022" s="11">
        <v>0</v>
      </c>
      <c r="BE2022" s="11">
        <v>0</v>
      </c>
    </row>
    <row x14ac:dyDescent="0.25" r="2023" customHeight="1" ht="17.25">
      <c r="A2023" s="11">
        <v>36348525</v>
      </c>
      <c r="B2023" s="4" t="s">
        <v>8819</v>
      </c>
      <c r="C2023" s="5" t="s">
        <v>8820</v>
      </c>
      <c r="D2023" s="5" t="s">
        <v>8821</v>
      </c>
      <c r="E2023" s="12"/>
      <c r="F2023" s="13">
        <f>"0374261598"</f>
      </c>
      <c r="G2023" s="13">
        <f>"9780374261597"</f>
      </c>
      <c r="H2023" s="11">
        <v>0</v>
      </c>
      <c r="I2023" s="14">
        <v>3.92</v>
      </c>
      <c r="J2023" s="7" t="s">
        <v>120</v>
      </c>
      <c r="K2023" s="5" t="s">
        <v>72</v>
      </c>
      <c r="L2023" s="11">
        <v>291</v>
      </c>
      <c r="M2023" s="11">
        <v>2018</v>
      </c>
      <c r="N2023" s="11">
        <v>2018</v>
      </c>
      <c r="O2023" s="15"/>
      <c r="P2023" s="8">
        <v>43926</v>
      </c>
      <c r="Q2023" s="8"/>
      <c r="R2023" s="8"/>
      <c r="S2023" s="8"/>
      <c r="T2023" s="8"/>
      <c r="U2023" s="8"/>
      <c r="V2023" s="8"/>
      <c r="W2023" s="8"/>
      <c r="X2023" s="8"/>
      <c r="Y2023" s="8"/>
      <c r="Z2023" s="8"/>
      <c r="AA2023" s="8"/>
      <c r="AB2023" s="8"/>
      <c r="AC2023" s="8"/>
      <c r="AD2023" s="8"/>
      <c r="AE2023" s="8"/>
      <c r="AF2023" s="8"/>
      <c r="AG2023" s="8"/>
      <c r="AH2023" s="8"/>
      <c r="AI2023" s="8"/>
      <c r="AJ2023" s="8"/>
      <c r="AK2023" s="8"/>
      <c r="AL2023" s="8"/>
      <c r="AM2023" s="8"/>
      <c r="AN2023" s="8"/>
      <c r="AO2023" s="8"/>
      <c r="AP2023" s="8"/>
      <c r="AQ2023" s="8"/>
      <c r="AR2023" s="8"/>
      <c r="AS2023" s="8"/>
      <c r="AT2023" s="8"/>
      <c r="AU2023" s="8"/>
      <c r="AV2023" s="8"/>
      <c r="AW2023" s="8"/>
      <c r="AX2023" s="4" t="s">
        <v>38</v>
      </c>
      <c r="AY2023" s="5" t="s">
        <v>8822</v>
      </c>
      <c r="AZ2023" s="5" t="s">
        <v>38</v>
      </c>
      <c r="BA2023" s="12"/>
      <c r="BB2023" s="12"/>
      <c r="BC2023" s="12"/>
      <c r="BD2023" s="11">
        <v>0</v>
      </c>
      <c r="BE2023" s="11">
        <v>0</v>
      </c>
    </row>
    <row x14ac:dyDescent="0.25" r="2024" customHeight="1" ht="17.25">
      <c r="A2024" s="11">
        <v>50088631</v>
      </c>
      <c r="B2024" s="4" t="s">
        <v>8823</v>
      </c>
      <c r="C2024" s="5" t="s">
        <v>8824</v>
      </c>
      <c r="D2024" s="5" t="s">
        <v>8825</v>
      </c>
      <c r="E2024" s="12"/>
      <c r="F2024" s="13">
        <f>"038554376X"</f>
      </c>
      <c r="G2024" s="13">
        <f>"9780385543767"</f>
      </c>
      <c r="H2024" s="11">
        <v>0</v>
      </c>
      <c r="I2024" s="14">
        <v>4.16</v>
      </c>
      <c r="J2024" s="7" t="s">
        <v>716</v>
      </c>
      <c r="K2024" s="5" t="s">
        <v>72</v>
      </c>
      <c r="L2024" s="11">
        <v>377</v>
      </c>
      <c r="M2024" s="11">
        <v>2020</v>
      </c>
      <c r="N2024" s="11">
        <v>2020</v>
      </c>
      <c r="O2024" s="15"/>
      <c r="P2024" s="8">
        <v>43926</v>
      </c>
      <c r="Q2024" s="8"/>
      <c r="R2024" s="8"/>
      <c r="S2024" s="8"/>
      <c r="T2024" s="8"/>
      <c r="U2024" s="8"/>
      <c r="V2024" s="8"/>
      <c r="W2024" s="8"/>
      <c r="X2024" s="8"/>
      <c r="Y2024" s="8"/>
      <c r="Z2024" s="8"/>
      <c r="AA2024" s="8"/>
      <c r="AB2024" s="8"/>
      <c r="AC2024" s="8"/>
      <c r="AD2024" s="8"/>
      <c r="AE2024" s="8"/>
      <c r="AF2024" s="8"/>
      <c r="AG2024" s="8"/>
      <c r="AH2024" s="8"/>
      <c r="AI2024" s="8"/>
      <c r="AJ2024" s="8"/>
      <c r="AK2024" s="8"/>
      <c r="AL2024" s="8"/>
      <c r="AM2024" s="8"/>
      <c r="AN2024" s="8"/>
      <c r="AO2024" s="8"/>
      <c r="AP2024" s="8"/>
      <c r="AQ2024" s="8"/>
      <c r="AR2024" s="8"/>
      <c r="AS2024" s="8"/>
      <c r="AT2024" s="8"/>
      <c r="AU2024" s="8"/>
      <c r="AV2024" s="8"/>
      <c r="AW2024" s="8"/>
      <c r="AX2024" s="4" t="s">
        <v>38</v>
      </c>
      <c r="AY2024" s="5" t="s">
        <v>8826</v>
      </c>
      <c r="AZ2024" s="5" t="s">
        <v>38</v>
      </c>
      <c r="BA2024" s="12"/>
      <c r="BB2024" s="12"/>
      <c r="BC2024" s="12"/>
      <c r="BD2024" s="11">
        <v>0</v>
      </c>
      <c r="BE2024" s="11">
        <v>0</v>
      </c>
    </row>
    <row x14ac:dyDescent="0.25" r="2025" customHeight="1" ht="17.25">
      <c r="A2025" s="11">
        <v>199594</v>
      </c>
      <c r="B2025" s="4" t="s">
        <v>8827</v>
      </c>
      <c r="C2025" s="5" t="s">
        <v>8828</v>
      </c>
      <c r="D2025" s="5" t="s">
        <v>8829</v>
      </c>
      <c r="E2025" s="12"/>
      <c r="F2025" s="13">
        <f>"0521400740"</f>
      </c>
      <c r="G2025" s="13">
        <f>"9780521400749"</f>
      </c>
      <c r="H2025" s="11">
        <v>0</v>
      </c>
      <c r="I2025" s="14">
        <v>4.15</v>
      </c>
      <c r="J2025" s="7" t="s">
        <v>636</v>
      </c>
      <c r="K2025" s="5" t="s">
        <v>72</v>
      </c>
      <c r="L2025" s="11">
        <v>483</v>
      </c>
      <c r="M2025" s="11">
        <v>1992</v>
      </c>
      <c r="N2025" s="11">
        <v>1975</v>
      </c>
      <c r="O2025" s="15"/>
      <c r="P2025" s="8">
        <v>43926</v>
      </c>
      <c r="Q2025" s="8"/>
      <c r="R2025" s="8"/>
      <c r="S2025" s="8"/>
      <c r="T2025" s="8"/>
      <c r="U2025" s="8"/>
      <c r="V2025" s="8"/>
      <c r="W2025" s="8"/>
      <c r="X2025" s="8"/>
      <c r="Y2025" s="8"/>
      <c r="Z2025" s="8"/>
      <c r="AA2025" s="8"/>
      <c r="AB2025" s="8"/>
      <c r="AC2025" s="8"/>
      <c r="AD2025" s="8"/>
      <c r="AE2025" s="8"/>
      <c r="AF2025" s="8"/>
      <c r="AG2025" s="8"/>
      <c r="AH2025" s="8"/>
      <c r="AI2025" s="8"/>
      <c r="AJ2025" s="8"/>
      <c r="AK2025" s="8"/>
      <c r="AL2025" s="8"/>
      <c r="AM2025" s="8"/>
      <c r="AN2025" s="8"/>
      <c r="AO2025" s="8"/>
      <c r="AP2025" s="8"/>
      <c r="AQ2025" s="8"/>
      <c r="AR2025" s="8"/>
      <c r="AS2025" s="8"/>
      <c r="AT2025" s="8"/>
      <c r="AU2025" s="8"/>
      <c r="AV2025" s="8"/>
      <c r="AW2025" s="8"/>
      <c r="AX2025" s="4" t="s">
        <v>38</v>
      </c>
      <c r="AY2025" s="5" t="s">
        <v>8830</v>
      </c>
      <c r="AZ2025" s="5" t="s">
        <v>38</v>
      </c>
      <c r="BA2025" s="12"/>
      <c r="BB2025" s="12"/>
      <c r="BC2025" s="12"/>
      <c r="BD2025" s="11">
        <v>0</v>
      </c>
      <c r="BE2025" s="11">
        <v>0</v>
      </c>
    </row>
    <row x14ac:dyDescent="0.25" r="2026" customHeight="1" ht="17.25">
      <c r="A2026" s="11">
        <v>336843</v>
      </c>
      <c r="B2026" s="4" t="s">
        <v>8831</v>
      </c>
      <c r="C2026" s="5" t="s">
        <v>8832</v>
      </c>
      <c r="D2026" s="5" t="s">
        <v>8833</v>
      </c>
      <c r="E2026" s="5" t="s">
        <v>8834</v>
      </c>
      <c r="F2026" s="13">
        <f>"0930762002"</f>
      </c>
      <c r="G2026" s="13">
        <f>"9780930762001"</f>
      </c>
      <c r="H2026" s="11">
        <v>0</v>
      </c>
      <c r="I2026" s="14">
        <v>4.5</v>
      </c>
      <c r="J2026" s="7" t="s">
        <v>8835</v>
      </c>
      <c r="K2026" s="5" t="s">
        <v>72</v>
      </c>
      <c r="L2026" s="11">
        <v>113</v>
      </c>
      <c r="M2026" s="11">
        <v>1977</v>
      </c>
      <c r="N2026" s="11">
        <v>1977</v>
      </c>
      <c r="O2026" s="15"/>
      <c r="P2026" s="8">
        <v>43925</v>
      </c>
      <c r="Q2026" s="8"/>
      <c r="R2026" s="8"/>
      <c r="S2026" s="8"/>
      <c r="T2026" s="8"/>
      <c r="U2026" s="8"/>
      <c r="V2026" s="8"/>
      <c r="W2026" s="8"/>
      <c r="X2026" s="8"/>
      <c r="Y2026" s="8"/>
      <c r="Z2026" s="8"/>
      <c r="AA2026" s="8"/>
      <c r="AB2026" s="8"/>
      <c r="AC2026" s="8"/>
      <c r="AD2026" s="8"/>
      <c r="AE2026" s="8"/>
      <c r="AF2026" s="8"/>
      <c r="AG2026" s="8"/>
      <c r="AH2026" s="8"/>
      <c r="AI2026" s="8"/>
      <c r="AJ2026" s="8"/>
      <c r="AK2026" s="8"/>
      <c r="AL2026" s="8"/>
      <c r="AM2026" s="8"/>
      <c r="AN2026" s="8"/>
      <c r="AO2026" s="8"/>
      <c r="AP2026" s="8"/>
      <c r="AQ2026" s="8"/>
      <c r="AR2026" s="8"/>
      <c r="AS2026" s="8"/>
      <c r="AT2026" s="8"/>
      <c r="AU2026" s="8"/>
      <c r="AV2026" s="8"/>
      <c r="AW2026" s="8"/>
      <c r="AX2026" s="4" t="s">
        <v>38</v>
      </c>
      <c r="AY2026" s="5" t="s">
        <v>8836</v>
      </c>
      <c r="AZ2026" s="5" t="s">
        <v>38</v>
      </c>
      <c r="BA2026" s="12"/>
      <c r="BB2026" s="12"/>
      <c r="BC2026" s="12"/>
      <c r="BD2026" s="11">
        <v>0</v>
      </c>
      <c r="BE2026" s="11">
        <v>0</v>
      </c>
    </row>
    <row x14ac:dyDescent="0.25" r="2027" customHeight="1" ht="17.25">
      <c r="A2027" s="11">
        <v>20821371</v>
      </c>
      <c r="B2027" s="4" t="s">
        <v>8837</v>
      </c>
      <c r="C2027" s="5" t="s">
        <v>8838</v>
      </c>
      <c r="D2027" s="5" t="s">
        <v>8839</v>
      </c>
      <c r="E2027" s="12"/>
      <c r="F2027" s="13">
        <f>"0670025852"</f>
      </c>
      <c r="G2027" s="13">
        <f>"9780670025855"</f>
      </c>
      <c r="H2027" s="11">
        <v>0</v>
      </c>
      <c r="I2027" s="14">
        <v>4.04</v>
      </c>
      <c r="J2027" s="7" t="s">
        <v>2206</v>
      </c>
      <c r="K2027" s="5" t="s">
        <v>72</v>
      </c>
      <c r="L2027" s="11">
        <v>368</v>
      </c>
      <c r="M2027" s="11">
        <v>2014</v>
      </c>
      <c r="N2027" s="11">
        <v>2014</v>
      </c>
      <c r="O2027" s="15"/>
      <c r="P2027" s="8">
        <v>43925</v>
      </c>
      <c r="Q2027" s="8"/>
      <c r="R2027" s="8"/>
      <c r="S2027" s="8"/>
      <c r="T2027" s="8"/>
      <c r="U2027" s="8"/>
      <c r="V2027" s="8"/>
      <c r="W2027" s="8"/>
      <c r="X2027" s="8"/>
      <c r="Y2027" s="8"/>
      <c r="Z2027" s="8"/>
      <c r="AA2027" s="8"/>
      <c r="AB2027" s="8"/>
      <c r="AC2027" s="8"/>
      <c r="AD2027" s="8"/>
      <c r="AE2027" s="8"/>
      <c r="AF2027" s="8"/>
      <c r="AG2027" s="8"/>
      <c r="AH2027" s="8"/>
      <c r="AI2027" s="8"/>
      <c r="AJ2027" s="8"/>
      <c r="AK2027" s="8"/>
      <c r="AL2027" s="8"/>
      <c r="AM2027" s="8"/>
      <c r="AN2027" s="8"/>
      <c r="AO2027" s="8"/>
      <c r="AP2027" s="8"/>
      <c r="AQ2027" s="8"/>
      <c r="AR2027" s="8"/>
      <c r="AS2027" s="8"/>
      <c r="AT2027" s="8"/>
      <c r="AU2027" s="8"/>
      <c r="AV2027" s="8"/>
      <c r="AW2027" s="8"/>
      <c r="AX2027" s="4" t="s">
        <v>38</v>
      </c>
      <c r="AY2027" s="5" t="s">
        <v>8840</v>
      </c>
      <c r="AZ2027" s="5" t="s">
        <v>38</v>
      </c>
      <c r="BA2027" s="12"/>
      <c r="BB2027" s="12"/>
      <c r="BC2027" s="12"/>
      <c r="BD2027" s="11">
        <v>0</v>
      </c>
      <c r="BE2027" s="11">
        <v>0</v>
      </c>
    </row>
    <row x14ac:dyDescent="0.25" r="2028" customHeight="1" ht="17.25">
      <c r="A2028" s="11">
        <v>51375442</v>
      </c>
      <c r="B2028" s="4" t="s">
        <v>8841</v>
      </c>
      <c r="C2028" s="5" t="s">
        <v>8842</v>
      </c>
      <c r="D2028" s="5" t="s">
        <v>8843</v>
      </c>
      <c r="E2028" s="5" t="s">
        <v>8844</v>
      </c>
      <c r="F2028" s="13">
        <f>"1982123079"</f>
      </c>
      <c r="G2028" s="13">
        <f>"9781982123079"</f>
      </c>
      <c r="H2028" s="11">
        <v>0</v>
      </c>
      <c r="I2028" s="14">
        <v>4.28</v>
      </c>
      <c r="J2028" s="7" t="s">
        <v>8845</v>
      </c>
      <c r="K2028" s="5" t="s">
        <v>72</v>
      </c>
      <c r="L2028" s="11">
        <v>496</v>
      </c>
      <c r="M2028" s="11">
        <v>2020</v>
      </c>
      <c r="N2028" s="11">
        <v>2020</v>
      </c>
      <c r="O2028" s="15"/>
      <c r="P2028" s="8">
        <v>43925</v>
      </c>
      <c r="Q2028" s="8"/>
      <c r="R2028" s="8"/>
      <c r="S2028" s="8"/>
      <c r="T2028" s="8"/>
      <c r="U2028" s="8"/>
      <c r="V2028" s="8"/>
      <c r="W2028" s="8"/>
      <c r="X2028" s="8"/>
      <c r="Y2028" s="8"/>
      <c r="Z2028" s="8"/>
      <c r="AA2028" s="8"/>
      <c r="AB2028" s="8"/>
      <c r="AC2028" s="8"/>
      <c r="AD2028" s="8"/>
      <c r="AE2028" s="8"/>
      <c r="AF2028" s="8"/>
      <c r="AG2028" s="8"/>
      <c r="AH2028" s="8"/>
      <c r="AI2028" s="8"/>
      <c r="AJ2028" s="8"/>
      <c r="AK2028" s="8"/>
      <c r="AL2028" s="8"/>
      <c r="AM2028" s="8"/>
      <c r="AN2028" s="8"/>
      <c r="AO2028" s="8"/>
      <c r="AP2028" s="8"/>
      <c r="AQ2028" s="8"/>
      <c r="AR2028" s="8"/>
      <c r="AS2028" s="8"/>
      <c r="AT2028" s="8"/>
      <c r="AU2028" s="8"/>
      <c r="AV2028" s="8"/>
      <c r="AW2028" s="8"/>
      <c r="AX2028" s="4" t="s">
        <v>38</v>
      </c>
      <c r="AY2028" s="5" t="s">
        <v>8846</v>
      </c>
      <c r="AZ2028" s="5" t="s">
        <v>38</v>
      </c>
      <c r="BA2028" s="12"/>
      <c r="BB2028" s="12"/>
      <c r="BC2028" s="12"/>
      <c r="BD2028" s="11">
        <v>0</v>
      </c>
      <c r="BE2028" s="11">
        <v>0</v>
      </c>
    </row>
    <row x14ac:dyDescent="0.25" r="2029" customHeight="1" ht="17.25">
      <c r="A2029" s="11">
        <v>20613724</v>
      </c>
      <c r="B2029" s="4" t="s">
        <v>8847</v>
      </c>
      <c r="C2029" s="5" t="s">
        <v>8848</v>
      </c>
      <c r="D2029" s="5" t="s">
        <v>8849</v>
      </c>
      <c r="E2029" s="12"/>
      <c r="F2029" s="13">
        <f>"0374280444"</f>
      </c>
      <c r="G2029" s="13">
        <f>"9780374280444"</f>
      </c>
      <c r="H2029" s="11">
        <v>0</v>
      </c>
      <c r="I2029" s="14">
        <v>3.74</v>
      </c>
      <c r="J2029" s="7" t="s">
        <v>120</v>
      </c>
      <c r="K2029" s="5" t="s">
        <v>72</v>
      </c>
      <c r="L2029" s="11">
        <v>256</v>
      </c>
      <c r="M2029" s="11">
        <v>2014</v>
      </c>
      <c r="N2029" s="11">
        <v>2014</v>
      </c>
      <c r="O2029" s="15"/>
      <c r="P2029" s="8">
        <v>43922</v>
      </c>
      <c r="Q2029" s="8"/>
      <c r="R2029" s="8"/>
      <c r="S2029" s="8"/>
      <c r="T2029" s="8"/>
      <c r="U2029" s="8"/>
      <c r="V2029" s="8"/>
      <c r="W2029" s="8"/>
      <c r="X2029" s="8"/>
      <c r="Y2029" s="8"/>
      <c r="Z2029" s="8"/>
      <c r="AA2029" s="8"/>
      <c r="AB2029" s="8"/>
      <c r="AC2029" s="8"/>
      <c r="AD2029" s="8"/>
      <c r="AE2029" s="8"/>
      <c r="AF2029" s="8"/>
      <c r="AG2029" s="8"/>
      <c r="AH2029" s="8"/>
      <c r="AI2029" s="8"/>
      <c r="AJ2029" s="8"/>
      <c r="AK2029" s="8"/>
      <c r="AL2029" s="8"/>
      <c r="AM2029" s="8"/>
      <c r="AN2029" s="8"/>
      <c r="AO2029" s="8"/>
      <c r="AP2029" s="8"/>
      <c r="AQ2029" s="8"/>
      <c r="AR2029" s="8"/>
      <c r="AS2029" s="8"/>
      <c r="AT2029" s="8"/>
      <c r="AU2029" s="8"/>
      <c r="AV2029" s="8"/>
      <c r="AW2029" s="8"/>
      <c r="AX2029" s="4" t="s">
        <v>38</v>
      </c>
      <c r="AY2029" s="5" t="s">
        <v>8850</v>
      </c>
      <c r="AZ2029" s="5" t="s">
        <v>38</v>
      </c>
      <c r="BA2029" s="12"/>
      <c r="BB2029" s="12"/>
      <c r="BC2029" s="12"/>
      <c r="BD2029" s="11">
        <v>0</v>
      </c>
      <c r="BE2029" s="11">
        <v>0</v>
      </c>
    </row>
    <row x14ac:dyDescent="0.25" r="2030" customHeight="1" ht="17.25">
      <c r="A2030" s="11">
        <v>12183540</v>
      </c>
      <c r="B2030" s="4" t="s">
        <v>8851</v>
      </c>
      <c r="C2030" s="5" t="s">
        <v>8852</v>
      </c>
      <c r="D2030" s="5" t="s">
        <v>8853</v>
      </c>
      <c r="E2030" s="12"/>
      <c r="F2030" s="13">
        <f>"1597111724"</f>
      </c>
      <c r="G2030" s="13">
        <f>"9781597111720"</f>
      </c>
      <c r="H2030" s="11">
        <v>0</v>
      </c>
      <c r="I2030" s="14">
        <v>4.15</v>
      </c>
      <c r="J2030" s="7" t="s">
        <v>6878</v>
      </c>
      <c r="K2030" s="5" t="s">
        <v>60</v>
      </c>
      <c r="L2030" s="11">
        <v>191</v>
      </c>
      <c r="M2030" s="11">
        <v>2011</v>
      </c>
      <c r="N2030" s="11">
        <v>2011</v>
      </c>
      <c r="O2030" s="15"/>
      <c r="P2030" s="8">
        <v>43922</v>
      </c>
      <c r="Q2030" s="8"/>
      <c r="R2030" s="8"/>
      <c r="S2030" s="8"/>
      <c r="T2030" s="8"/>
      <c r="U2030" s="8"/>
      <c r="V2030" s="8"/>
      <c r="W2030" s="8"/>
      <c r="X2030" s="8"/>
      <c r="Y2030" s="8"/>
      <c r="Z2030" s="8"/>
      <c r="AA2030" s="8"/>
      <c r="AB2030" s="8"/>
      <c r="AC2030" s="8"/>
      <c r="AD2030" s="8"/>
      <c r="AE2030" s="8"/>
      <c r="AF2030" s="8"/>
      <c r="AG2030" s="8"/>
      <c r="AH2030" s="8"/>
      <c r="AI2030" s="8"/>
      <c r="AJ2030" s="8"/>
      <c r="AK2030" s="8"/>
      <c r="AL2030" s="8"/>
      <c r="AM2030" s="8"/>
      <c r="AN2030" s="8"/>
      <c r="AO2030" s="8"/>
      <c r="AP2030" s="8"/>
      <c r="AQ2030" s="8"/>
      <c r="AR2030" s="8"/>
      <c r="AS2030" s="8"/>
      <c r="AT2030" s="8"/>
      <c r="AU2030" s="8"/>
      <c r="AV2030" s="8"/>
      <c r="AW2030" s="8"/>
      <c r="AX2030" s="4" t="s">
        <v>38</v>
      </c>
      <c r="AY2030" s="5" t="s">
        <v>8854</v>
      </c>
      <c r="AZ2030" s="5" t="s">
        <v>38</v>
      </c>
      <c r="BA2030" s="12"/>
      <c r="BB2030" s="12"/>
      <c r="BC2030" s="12"/>
      <c r="BD2030" s="11">
        <v>0</v>
      </c>
      <c r="BE2030" s="11">
        <v>0</v>
      </c>
    </row>
    <row x14ac:dyDescent="0.25" r="2031" customHeight="1" ht="17.25">
      <c r="A2031" s="11">
        <v>43260498</v>
      </c>
      <c r="B2031" s="4" t="s">
        <v>8855</v>
      </c>
      <c r="C2031" s="5" t="s">
        <v>8856</v>
      </c>
      <c r="D2031" s="5" t="s">
        <v>8857</v>
      </c>
      <c r="E2031" s="5" t="s">
        <v>8858</v>
      </c>
      <c r="F2031" s="13">
        <f>""</f>
      </c>
      <c r="G2031" s="13">
        <f>""</f>
      </c>
      <c r="H2031" s="11">
        <v>0</v>
      </c>
      <c r="I2031" s="14">
        <v>4.22</v>
      </c>
      <c r="J2031" s="7" t="s">
        <v>434</v>
      </c>
      <c r="K2031" s="5" t="s">
        <v>90</v>
      </c>
      <c r="L2031" s="11">
        <v>290</v>
      </c>
      <c r="M2031" s="11">
        <v>2019</v>
      </c>
      <c r="N2031" s="11">
        <v>2019</v>
      </c>
      <c r="O2031" s="15"/>
      <c r="P2031" s="8">
        <v>43922</v>
      </c>
      <c r="Q2031" s="8"/>
      <c r="R2031" s="8"/>
      <c r="S2031" s="8"/>
      <c r="T2031" s="8"/>
      <c r="U2031" s="8"/>
      <c r="V2031" s="8"/>
      <c r="W2031" s="8"/>
      <c r="X2031" s="8"/>
      <c r="Y2031" s="8"/>
      <c r="Z2031" s="8"/>
      <c r="AA2031" s="8"/>
      <c r="AB2031" s="8"/>
      <c r="AC2031" s="8"/>
      <c r="AD2031" s="8"/>
      <c r="AE2031" s="8"/>
      <c r="AF2031" s="8"/>
      <c r="AG2031" s="8"/>
      <c r="AH2031" s="8"/>
      <c r="AI2031" s="8"/>
      <c r="AJ2031" s="8"/>
      <c r="AK2031" s="8"/>
      <c r="AL2031" s="8"/>
      <c r="AM2031" s="8"/>
      <c r="AN2031" s="8"/>
      <c r="AO2031" s="8"/>
      <c r="AP2031" s="8"/>
      <c r="AQ2031" s="8"/>
      <c r="AR2031" s="8"/>
      <c r="AS2031" s="8"/>
      <c r="AT2031" s="8"/>
      <c r="AU2031" s="8"/>
      <c r="AV2031" s="8"/>
      <c r="AW2031" s="8"/>
      <c r="AX2031" s="4" t="s">
        <v>38</v>
      </c>
      <c r="AY2031" s="5" t="s">
        <v>8859</v>
      </c>
      <c r="AZ2031" s="5" t="s">
        <v>38</v>
      </c>
      <c r="BA2031" s="12"/>
      <c r="BB2031" s="12"/>
      <c r="BC2031" s="12"/>
      <c r="BD2031" s="11">
        <v>0</v>
      </c>
      <c r="BE2031" s="11">
        <v>0</v>
      </c>
    </row>
    <row x14ac:dyDescent="0.25" r="2032" customHeight="1" ht="17.25">
      <c r="A2032" s="11">
        <v>25387807</v>
      </c>
      <c r="B2032" s="4" t="s">
        <v>8860</v>
      </c>
      <c r="C2032" s="5" t="s">
        <v>8861</v>
      </c>
      <c r="D2032" s="5" t="s">
        <v>8862</v>
      </c>
      <c r="E2032" s="5" t="s">
        <v>8863</v>
      </c>
      <c r="F2032" s="13">
        <f>"1784780960"</f>
      </c>
      <c r="G2032" s="13">
        <f>"9781784780968"</f>
      </c>
      <c r="H2032" s="11">
        <v>0</v>
      </c>
      <c r="I2032" s="14">
        <v>3.99</v>
      </c>
      <c r="J2032" s="7" t="s">
        <v>2001</v>
      </c>
      <c r="K2032" s="5" t="s">
        <v>60</v>
      </c>
      <c r="L2032" s="11">
        <v>245</v>
      </c>
      <c r="M2032" s="11">
        <v>2015</v>
      </c>
      <c r="N2032" s="11">
        <v>2015</v>
      </c>
      <c r="O2032" s="15"/>
      <c r="P2032" s="8">
        <v>43922</v>
      </c>
      <c r="Q2032" s="8"/>
      <c r="R2032" s="8"/>
      <c r="S2032" s="8"/>
      <c r="T2032" s="8"/>
      <c r="U2032" s="8"/>
      <c r="V2032" s="8"/>
      <c r="W2032" s="8"/>
      <c r="X2032" s="8"/>
      <c r="Y2032" s="8"/>
      <c r="Z2032" s="8"/>
      <c r="AA2032" s="8"/>
      <c r="AB2032" s="8"/>
      <c r="AC2032" s="8"/>
      <c r="AD2032" s="8"/>
      <c r="AE2032" s="8"/>
      <c r="AF2032" s="8"/>
      <c r="AG2032" s="8"/>
      <c r="AH2032" s="8"/>
      <c r="AI2032" s="8"/>
      <c r="AJ2032" s="8"/>
      <c r="AK2032" s="8"/>
      <c r="AL2032" s="8"/>
      <c r="AM2032" s="8"/>
      <c r="AN2032" s="8"/>
      <c r="AO2032" s="8"/>
      <c r="AP2032" s="8"/>
      <c r="AQ2032" s="8"/>
      <c r="AR2032" s="8"/>
      <c r="AS2032" s="8"/>
      <c r="AT2032" s="8"/>
      <c r="AU2032" s="8"/>
      <c r="AV2032" s="8"/>
      <c r="AW2032" s="8"/>
      <c r="AX2032" s="4" t="s">
        <v>38</v>
      </c>
      <c r="AY2032" s="5" t="s">
        <v>8864</v>
      </c>
      <c r="AZ2032" s="5" t="s">
        <v>38</v>
      </c>
      <c r="BA2032" s="12"/>
      <c r="BB2032" s="12"/>
      <c r="BC2032" s="12"/>
      <c r="BD2032" s="11">
        <v>0</v>
      </c>
      <c r="BE2032" s="11">
        <v>0</v>
      </c>
    </row>
    <row x14ac:dyDescent="0.25" r="2033" customHeight="1" ht="17.25">
      <c r="A2033" s="11">
        <v>304049</v>
      </c>
      <c r="B2033" s="4" t="s">
        <v>8865</v>
      </c>
      <c r="C2033" s="5" t="s">
        <v>2982</v>
      </c>
      <c r="D2033" s="5" t="s">
        <v>2983</v>
      </c>
      <c r="E2033" s="5" t="s">
        <v>8866</v>
      </c>
      <c r="F2033" s="13">
        <f>"0803268572"</f>
      </c>
      <c r="G2033" s="13">
        <f>"9780803268579"</f>
      </c>
      <c r="H2033" s="11">
        <v>0</v>
      </c>
      <c r="I2033" s="14">
        <v>3.8</v>
      </c>
      <c r="J2033" s="7" t="s">
        <v>4895</v>
      </c>
      <c r="K2033" s="5" t="s">
        <v>60</v>
      </c>
      <c r="L2033" s="11">
        <v>288</v>
      </c>
      <c r="M2033" s="11">
        <v>1982</v>
      </c>
      <c r="N2033" s="11">
        <v>1973</v>
      </c>
      <c r="O2033" s="15"/>
      <c r="P2033" s="8">
        <v>43922</v>
      </c>
      <c r="Q2033" s="8"/>
      <c r="R2033" s="8"/>
      <c r="S2033" s="8"/>
      <c r="T2033" s="8"/>
      <c r="U2033" s="8"/>
      <c r="V2033" s="8"/>
      <c r="W2033" s="8"/>
      <c r="X2033" s="8"/>
      <c r="Y2033" s="8"/>
      <c r="Z2033" s="8"/>
      <c r="AA2033" s="8"/>
      <c r="AB2033" s="8"/>
      <c r="AC2033" s="8"/>
      <c r="AD2033" s="8"/>
      <c r="AE2033" s="8"/>
      <c r="AF2033" s="8"/>
      <c r="AG2033" s="8"/>
      <c r="AH2033" s="8"/>
      <c r="AI2033" s="8"/>
      <c r="AJ2033" s="8"/>
      <c r="AK2033" s="8"/>
      <c r="AL2033" s="8"/>
      <c r="AM2033" s="8"/>
      <c r="AN2033" s="8"/>
      <c r="AO2033" s="8"/>
      <c r="AP2033" s="8"/>
      <c r="AQ2033" s="8"/>
      <c r="AR2033" s="8"/>
      <c r="AS2033" s="8"/>
      <c r="AT2033" s="8"/>
      <c r="AU2033" s="8"/>
      <c r="AV2033" s="8"/>
      <c r="AW2033" s="8"/>
      <c r="AX2033" s="4" t="s">
        <v>38</v>
      </c>
      <c r="AY2033" s="5" t="s">
        <v>8867</v>
      </c>
      <c r="AZ2033" s="5" t="s">
        <v>38</v>
      </c>
      <c r="BA2033" s="12"/>
      <c r="BB2033" s="12"/>
      <c r="BC2033" s="12"/>
      <c r="BD2033" s="11">
        <v>0</v>
      </c>
      <c r="BE2033" s="11">
        <v>0</v>
      </c>
    </row>
    <row x14ac:dyDescent="0.25" r="2034" customHeight="1" ht="17.25">
      <c r="A2034" s="11">
        <v>1570434</v>
      </c>
      <c r="B2034" s="4" t="s">
        <v>8868</v>
      </c>
      <c r="C2034" s="5" t="s">
        <v>8869</v>
      </c>
      <c r="D2034" s="5" t="s">
        <v>8870</v>
      </c>
      <c r="E2034" s="12"/>
      <c r="F2034" s="13">
        <f>"0816631298"</f>
      </c>
      <c r="G2034" s="13">
        <f>"9780816631292"</f>
      </c>
      <c r="H2034" s="11">
        <v>0</v>
      </c>
      <c r="I2034" s="14">
        <v>4.24</v>
      </c>
      <c r="J2034" s="7" t="s">
        <v>728</v>
      </c>
      <c r="K2034" s="5" t="s">
        <v>60</v>
      </c>
      <c r="L2034" s="11">
        <v>320</v>
      </c>
      <c r="M2034" s="11">
        <v>1999</v>
      </c>
      <c r="N2034" s="11">
        <v>1969</v>
      </c>
      <c r="O2034" s="15"/>
      <c r="P2034" s="8">
        <v>43922</v>
      </c>
      <c r="Q2034" s="8"/>
      <c r="R2034" s="8"/>
      <c r="S2034" s="8"/>
      <c r="T2034" s="8"/>
      <c r="U2034" s="8"/>
      <c r="V2034" s="8"/>
      <c r="W2034" s="8"/>
      <c r="X2034" s="8"/>
      <c r="Y2034" s="8"/>
      <c r="Z2034" s="8"/>
      <c r="AA2034" s="8"/>
      <c r="AB2034" s="8"/>
      <c r="AC2034" s="8"/>
      <c r="AD2034" s="8"/>
      <c r="AE2034" s="8"/>
      <c r="AF2034" s="8"/>
      <c r="AG2034" s="8"/>
      <c r="AH2034" s="8"/>
      <c r="AI2034" s="8"/>
      <c r="AJ2034" s="8"/>
      <c r="AK2034" s="8"/>
      <c r="AL2034" s="8"/>
      <c r="AM2034" s="8"/>
      <c r="AN2034" s="8"/>
      <c r="AO2034" s="8"/>
      <c r="AP2034" s="8"/>
      <c r="AQ2034" s="8"/>
      <c r="AR2034" s="8"/>
      <c r="AS2034" s="8"/>
      <c r="AT2034" s="8"/>
      <c r="AU2034" s="8"/>
      <c r="AV2034" s="8"/>
      <c r="AW2034" s="8"/>
      <c r="AX2034" s="4" t="s">
        <v>38</v>
      </c>
      <c r="AY2034" s="5" t="s">
        <v>8871</v>
      </c>
      <c r="AZ2034" s="5" t="s">
        <v>38</v>
      </c>
      <c r="BA2034" s="12"/>
      <c r="BB2034" s="12"/>
      <c r="BC2034" s="12"/>
      <c r="BD2034" s="11">
        <v>0</v>
      </c>
      <c r="BE2034" s="11">
        <v>0</v>
      </c>
    </row>
    <row x14ac:dyDescent="0.25" r="2035" customHeight="1" ht="17.25">
      <c r="A2035" s="11">
        <v>608283</v>
      </c>
      <c r="B2035" s="4" t="s">
        <v>8872</v>
      </c>
      <c r="C2035" s="5" t="s">
        <v>5111</v>
      </c>
      <c r="D2035" s="5" t="s">
        <v>8873</v>
      </c>
      <c r="E2035" s="12"/>
      <c r="F2035" s="13">
        <f>"0971904723"</f>
      </c>
      <c r="G2035" s="13">
        <f>"9780971904729"</f>
      </c>
      <c r="H2035" s="11">
        <v>0</v>
      </c>
      <c r="I2035" s="14">
        <v>3.43</v>
      </c>
      <c r="J2035" s="7" t="s">
        <v>3626</v>
      </c>
      <c r="K2035" s="5" t="s">
        <v>60</v>
      </c>
      <c r="L2035" s="11">
        <v>144</v>
      </c>
      <c r="M2035" s="11">
        <v>2002</v>
      </c>
      <c r="N2035" s="11">
        <v>2001</v>
      </c>
      <c r="O2035" s="15"/>
      <c r="P2035" s="8">
        <v>43922</v>
      </c>
      <c r="Q2035" s="8"/>
      <c r="R2035" s="8"/>
      <c r="S2035" s="8"/>
      <c r="T2035" s="8"/>
      <c r="U2035" s="8"/>
      <c r="V2035" s="8"/>
      <c r="W2035" s="8"/>
      <c r="X2035" s="8"/>
      <c r="Y2035" s="8"/>
      <c r="Z2035" s="8"/>
      <c r="AA2035" s="8"/>
      <c r="AB2035" s="8"/>
      <c r="AC2035" s="8"/>
      <c r="AD2035" s="8"/>
      <c r="AE2035" s="8"/>
      <c r="AF2035" s="8"/>
      <c r="AG2035" s="8"/>
      <c r="AH2035" s="8"/>
      <c r="AI2035" s="8"/>
      <c r="AJ2035" s="8"/>
      <c r="AK2035" s="8"/>
      <c r="AL2035" s="8"/>
      <c r="AM2035" s="8"/>
      <c r="AN2035" s="8"/>
      <c r="AO2035" s="8"/>
      <c r="AP2035" s="8"/>
      <c r="AQ2035" s="8"/>
      <c r="AR2035" s="8"/>
      <c r="AS2035" s="8"/>
      <c r="AT2035" s="8"/>
      <c r="AU2035" s="8"/>
      <c r="AV2035" s="8"/>
      <c r="AW2035" s="8"/>
      <c r="AX2035" s="4" t="s">
        <v>38</v>
      </c>
      <c r="AY2035" s="5" t="s">
        <v>8874</v>
      </c>
      <c r="AZ2035" s="5" t="s">
        <v>38</v>
      </c>
      <c r="BA2035" s="12"/>
      <c r="BB2035" s="12"/>
      <c r="BC2035" s="12"/>
      <c r="BD2035" s="11">
        <v>0</v>
      </c>
      <c r="BE2035" s="11">
        <v>0</v>
      </c>
    </row>
    <row x14ac:dyDescent="0.25" r="2036" customHeight="1" ht="17.25">
      <c r="A2036" s="11">
        <v>52534874</v>
      </c>
      <c r="B2036" s="4" t="s">
        <v>8875</v>
      </c>
      <c r="C2036" s="5" t="s">
        <v>8876</v>
      </c>
      <c r="D2036" s="5" t="s">
        <v>8877</v>
      </c>
      <c r="E2036" s="12"/>
      <c r="F2036" s="13">
        <f>"1944700994"</f>
      </c>
      <c r="G2036" s="13">
        <f>"9781944700997"</f>
      </c>
      <c r="H2036" s="11">
        <v>0</v>
      </c>
      <c r="I2036" s="14">
        <v>3.98</v>
      </c>
      <c r="J2036" s="7" t="s">
        <v>8878</v>
      </c>
      <c r="K2036" s="5" t="s">
        <v>8879</v>
      </c>
      <c r="L2036" s="11">
        <v>295</v>
      </c>
      <c r="M2036" s="11">
        <v>2020</v>
      </c>
      <c r="N2036" s="16"/>
      <c r="O2036" s="15"/>
      <c r="P2036" s="8">
        <v>43921</v>
      </c>
      <c r="Q2036" s="8"/>
      <c r="R2036" s="8"/>
      <c r="S2036" s="8"/>
      <c r="T2036" s="8"/>
      <c r="U2036" s="8"/>
      <c r="V2036" s="8"/>
      <c r="W2036" s="8"/>
      <c r="X2036" s="8"/>
      <c r="Y2036" s="8"/>
      <c r="Z2036" s="8"/>
      <c r="AA2036" s="8"/>
      <c r="AB2036" s="8"/>
      <c r="AC2036" s="8"/>
      <c r="AD2036" s="8"/>
      <c r="AE2036" s="8"/>
      <c r="AF2036" s="8"/>
      <c r="AG2036" s="8"/>
      <c r="AH2036" s="8"/>
      <c r="AI2036" s="8"/>
      <c r="AJ2036" s="8"/>
      <c r="AK2036" s="8"/>
      <c r="AL2036" s="8"/>
      <c r="AM2036" s="8"/>
      <c r="AN2036" s="8"/>
      <c r="AO2036" s="8"/>
      <c r="AP2036" s="8"/>
      <c r="AQ2036" s="8"/>
      <c r="AR2036" s="8"/>
      <c r="AS2036" s="8"/>
      <c r="AT2036" s="8"/>
      <c r="AU2036" s="8"/>
      <c r="AV2036" s="8"/>
      <c r="AW2036" s="8"/>
      <c r="AX2036" s="4" t="s">
        <v>38</v>
      </c>
      <c r="AY2036" s="5" t="s">
        <v>8880</v>
      </c>
      <c r="AZ2036" s="5" t="s">
        <v>38</v>
      </c>
      <c r="BA2036" s="12"/>
      <c r="BB2036" s="12"/>
      <c r="BC2036" s="12"/>
      <c r="BD2036" s="11">
        <v>0</v>
      </c>
      <c r="BE2036" s="11">
        <v>0</v>
      </c>
    </row>
    <row x14ac:dyDescent="0.25" r="2037" customHeight="1" ht="17.25">
      <c r="A2037" s="11">
        <v>2208221</v>
      </c>
      <c r="B2037" s="4" t="s">
        <v>8881</v>
      </c>
      <c r="C2037" s="5" t="s">
        <v>8882</v>
      </c>
      <c r="D2037" s="5" t="s">
        <v>8883</v>
      </c>
      <c r="E2037" s="5" t="s">
        <v>8884</v>
      </c>
      <c r="F2037" s="13">
        <f>"0941419401"</f>
      </c>
      <c r="G2037" s="13">
        <f>"9780941419406"</f>
      </c>
      <c r="H2037" s="11">
        <v>0</v>
      </c>
      <c r="I2037" s="14">
        <v>3.84</v>
      </c>
      <c r="J2037" s="7" t="s">
        <v>8885</v>
      </c>
      <c r="K2037" s="5" t="s">
        <v>72</v>
      </c>
      <c r="L2037" s="11">
        <v>256</v>
      </c>
      <c r="M2037" s="11">
        <v>1989</v>
      </c>
      <c r="N2037" s="11">
        <v>1985</v>
      </c>
      <c r="O2037" s="15"/>
      <c r="P2037" s="8">
        <v>43921</v>
      </c>
      <c r="Q2037" s="8"/>
      <c r="R2037" s="8"/>
      <c r="S2037" s="8"/>
      <c r="T2037" s="8"/>
      <c r="U2037" s="8"/>
      <c r="V2037" s="8"/>
      <c r="W2037" s="8"/>
      <c r="X2037" s="8"/>
      <c r="Y2037" s="8"/>
      <c r="Z2037" s="8"/>
      <c r="AA2037" s="8"/>
      <c r="AB2037" s="8"/>
      <c r="AC2037" s="8"/>
      <c r="AD2037" s="8"/>
      <c r="AE2037" s="8"/>
      <c r="AF2037" s="8"/>
      <c r="AG2037" s="8"/>
      <c r="AH2037" s="8"/>
      <c r="AI2037" s="8"/>
      <c r="AJ2037" s="8"/>
      <c r="AK2037" s="8"/>
      <c r="AL2037" s="8"/>
      <c r="AM2037" s="8"/>
      <c r="AN2037" s="8"/>
      <c r="AO2037" s="8"/>
      <c r="AP2037" s="8"/>
      <c r="AQ2037" s="8"/>
      <c r="AR2037" s="8"/>
      <c r="AS2037" s="8"/>
      <c r="AT2037" s="8"/>
      <c r="AU2037" s="8"/>
      <c r="AV2037" s="8"/>
      <c r="AW2037" s="8"/>
      <c r="AX2037" s="4" t="s">
        <v>38</v>
      </c>
      <c r="AY2037" s="5" t="s">
        <v>8886</v>
      </c>
      <c r="AZ2037" s="5" t="s">
        <v>38</v>
      </c>
      <c r="BA2037" s="12"/>
      <c r="BB2037" s="12"/>
      <c r="BC2037" s="12"/>
      <c r="BD2037" s="11">
        <v>0</v>
      </c>
      <c r="BE2037" s="11">
        <v>0</v>
      </c>
    </row>
    <row x14ac:dyDescent="0.25" r="2038" customHeight="1" ht="17.25">
      <c r="A2038" s="11">
        <v>12530</v>
      </c>
      <c r="B2038" s="4" t="s">
        <v>8887</v>
      </c>
      <c r="C2038" s="5" t="s">
        <v>7483</v>
      </c>
      <c r="D2038" s="5" t="s">
        <v>7484</v>
      </c>
      <c r="E2038" s="12"/>
      <c r="F2038" s="13">
        <f>"0060919884"</f>
      </c>
      <c r="G2038" s="13">
        <f>"9780060919887"</f>
      </c>
      <c r="H2038" s="11">
        <v>0</v>
      </c>
      <c r="I2038" s="14">
        <v>3.98</v>
      </c>
      <c r="J2038" s="7" t="s">
        <v>8888</v>
      </c>
      <c r="K2038" s="5" t="s">
        <v>60</v>
      </c>
      <c r="L2038" s="11">
        <v>111</v>
      </c>
      <c r="M2038" s="11">
        <v>2013</v>
      </c>
      <c r="N2038" s="11">
        <v>1989</v>
      </c>
      <c r="O2038" s="15"/>
      <c r="P2038" s="8">
        <v>43921</v>
      </c>
      <c r="Q2038" s="8"/>
      <c r="R2038" s="8"/>
      <c r="S2038" s="8"/>
      <c r="T2038" s="8"/>
      <c r="U2038" s="8"/>
      <c r="V2038" s="8"/>
      <c r="W2038" s="8"/>
      <c r="X2038" s="8"/>
      <c r="Y2038" s="8"/>
      <c r="Z2038" s="8"/>
      <c r="AA2038" s="8"/>
      <c r="AB2038" s="8"/>
      <c r="AC2038" s="8"/>
      <c r="AD2038" s="8"/>
      <c r="AE2038" s="8"/>
      <c r="AF2038" s="8"/>
      <c r="AG2038" s="8"/>
      <c r="AH2038" s="8"/>
      <c r="AI2038" s="8"/>
      <c r="AJ2038" s="8"/>
      <c r="AK2038" s="8"/>
      <c r="AL2038" s="8"/>
      <c r="AM2038" s="8"/>
      <c r="AN2038" s="8"/>
      <c r="AO2038" s="8"/>
      <c r="AP2038" s="8"/>
      <c r="AQ2038" s="8"/>
      <c r="AR2038" s="8"/>
      <c r="AS2038" s="8"/>
      <c r="AT2038" s="8"/>
      <c r="AU2038" s="8"/>
      <c r="AV2038" s="8"/>
      <c r="AW2038" s="8"/>
      <c r="AX2038" s="4" t="s">
        <v>38</v>
      </c>
      <c r="AY2038" s="5" t="s">
        <v>8889</v>
      </c>
      <c r="AZ2038" s="5" t="s">
        <v>38</v>
      </c>
      <c r="BA2038" s="12"/>
      <c r="BB2038" s="12"/>
      <c r="BC2038" s="12"/>
      <c r="BD2038" s="11">
        <v>0</v>
      </c>
      <c r="BE2038" s="11">
        <v>0</v>
      </c>
    </row>
    <row x14ac:dyDescent="0.25" r="2039" customHeight="1" ht="17.25">
      <c r="A2039" s="11">
        <v>585474</v>
      </c>
      <c r="B2039" s="4" t="s">
        <v>8890</v>
      </c>
      <c r="C2039" s="5" t="s">
        <v>8891</v>
      </c>
      <c r="D2039" s="5" t="s">
        <v>8892</v>
      </c>
      <c r="E2039" s="12"/>
      <c r="F2039" s="13">
        <f>"0062720406"</f>
      </c>
      <c r="G2039" s="13">
        <f>"9780062720405"</f>
      </c>
      <c r="H2039" s="11">
        <v>0</v>
      </c>
      <c r="I2039" s="14">
        <v>3.89</v>
      </c>
      <c r="J2039" s="7" t="s">
        <v>505</v>
      </c>
      <c r="K2039" s="5" t="s">
        <v>60</v>
      </c>
      <c r="L2039" s="11">
        <v>272</v>
      </c>
      <c r="M2039" s="11">
        <v>1993</v>
      </c>
      <c r="N2039" s="11">
        <v>1988</v>
      </c>
      <c r="O2039" s="15"/>
      <c r="P2039" s="8">
        <v>43921</v>
      </c>
      <c r="Q2039" s="8"/>
      <c r="R2039" s="8"/>
      <c r="S2039" s="8"/>
      <c r="T2039" s="8"/>
      <c r="U2039" s="8"/>
      <c r="V2039" s="8"/>
      <c r="W2039" s="8"/>
      <c r="X2039" s="8"/>
      <c r="Y2039" s="8"/>
      <c r="Z2039" s="8"/>
      <c r="AA2039" s="8"/>
      <c r="AB2039" s="8"/>
      <c r="AC2039" s="8"/>
      <c r="AD2039" s="8"/>
      <c r="AE2039" s="8"/>
      <c r="AF2039" s="8"/>
      <c r="AG2039" s="8"/>
      <c r="AH2039" s="8"/>
      <c r="AI2039" s="8"/>
      <c r="AJ2039" s="8"/>
      <c r="AK2039" s="8"/>
      <c r="AL2039" s="8"/>
      <c r="AM2039" s="8"/>
      <c r="AN2039" s="8"/>
      <c r="AO2039" s="8"/>
      <c r="AP2039" s="8"/>
      <c r="AQ2039" s="8"/>
      <c r="AR2039" s="8"/>
      <c r="AS2039" s="8"/>
      <c r="AT2039" s="8"/>
      <c r="AU2039" s="8"/>
      <c r="AV2039" s="8"/>
      <c r="AW2039" s="8"/>
      <c r="AX2039" s="4" t="s">
        <v>38</v>
      </c>
      <c r="AY2039" s="5" t="s">
        <v>8893</v>
      </c>
      <c r="AZ2039" s="5" t="s">
        <v>38</v>
      </c>
      <c r="BA2039" s="12"/>
      <c r="BB2039" s="12"/>
      <c r="BC2039" s="12"/>
      <c r="BD2039" s="11">
        <v>0</v>
      </c>
      <c r="BE2039" s="11">
        <v>0</v>
      </c>
    </row>
    <row x14ac:dyDescent="0.25" r="2040" customHeight="1" ht="17.25">
      <c r="A2040" s="11">
        <v>53343</v>
      </c>
      <c r="B2040" s="4" t="s">
        <v>8894</v>
      </c>
      <c r="C2040" s="5" t="s">
        <v>8891</v>
      </c>
      <c r="D2040" s="5" t="s">
        <v>8892</v>
      </c>
      <c r="E2040" s="12"/>
      <c r="F2040" s="13">
        <f>"0060891548"</f>
      </c>
      <c r="G2040" s="13">
        <f>"9780060891541"</f>
      </c>
      <c r="H2040" s="11">
        <v>0</v>
      </c>
      <c r="I2040" s="14">
        <v>4.24</v>
      </c>
      <c r="J2040" s="7" t="s">
        <v>505</v>
      </c>
      <c r="K2040" s="5" t="s">
        <v>60</v>
      </c>
      <c r="L2040" s="11">
        <v>321</v>
      </c>
      <c r="M2040" s="11">
        <v>2006</v>
      </c>
      <c r="N2040" s="11">
        <v>1976</v>
      </c>
      <c r="O2040" s="15"/>
      <c r="P2040" s="8">
        <v>43921</v>
      </c>
      <c r="Q2040" s="8"/>
      <c r="R2040" s="8"/>
      <c r="S2040" s="8"/>
      <c r="T2040" s="8"/>
      <c r="U2040" s="8"/>
      <c r="V2040" s="8"/>
      <c r="W2040" s="8"/>
      <c r="X2040" s="8"/>
      <c r="Y2040" s="8"/>
      <c r="Z2040" s="8"/>
      <c r="AA2040" s="8"/>
      <c r="AB2040" s="8"/>
      <c r="AC2040" s="8"/>
      <c r="AD2040" s="8"/>
      <c r="AE2040" s="8"/>
      <c r="AF2040" s="8"/>
      <c r="AG2040" s="8"/>
      <c r="AH2040" s="8"/>
      <c r="AI2040" s="8"/>
      <c r="AJ2040" s="8"/>
      <c r="AK2040" s="8"/>
      <c r="AL2040" s="8"/>
      <c r="AM2040" s="8"/>
      <c r="AN2040" s="8"/>
      <c r="AO2040" s="8"/>
      <c r="AP2040" s="8"/>
      <c r="AQ2040" s="8"/>
      <c r="AR2040" s="8"/>
      <c r="AS2040" s="8"/>
      <c r="AT2040" s="8"/>
      <c r="AU2040" s="8"/>
      <c r="AV2040" s="8"/>
      <c r="AW2040" s="8"/>
      <c r="AX2040" s="4" t="s">
        <v>38</v>
      </c>
      <c r="AY2040" s="5" t="s">
        <v>8895</v>
      </c>
      <c r="AZ2040" s="5" t="s">
        <v>38</v>
      </c>
      <c r="BA2040" s="12"/>
      <c r="BB2040" s="12"/>
      <c r="BC2040" s="12"/>
      <c r="BD2040" s="11">
        <v>0</v>
      </c>
      <c r="BE2040" s="11">
        <v>0</v>
      </c>
    </row>
    <row x14ac:dyDescent="0.25" r="2041" customHeight="1" ht="17.25">
      <c r="A2041" s="11">
        <v>6629709</v>
      </c>
      <c r="B2041" s="4" t="s">
        <v>8896</v>
      </c>
      <c r="C2041" s="5" t="s">
        <v>8897</v>
      </c>
      <c r="D2041" s="5" t="s">
        <v>8898</v>
      </c>
      <c r="E2041" s="12"/>
      <c r="F2041" s="13">
        <f>"0061766100"</f>
      </c>
      <c r="G2041" s="13">
        <f>"9780061766107"</f>
      </c>
      <c r="H2041" s="11">
        <v>0</v>
      </c>
      <c r="I2041" s="14">
        <v>3.52</v>
      </c>
      <c r="J2041" s="7" t="s">
        <v>505</v>
      </c>
      <c r="K2041" s="5" t="s">
        <v>60</v>
      </c>
      <c r="L2041" s="11">
        <v>218</v>
      </c>
      <c r="M2041" s="11">
        <v>2010</v>
      </c>
      <c r="N2041" s="11">
        <v>2010</v>
      </c>
      <c r="O2041" s="15"/>
      <c r="P2041" s="8">
        <v>43921</v>
      </c>
      <c r="Q2041" s="8"/>
      <c r="R2041" s="8"/>
      <c r="S2041" s="8"/>
      <c r="T2041" s="8"/>
      <c r="U2041" s="8"/>
      <c r="V2041" s="8"/>
      <c r="W2041" s="8"/>
      <c r="X2041" s="8"/>
      <c r="Y2041" s="8"/>
      <c r="Z2041" s="8"/>
      <c r="AA2041" s="8"/>
      <c r="AB2041" s="8"/>
      <c r="AC2041" s="8"/>
      <c r="AD2041" s="8"/>
      <c r="AE2041" s="8"/>
      <c r="AF2041" s="8"/>
      <c r="AG2041" s="8"/>
      <c r="AH2041" s="8"/>
      <c r="AI2041" s="8"/>
      <c r="AJ2041" s="8"/>
      <c r="AK2041" s="8"/>
      <c r="AL2041" s="8"/>
      <c r="AM2041" s="8"/>
      <c r="AN2041" s="8"/>
      <c r="AO2041" s="8"/>
      <c r="AP2041" s="8"/>
      <c r="AQ2041" s="8"/>
      <c r="AR2041" s="8"/>
      <c r="AS2041" s="8"/>
      <c r="AT2041" s="8"/>
      <c r="AU2041" s="8"/>
      <c r="AV2041" s="8"/>
      <c r="AW2041" s="8"/>
      <c r="AX2041" s="4" t="s">
        <v>38</v>
      </c>
      <c r="AY2041" s="5" t="s">
        <v>8899</v>
      </c>
      <c r="AZ2041" s="5" t="s">
        <v>38</v>
      </c>
      <c r="BA2041" s="12"/>
      <c r="BB2041" s="12"/>
      <c r="BC2041" s="12"/>
      <c r="BD2041" s="11">
        <v>0</v>
      </c>
      <c r="BE2041" s="11">
        <v>0</v>
      </c>
    </row>
    <row x14ac:dyDescent="0.25" r="2042" customHeight="1" ht="17.25">
      <c r="A2042" s="11">
        <v>13236124</v>
      </c>
      <c r="B2042" s="4" t="s">
        <v>8900</v>
      </c>
      <c r="C2042" s="5" t="s">
        <v>8901</v>
      </c>
      <c r="D2042" s="5" t="s">
        <v>8902</v>
      </c>
      <c r="E2042" s="12"/>
      <c r="F2042" s="13">
        <f>""</f>
      </c>
      <c r="G2042" s="13">
        <f>""</f>
      </c>
      <c r="H2042" s="11">
        <v>0</v>
      </c>
      <c r="I2042" s="14">
        <v>4.48</v>
      </c>
      <c r="J2042" s="7" t="s">
        <v>2899</v>
      </c>
      <c r="K2042" s="5" t="s">
        <v>60</v>
      </c>
      <c r="L2042" s="11">
        <v>320</v>
      </c>
      <c r="M2042" s="11">
        <v>2019</v>
      </c>
      <c r="N2042" s="11">
        <v>2019</v>
      </c>
      <c r="O2042" s="15"/>
      <c r="P2042" s="8">
        <v>43919</v>
      </c>
      <c r="Q2042" s="8"/>
      <c r="R2042" s="8"/>
      <c r="S2042" s="8"/>
      <c r="T2042" s="8"/>
      <c r="U2042" s="8"/>
      <c r="V2042" s="8"/>
      <c r="W2042" s="8"/>
      <c r="X2042" s="8"/>
      <c r="Y2042" s="8"/>
      <c r="Z2042" s="8"/>
      <c r="AA2042" s="8"/>
      <c r="AB2042" s="8"/>
      <c r="AC2042" s="8"/>
      <c r="AD2042" s="8"/>
      <c r="AE2042" s="8"/>
      <c r="AF2042" s="8"/>
      <c r="AG2042" s="8"/>
      <c r="AH2042" s="8"/>
      <c r="AI2042" s="8"/>
      <c r="AJ2042" s="8"/>
      <c r="AK2042" s="8"/>
      <c r="AL2042" s="8"/>
      <c r="AM2042" s="8"/>
      <c r="AN2042" s="8"/>
      <c r="AO2042" s="8"/>
      <c r="AP2042" s="8"/>
      <c r="AQ2042" s="8"/>
      <c r="AR2042" s="8"/>
      <c r="AS2042" s="8"/>
      <c r="AT2042" s="8"/>
      <c r="AU2042" s="8"/>
      <c r="AV2042" s="8"/>
      <c r="AW2042" s="8"/>
      <c r="AX2042" s="4" t="s">
        <v>38</v>
      </c>
      <c r="AY2042" s="5" t="s">
        <v>8903</v>
      </c>
      <c r="AZ2042" s="5" t="s">
        <v>38</v>
      </c>
      <c r="BA2042" s="12"/>
      <c r="BB2042" s="12"/>
      <c r="BC2042" s="12"/>
      <c r="BD2042" s="11">
        <v>0</v>
      </c>
      <c r="BE2042" s="11">
        <v>0</v>
      </c>
    </row>
    <row x14ac:dyDescent="0.25" r="2043" customHeight="1" ht="17.25">
      <c r="A2043" s="11">
        <v>23461426</v>
      </c>
      <c r="B2043" s="4" t="s">
        <v>8904</v>
      </c>
      <c r="C2043" s="5" t="s">
        <v>3076</v>
      </c>
      <c r="D2043" s="5" t="s">
        <v>3077</v>
      </c>
      <c r="E2043" s="5" t="s">
        <v>8905</v>
      </c>
      <c r="F2043" s="13">
        <f>""</f>
      </c>
      <c r="G2043" s="13">
        <f>""</f>
      </c>
      <c r="H2043" s="11">
        <v>0</v>
      </c>
      <c r="I2043" s="14">
        <v>3.93</v>
      </c>
      <c r="J2043" s="7" t="s">
        <v>4458</v>
      </c>
      <c r="K2043" s="5" t="s">
        <v>60</v>
      </c>
      <c r="L2043" s="11">
        <v>229</v>
      </c>
      <c r="M2043" s="11">
        <v>2015</v>
      </c>
      <c r="N2043" s="11">
        <v>1977</v>
      </c>
      <c r="O2043" s="15"/>
      <c r="P2043" s="8">
        <v>43919</v>
      </c>
      <c r="Q2043" s="8"/>
      <c r="R2043" s="8"/>
      <c r="S2043" s="8"/>
      <c r="T2043" s="8"/>
      <c r="U2043" s="8"/>
      <c r="V2043" s="8"/>
      <c r="W2043" s="8"/>
      <c r="X2043" s="8"/>
      <c r="Y2043" s="8"/>
      <c r="Z2043" s="8"/>
      <c r="AA2043" s="8"/>
      <c r="AB2043" s="8"/>
      <c r="AC2043" s="8"/>
      <c r="AD2043" s="8"/>
      <c r="AE2043" s="8"/>
      <c r="AF2043" s="8"/>
      <c r="AG2043" s="8"/>
      <c r="AH2043" s="8"/>
      <c r="AI2043" s="8"/>
      <c r="AJ2043" s="8"/>
      <c r="AK2043" s="8"/>
      <c r="AL2043" s="8"/>
      <c r="AM2043" s="8"/>
      <c r="AN2043" s="8"/>
      <c r="AO2043" s="8"/>
      <c r="AP2043" s="8"/>
      <c r="AQ2043" s="8"/>
      <c r="AR2043" s="8"/>
      <c r="AS2043" s="8"/>
      <c r="AT2043" s="8"/>
      <c r="AU2043" s="8"/>
      <c r="AV2043" s="8"/>
      <c r="AW2043" s="8"/>
      <c r="AX2043" s="4" t="s">
        <v>38</v>
      </c>
      <c r="AY2043" s="5" t="s">
        <v>8906</v>
      </c>
      <c r="AZ2043" s="5" t="s">
        <v>38</v>
      </c>
      <c r="BA2043" s="12"/>
      <c r="BB2043" s="12"/>
      <c r="BC2043" s="12"/>
      <c r="BD2043" s="11">
        <v>0</v>
      </c>
      <c r="BE2043" s="11">
        <v>0</v>
      </c>
    </row>
    <row x14ac:dyDescent="0.25" r="2044" customHeight="1" ht="17.25">
      <c r="A2044" s="11">
        <v>40139532</v>
      </c>
      <c r="B2044" s="4" t="s">
        <v>8907</v>
      </c>
      <c r="C2044" s="5" t="s">
        <v>8908</v>
      </c>
      <c r="D2044" s="5" t="s">
        <v>8909</v>
      </c>
      <c r="E2044" s="5" t="s">
        <v>8910</v>
      </c>
      <c r="F2044" s="13">
        <f>"031652428X"</f>
      </c>
      <c r="G2044" s="13">
        <f>"9780316524285"</f>
      </c>
      <c r="H2044" s="11">
        <v>0</v>
      </c>
      <c r="I2044" s="14">
        <v>4.26</v>
      </c>
      <c r="J2044" s="7" t="s">
        <v>411</v>
      </c>
      <c r="K2044" s="5" t="s">
        <v>72</v>
      </c>
      <c r="L2044" s="11">
        <v>336</v>
      </c>
      <c r="M2044" s="11">
        <v>2019</v>
      </c>
      <c r="N2044" s="11">
        <v>2019</v>
      </c>
      <c r="O2044" s="15"/>
      <c r="P2044" s="8">
        <v>43919</v>
      </c>
      <c r="Q2044" s="8"/>
      <c r="R2044" s="8"/>
      <c r="S2044" s="8"/>
      <c r="T2044" s="8"/>
      <c r="U2044" s="8"/>
      <c r="V2044" s="8"/>
      <c r="W2044" s="8"/>
      <c r="X2044" s="8"/>
      <c r="Y2044" s="8"/>
      <c r="Z2044" s="8"/>
      <c r="AA2044" s="8"/>
      <c r="AB2044" s="8"/>
      <c r="AC2044" s="8"/>
      <c r="AD2044" s="8"/>
      <c r="AE2044" s="8"/>
      <c r="AF2044" s="8"/>
      <c r="AG2044" s="8"/>
      <c r="AH2044" s="8"/>
      <c r="AI2044" s="8"/>
      <c r="AJ2044" s="8"/>
      <c r="AK2044" s="8"/>
      <c r="AL2044" s="8"/>
      <c r="AM2044" s="8"/>
      <c r="AN2044" s="8"/>
      <c r="AO2044" s="8"/>
      <c r="AP2044" s="8"/>
      <c r="AQ2044" s="8"/>
      <c r="AR2044" s="8"/>
      <c r="AS2044" s="8"/>
      <c r="AT2044" s="8"/>
      <c r="AU2044" s="8"/>
      <c r="AV2044" s="8"/>
      <c r="AW2044" s="8"/>
      <c r="AX2044" s="4" t="s">
        <v>38</v>
      </c>
      <c r="AY2044" s="5" t="s">
        <v>8911</v>
      </c>
      <c r="AZ2044" s="5" t="s">
        <v>38</v>
      </c>
      <c r="BA2044" s="12"/>
      <c r="BB2044" s="12"/>
      <c r="BC2044" s="12"/>
      <c r="BD2044" s="11">
        <v>0</v>
      </c>
      <c r="BE2044" s="11">
        <v>0</v>
      </c>
    </row>
    <row x14ac:dyDescent="0.25" r="2045" customHeight="1" ht="17.25">
      <c r="A2045" s="11">
        <v>9644</v>
      </c>
      <c r="B2045" s="4" t="s">
        <v>8912</v>
      </c>
      <c r="C2045" s="5" t="s">
        <v>2116</v>
      </c>
      <c r="D2045" s="5" t="s">
        <v>2117</v>
      </c>
      <c r="E2045" s="12"/>
      <c r="F2045" s="13">
        <f>"0143036351"</f>
      </c>
      <c r="G2045" s="13">
        <f>"9780143036357"</f>
      </c>
      <c r="H2045" s="11">
        <v>0</v>
      </c>
      <c r="I2045" s="14">
        <v>4.02</v>
      </c>
      <c r="J2045" s="7" t="s">
        <v>491</v>
      </c>
      <c r="K2045" s="5" t="s">
        <v>60</v>
      </c>
      <c r="L2045" s="11">
        <v>120</v>
      </c>
      <c r="M2045" s="11">
        <v>2005</v>
      </c>
      <c r="N2045" s="11">
        <v>1946</v>
      </c>
      <c r="O2045" s="15"/>
      <c r="P2045" s="8">
        <v>43919</v>
      </c>
      <c r="Q2045" s="8"/>
      <c r="R2045" s="8"/>
      <c r="S2045" s="8"/>
      <c r="T2045" s="8"/>
      <c r="U2045" s="8"/>
      <c r="V2045" s="8"/>
      <c r="W2045" s="8"/>
      <c r="X2045" s="8"/>
      <c r="Y2045" s="8"/>
      <c r="Z2045" s="8"/>
      <c r="AA2045" s="8"/>
      <c r="AB2045" s="8"/>
      <c r="AC2045" s="8"/>
      <c r="AD2045" s="8"/>
      <c r="AE2045" s="8"/>
      <c r="AF2045" s="8"/>
      <c r="AG2045" s="8"/>
      <c r="AH2045" s="8"/>
      <c r="AI2045" s="8"/>
      <c r="AJ2045" s="8"/>
      <c r="AK2045" s="8"/>
      <c r="AL2045" s="8"/>
      <c r="AM2045" s="8"/>
      <c r="AN2045" s="8"/>
      <c r="AO2045" s="8"/>
      <c r="AP2045" s="8"/>
      <c r="AQ2045" s="8"/>
      <c r="AR2045" s="8"/>
      <c r="AS2045" s="8"/>
      <c r="AT2045" s="8"/>
      <c r="AU2045" s="8"/>
      <c r="AV2045" s="8"/>
      <c r="AW2045" s="8"/>
      <c r="AX2045" s="4" t="s">
        <v>38</v>
      </c>
      <c r="AY2045" s="5" t="s">
        <v>8913</v>
      </c>
      <c r="AZ2045" s="5" t="s">
        <v>38</v>
      </c>
      <c r="BA2045" s="12"/>
      <c r="BB2045" s="12"/>
      <c r="BC2045" s="12"/>
      <c r="BD2045" s="11">
        <v>0</v>
      </c>
      <c r="BE2045" s="11">
        <v>0</v>
      </c>
    </row>
    <row x14ac:dyDescent="0.25" r="2046" customHeight="1" ht="17.25">
      <c r="A2046" s="11">
        <v>25743316</v>
      </c>
      <c r="B2046" s="4" t="s">
        <v>8914</v>
      </c>
      <c r="C2046" s="5" t="s">
        <v>8915</v>
      </c>
      <c r="D2046" s="5" t="s">
        <v>8916</v>
      </c>
      <c r="E2046" s="12"/>
      <c r="F2046" s="13">
        <f>""</f>
      </c>
      <c r="G2046" s="13">
        <f>""</f>
      </c>
      <c r="H2046" s="11">
        <v>0</v>
      </c>
      <c r="I2046" s="14">
        <v>4.06</v>
      </c>
      <c r="J2046" s="7" t="s">
        <v>1018</v>
      </c>
      <c r="K2046" s="1"/>
      <c r="L2046" s="11">
        <v>416</v>
      </c>
      <c r="M2046" s="11">
        <v>2016</v>
      </c>
      <c r="N2046" s="11">
        <v>2016</v>
      </c>
      <c r="O2046" s="15"/>
      <c r="P2046" s="8">
        <v>43919</v>
      </c>
      <c r="Q2046" s="8"/>
      <c r="R2046" s="8"/>
      <c r="S2046" s="8"/>
      <c r="T2046" s="8"/>
      <c r="U2046" s="8"/>
      <c r="V2046" s="8"/>
      <c r="W2046" s="8"/>
      <c r="X2046" s="8"/>
      <c r="Y2046" s="8"/>
      <c r="Z2046" s="8"/>
      <c r="AA2046" s="8"/>
      <c r="AB2046" s="8"/>
      <c r="AC2046" s="8"/>
      <c r="AD2046" s="8"/>
      <c r="AE2046" s="8"/>
      <c r="AF2046" s="8"/>
      <c r="AG2046" s="8"/>
      <c r="AH2046" s="8"/>
      <c r="AI2046" s="8"/>
      <c r="AJ2046" s="8"/>
      <c r="AK2046" s="8"/>
      <c r="AL2046" s="8"/>
      <c r="AM2046" s="8"/>
      <c r="AN2046" s="8"/>
      <c r="AO2046" s="8"/>
      <c r="AP2046" s="8"/>
      <c r="AQ2046" s="8"/>
      <c r="AR2046" s="8"/>
      <c r="AS2046" s="8"/>
      <c r="AT2046" s="8"/>
      <c r="AU2046" s="8"/>
      <c r="AV2046" s="8"/>
      <c r="AW2046" s="8"/>
      <c r="AX2046" s="4" t="s">
        <v>38</v>
      </c>
      <c r="AY2046" s="5" t="s">
        <v>8917</v>
      </c>
      <c r="AZ2046" s="5" t="s">
        <v>38</v>
      </c>
      <c r="BA2046" s="12"/>
      <c r="BB2046" s="12"/>
      <c r="BC2046" s="12"/>
      <c r="BD2046" s="11">
        <v>0</v>
      </c>
      <c r="BE2046" s="11">
        <v>0</v>
      </c>
    </row>
    <row x14ac:dyDescent="0.25" r="2047" customHeight="1" ht="17.25">
      <c r="A2047" s="11">
        <v>25938081</v>
      </c>
      <c r="B2047" s="4" t="s">
        <v>8918</v>
      </c>
      <c r="C2047" s="5" t="s">
        <v>8919</v>
      </c>
      <c r="D2047" s="5" t="s">
        <v>8920</v>
      </c>
      <c r="E2047" s="12"/>
      <c r="F2047" s="13">
        <f>"1782116281"</f>
      </c>
      <c r="G2047" s="13">
        <f>"9781782116288"</f>
      </c>
      <c r="H2047" s="11">
        <v>0</v>
      </c>
      <c r="I2047" s="14">
        <v>3.88</v>
      </c>
      <c r="J2047" s="7" t="s">
        <v>8921</v>
      </c>
      <c r="K2047" s="5" t="s">
        <v>60</v>
      </c>
      <c r="L2047" s="11">
        <v>98</v>
      </c>
      <c r="M2047" s="11">
        <v>2015</v>
      </c>
      <c r="N2047" s="11">
        <v>2002</v>
      </c>
      <c r="O2047" s="15"/>
      <c r="P2047" s="8">
        <v>43919</v>
      </c>
      <c r="Q2047" s="8"/>
      <c r="R2047" s="8"/>
      <c r="S2047" s="8"/>
      <c r="T2047" s="8"/>
      <c r="U2047" s="8"/>
      <c r="V2047" s="8"/>
      <c r="W2047" s="8"/>
      <c r="X2047" s="8"/>
      <c r="Y2047" s="8"/>
      <c r="Z2047" s="8"/>
      <c r="AA2047" s="8"/>
      <c r="AB2047" s="8"/>
      <c r="AC2047" s="8"/>
      <c r="AD2047" s="8"/>
      <c r="AE2047" s="8"/>
      <c r="AF2047" s="8"/>
      <c r="AG2047" s="8"/>
      <c r="AH2047" s="8"/>
      <c r="AI2047" s="8"/>
      <c r="AJ2047" s="8"/>
      <c r="AK2047" s="8"/>
      <c r="AL2047" s="8"/>
      <c r="AM2047" s="8"/>
      <c r="AN2047" s="8"/>
      <c r="AO2047" s="8"/>
      <c r="AP2047" s="8"/>
      <c r="AQ2047" s="8"/>
      <c r="AR2047" s="8"/>
      <c r="AS2047" s="8"/>
      <c r="AT2047" s="8"/>
      <c r="AU2047" s="8"/>
      <c r="AV2047" s="8"/>
      <c r="AW2047" s="8"/>
      <c r="AX2047" s="4" t="s">
        <v>38</v>
      </c>
      <c r="AY2047" s="5" t="s">
        <v>8922</v>
      </c>
      <c r="AZ2047" s="5" t="s">
        <v>38</v>
      </c>
      <c r="BA2047" s="12"/>
      <c r="BB2047" s="12"/>
      <c r="BC2047" s="12"/>
      <c r="BD2047" s="11">
        <v>0</v>
      </c>
      <c r="BE2047" s="11">
        <v>0</v>
      </c>
    </row>
    <row x14ac:dyDescent="0.25" r="2048" customHeight="1" ht="17.25">
      <c r="A2048" s="11">
        <v>46890</v>
      </c>
      <c r="B2048" s="4" t="s">
        <v>8923</v>
      </c>
      <c r="C2048" s="5" t="s">
        <v>1992</v>
      </c>
      <c r="D2048" s="5" t="s">
        <v>1993</v>
      </c>
      <c r="E2048" s="12"/>
      <c r="F2048" s="13">
        <f>"0374527229"</f>
      </c>
      <c r="G2048" s="13">
        <f>"9780374527228"</f>
      </c>
      <c r="H2048" s="11">
        <v>0</v>
      </c>
      <c r="I2048" s="14">
        <v>4.11</v>
      </c>
      <c r="J2048" s="7" t="s">
        <v>1260</v>
      </c>
      <c r="K2048" s="5" t="s">
        <v>60</v>
      </c>
      <c r="L2048" s="11">
        <v>162</v>
      </c>
      <c r="M2048" s="11">
        <v>2000</v>
      </c>
      <c r="N2048" s="11">
        <v>1998</v>
      </c>
      <c r="O2048" s="15"/>
      <c r="P2048" s="8">
        <v>43919</v>
      </c>
      <c r="Q2048" s="8"/>
      <c r="R2048" s="8"/>
      <c r="S2048" s="8"/>
      <c r="T2048" s="8"/>
      <c r="U2048" s="8"/>
      <c r="V2048" s="8"/>
      <c r="W2048" s="8"/>
      <c r="X2048" s="8"/>
      <c r="Y2048" s="8"/>
      <c r="Z2048" s="8"/>
      <c r="AA2048" s="8"/>
      <c r="AB2048" s="8"/>
      <c r="AC2048" s="8"/>
      <c r="AD2048" s="8"/>
      <c r="AE2048" s="8"/>
      <c r="AF2048" s="8"/>
      <c r="AG2048" s="8"/>
      <c r="AH2048" s="8"/>
      <c r="AI2048" s="8"/>
      <c r="AJ2048" s="8"/>
      <c r="AK2048" s="8"/>
      <c r="AL2048" s="8"/>
      <c r="AM2048" s="8"/>
      <c r="AN2048" s="8"/>
      <c r="AO2048" s="8"/>
      <c r="AP2048" s="8"/>
      <c r="AQ2048" s="8"/>
      <c r="AR2048" s="8"/>
      <c r="AS2048" s="8"/>
      <c r="AT2048" s="8"/>
      <c r="AU2048" s="8"/>
      <c r="AV2048" s="8"/>
      <c r="AW2048" s="8"/>
      <c r="AX2048" s="4" t="s">
        <v>38</v>
      </c>
      <c r="AY2048" s="5" t="s">
        <v>8924</v>
      </c>
      <c r="AZ2048" s="5" t="s">
        <v>38</v>
      </c>
      <c r="BA2048" s="12"/>
      <c r="BB2048" s="12"/>
      <c r="BC2048" s="12"/>
      <c r="BD2048" s="11">
        <v>0</v>
      </c>
      <c r="BE2048" s="11">
        <v>0</v>
      </c>
    </row>
    <row x14ac:dyDescent="0.25" r="2049" customHeight="1" ht="17.25">
      <c r="A2049" s="11">
        <v>16713</v>
      </c>
      <c r="B2049" s="4" t="s">
        <v>8925</v>
      </c>
      <c r="C2049" s="5" t="s">
        <v>2400</v>
      </c>
      <c r="D2049" s="5" t="s">
        <v>2401</v>
      </c>
      <c r="E2049" s="12"/>
      <c r="F2049" s="13">
        <f>"1400076811"</f>
      </c>
      <c r="G2049" s="13">
        <f>"9781400076819"</f>
      </c>
      <c r="H2049" s="11">
        <v>0</v>
      </c>
      <c r="I2049" s="14">
        <v>3.63</v>
      </c>
      <c r="J2049" s="7" t="s">
        <v>114</v>
      </c>
      <c r="K2049" s="5" t="s">
        <v>60</v>
      </c>
      <c r="L2049" s="11">
        <v>149</v>
      </c>
      <c r="M2049" s="11">
        <v>2006</v>
      </c>
      <c r="N2049" s="11">
        <v>2005</v>
      </c>
      <c r="O2049" s="15"/>
      <c r="P2049" s="8">
        <v>43919</v>
      </c>
      <c r="Q2049" s="8"/>
      <c r="R2049" s="8"/>
      <c r="S2049" s="8"/>
      <c r="T2049" s="8"/>
      <c r="U2049" s="8"/>
      <c r="V2049" s="8"/>
      <c r="W2049" s="8"/>
      <c r="X2049" s="8"/>
      <c r="Y2049" s="8"/>
      <c r="Z2049" s="8"/>
      <c r="AA2049" s="8"/>
      <c r="AB2049" s="8"/>
      <c r="AC2049" s="8"/>
      <c r="AD2049" s="8"/>
      <c r="AE2049" s="8"/>
      <c r="AF2049" s="8"/>
      <c r="AG2049" s="8"/>
      <c r="AH2049" s="8"/>
      <c r="AI2049" s="8"/>
      <c r="AJ2049" s="8"/>
      <c r="AK2049" s="8"/>
      <c r="AL2049" s="8"/>
      <c r="AM2049" s="8"/>
      <c r="AN2049" s="8"/>
      <c r="AO2049" s="8"/>
      <c r="AP2049" s="8"/>
      <c r="AQ2049" s="8"/>
      <c r="AR2049" s="8"/>
      <c r="AS2049" s="8"/>
      <c r="AT2049" s="8"/>
      <c r="AU2049" s="8"/>
      <c r="AV2049" s="8"/>
      <c r="AW2049" s="8"/>
      <c r="AX2049" s="4" t="s">
        <v>38</v>
      </c>
      <c r="AY2049" s="5" t="s">
        <v>8926</v>
      </c>
      <c r="AZ2049" s="5" t="s">
        <v>38</v>
      </c>
      <c r="BA2049" s="12"/>
      <c r="BB2049" s="12"/>
      <c r="BC2049" s="12"/>
      <c r="BD2049" s="11">
        <v>0</v>
      </c>
      <c r="BE2049" s="11">
        <v>0</v>
      </c>
    </row>
    <row x14ac:dyDescent="0.25" r="2050" customHeight="1" ht="17.25">
      <c r="A2050" s="11">
        <v>16059462</v>
      </c>
      <c r="B2050" s="4" t="s">
        <v>8927</v>
      </c>
      <c r="C2050" s="5" t="s">
        <v>1031</v>
      </c>
      <c r="D2050" s="5" t="s">
        <v>1032</v>
      </c>
      <c r="E2050" s="5" t="s">
        <v>8928</v>
      </c>
      <c r="F2050" s="13">
        <f>"0374157693"</f>
      </c>
      <c r="G2050" s="13">
        <f>"9780374157692"</f>
      </c>
      <c r="H2050" s="11">
        <v>0</v>
      </c>
      <c r="I2050" s="14">
        <v>3.94</v>
      </c>
      <c r="J2050" s="7" t="s">
        <v>120</v>
      </c>
      <c r="K2050" s="5" t="s">
        <v>72</v>
      </c>
      <c r="L2050" s="11">
        <v>320</v>
      </c>
      <c r="M2050" s="11">
        <v>2013</v>
      </c>
      <c r="N2050" s="11">
        <v>2013</v>
      </c>
      <c r="O2050" s="15"/>
      <c r="P2050" s="8">
        <v>43919</v>
      </c>
      <c r="Q2050" s="8"/>
      <c r="R2050" s="8"/>
      <c r="S2050" s="8"/>
      <c r="T2050" s="8"/>
      <c r="U2050" s="8"/>
      <c r="V2050" s="8"/>
      <c r="W2050" s="8"/>
      <c r="X2050" s="8"/>
      <c r="Y2050" s="8"/>
      <c r="Z2050" s="8"/>
      <c r="AA2050" s="8"/>
      <c r="AB2050" s="8"/>
      <c r="AC2050" s="8"/>
      <c r="AD2050" s="8"/>
      <c r="AE2050" s="8"/>
      <c r="AF2050" s="8"/>
      <c r="AG2050" s="8"/>
      <c r="AH2050" s="8"/>
      <c r="AI2050" s="8"/>
      <c r="AJ2050" s="8"/>
      <c r="AK2050" s="8"/>
      <c r="AL2050" s="8"/>
      <c r="AM2050" s="8"/>
      <c r="AN2050" s="8"/>
      <c r="AO2050" s="8"/>
      <c r="AP2050" s="8"/>
      <c r="AQ2050" s="8"/>
      <c r="AR2050" s="8"/>
      <c r="AS2050" s="8"/>
      <c r="AT2050" s="8"/>
      <c r="AU2050" s="8"/>
      <c r="AV2050" s="8"/>
      <c r="AW2050" s="8"/>
      <c r="AX2050" s="4" t="s">
        <v>38</v>
      </c>
      <c r="AY2050" s="5" t="s">
        <v>8929</v>
      </c>
      <c r="AZ2050" s="5" t="s">
        <v>38</v>
      </c>
      <c r="BA2050" s="12"/>
      <c r="BB2050" s="12"/>
      <c r="BC2050" s="12"/>
      <c r="BD2050" s="11">
        <v>0</v>
      </c>
      <c r="BE2050" s="11">
        <v>0</v>
      </c>
    </row>
    <row x14ac:dyDescent="0.25" r="2051" customHeight="1" ht="17.25">
      <c r="A2051" s="11">
        <v>18373298</v>
      </c>
      <c r="B2051" s="4" t="s">
        <v>8930</v>
      </c>
      <c r="C2051" s="5" t="s">
        <v>1132</v>
      </c>
      <c r="D2051" s="5" t="s">
        <v>1133</v>
      </c>
      <c r="E2051" s="12"/>
      <c r="F2051" s="13">
        <f>"0812996275"</f>
      </c>
      <c r="G2051" s="13">
        <f>"9780812996272"</f>
      </c>
      <c r="H2051" s="11">
        <v>0</v>
      </c>
      <c r="I2051" s="14">
        <v>4.16</v>
      </c>
      <c r="J2051" s="7" t="s">
        <v>1018</v>
      </c>
      <c r="K2051" s="5" t="s">
        <v>72</v>
      </c>
      <c r="L2051" s="11">
        <v>64</v>
      </c>
      <c r="M2051" s="11">
        <v>2014</v>
      </c>
      <c r="N2051" s="11">
        <v>2013</v>
      </c>
      <c r="O2051" s="15"/>
      <c r="P2051" s="8">
        <v>43919</v>
      </c>
      <c r="Q2051" s="8"/>
      <c r="R2051" s="8"/>
      <c r="S2051" s="8"/>
      <c r="T2051" s="8"/>
      <c r="U2051" s="8"/>
      <c r="V2051" s="8"/>
      <c r="W2051" s="8"/>
      <c r="X2051" s="8"/>
      <c r="Y2051" s="8"/>
      <c r="Z2051" s="8"/>
      <c r="AA2051" s="8"/>
      <c r="AB2051" s="8"/>
      <c r="AC2051" s="8"/>
      <c r="AD2051" s="8"/>
      <c r="AE2051" s="8"/>
      <c r="AF2051" s="8"/>
      <c r="AG2051" s="8"/>
      <c r="AH2051" s="8"/>
      <c r="AI2051" s="8"/>
      <c r="AJ2051" s="8"/>
      <c r="AK2051" s="8"/>
      <c r="AL2051" s="8"/>
      <c r="AM2051" s="8"/>
      <c r="AN2051" s="8"/>
      <c r="AO2051" s="8"/>
      <c r="AP2051" s="8"/>
      <c r="AQ2051" s="8"/>
      <c r="AR2051" s="8"/>
      <c r="AS2051" s="8"/>
      <c r="AT2051" s="8"/>
      <c r="AU2051" s="8"/>
      <c r="AV2051" s="8"/>
      <c r="AW2051" s="8"/>
      <c r="AX2051" s="4" t="s">
        <v>38</v>
      </c>
      <c r="AY2051" s="5" t="s">
        <v>8931</v>
      </c>
      <c r="AZ2051" s="5" t="s">
        <v>38</v>
      </c>
      <c r="BA2051" s="12"/>
      <c r="BB2051" s="12"/>
      <c r="BC2051" s="12"/>
      <c r="BD2051" s="11">
        <v>0</v>
      </c>
      <c r="BE2051" s="11">
        <v>0</v>
      </c>
    </row>
    <row x14ac:dyDescent="0.25" r="2052" customHeight="1" ht="17.25">
      <c r="A2052" s="11">
        <v>4064936</v>
      </c>
      <c r="B2052" s="4" t="s">
        <v>8932</v>
      </c>
      <c r="C2052" s="5" t="s">
        <v>2116</v>
      </c>
      <c r="D2052" s="5" t="s">
        <v>2117</v>
      </c>
      <c r="E2052" s="12"/>
      <c r="F2052" s="13">
        <f>"0141036613"</f>
      </c>
      <c r="G2052" s="13">
        <f>"9780141036618"</f>
      </c>
      <c r="H2052" s="11">
        <v>0</v>
      </c>
      <c r="I2052" s="14">
        <v>3.86</v>
      </c>
      <c r="J2052" s="7" t="s">
        <v>182</v>
      </c>
      <c r="K2052" s="5" t="s">
        <v>346</v>
      </c>
      <c r="L2052" s="11">
        <v>126</v>
      </c>
      <c r="M2052" s="11">
        <v>2008</v>
      </c>
      <c r="N2052" s="11">
        <v>1946</v>
      </c>
      <c r="O2052" s="15"/>
      <c r="P2052" s="8">
        <v>43919</v>
      </c>
      <c r="Q2052" s="8"/>
      <c r="R2052" s="8"/>
      <c r="S2052" s="8"/>
      <c r="T2052" s="8"/>
      <c r="U2052" s="8"/>
      <c r="V2052" s="8"/>
      <c r="W2052" s="8"/>
      <c r="X2052" s="8"/>
      <c r="Y2052" s="8"/>
      <c r="Z2052" s="8"/>
      <c r="AA2052" s="8"/>
      <c r="AB2052" s="8"/>
      <c r="AC2052" s="8"/>
      <c r="AD2052" s="8"/>
      <c r="AE2052" s="8"/>
      <c r="AF2052" s="8"/>
      <c r="AG2052" s="8"/>
      <c r="AH2052" s="8"/>
      <c r="AI2052" s="8"/>
      <c r="AJ2052" s="8"/>
      <c r="AK2052" s="8"/>
      <c r="AL2052" s="8"/>
      <c r="AM2052" s="8"/>
      <c r="AN2052" s="8"/>
      <c r="AO2052" s="8"/>
      <c r="AP2052" s="8"/>
      <c r="AQ2052" s="8"/>
      <c r="AR2052" s="8"/>
      <c r="AS2052" s="8"/>
      <c r="AT2052" s="8"/>
      <c r="AU2052" s="8"/>
      <c r="AV2052" s="8"/>
      <c r="AW2052" s="8"/>
      <c r="AX2052" s="4" t="s">
        <v>38</v>
      </c>
      <c r="AY2052" s="5" t="s">
        <v>8933</v>
      </c>
      <c r="AZ2052" s="5" t="s">
        <v>38</v>
      </c>
      <c r="BA2052" s="12"/>
      <c r="BB2052" s="12"/>
      <c r="BC2052" s="12"/>
      <c r="BD2052" s="11">
        <v>0</v>
      </c>
      <c r="BE2052" s="11">
        <v>0</v>
      </c>
    </row>
    <row x14ac:dyDescent="0.25" r="2053" customHeight="1" ht="17.25">
      <c r="A2053" s="11">
        <v>23848586</v>
      </c>
      <c r="B2053" s="4" t="s">
        <v>8934</v>
      </c>
      <c r="C2053" s="5" t="s">
        <v>973</v>
      </c>
      <c r="D2053" s="5" t="s">
        <v>974</v>
      </c>
      <c r="E2053" s="12"/>
      <c r="F2053" s="13">
        <f>"0374298475"</f>
      </c>
      <c r="G2053" s="13">
        <f>"9780374298470"</f>
      </c>
      <c r="H2053" s="11">
        <v>0</v>
      </c>
      <c r="I2053" s="14">
        <v>3.97</v>
      </c>
      <c r="J2053" s="7" t="s">
        <v>120</v>
      </c>
      <c r="K2053" s="5" t="s">
        <v>72</v>
      </c>
      <c r="L2053" s="11">
        <v>286</v>
      </c>
      <c r="M2053" s="11">
        <v>2015</v>
      </c>
      <c r="N2053" s="11">
        <v>2015</v>
      </c>
      <c r="O2053" s="15"/>
      <c r="P2053" s="8">
        <v>43919</v>
      </c>
      <c r="Q2053" s="8"/>
      <c r="R2053" s="8"/>
      <c r="S2053" s="8"/>
      <c r="T2053" s="8"/>
      <c r="U2053" s="8"/>
      <c r="V2053" s="8"/>
      <c r="W2053" s="8"/>
      <c r="X2053" s="8"/>
      <c r="Y2053" s="8"/>
      <c r="Z2053" s="8"/>
      <c r="AA2053" s="8"/>
      <c r="AB2053" s="8"/>
      <c r="AC2053" s="8"/>
      <c r="AD2053" s="8"/>
      <c r="AE2053" s="8"/>
      <c r="AF2053" s="8"/>
      <c r="AG2053" s="8"/>
      <c r="AH2053" s="8"/>
      <c r="AI2053" s="8"/>
      <c r="AJ2053" s="8"/>
      <c r="AK2053" s="8"/>
      <c r="AL2053" s="8"/>
      <c r="AM2053" s="8"/>
      <c r="AN2053" s="8"/>
      <c r="AO2053" s="8"/>
      <c r="AP2053" s="8"/>
      <c r="AQ2053" s="8"/>
      <c r="AR2053" s="8"/>
      <c r="AS2053" s="8"/>
      <c r="AT2053" s="8"/>
      <c r="AU2053" s="8"/>
      <c r="AV2053" s="8"/>
      <c r="AW2053" s="8"/>
      <c r="AX2053" s="4" t="s">
        <v>38</v>
      </c>
      <c r="AY2053" s="5" t="s">
        <v>8935</v>
      </c>
      <c r="AZ2053" s="5" t="s">
        <v>38</v>
      </c>
      <c r="BA2053" s="12"/>
      <c r="BB2053" s="12"/>
      <c r="BC2053" s="12"/>
      <c r="BD2053" s="11">
        <v>0</v>
      </c>
      <c r="BE2053" s="11">
        <v>0</v>
      </c>
    </row>
    <row x14ac:dyDescent="0.25" r="2054" customHeight="1" ht="17.25">
      <c r="A2054" s="11">
        <v>40275091</v>
      </c>
      <c r="B2054" s="4" t="s">
        <v>8936</v>
      </c>
      <c r="C2054" s="5" t="s">
        <v>8937</v>
      </c>
      <c r="D2054" s="5" t="s">
        <v>8938</v>
      </c>
      <c r="E2054" s="12"/>
      <c r="F2054" s="13">
        <f>"1101980419"</f>
      </c>
      <c r="G2054" s="13">
        <f>"9781101980415"</f>
      </c>
      <c r="H2054" s="11">
        <v>0</v>
      </c>
      <c r="I2054" s="14">
        <v>3.31</v>
      </c>
      <c r="J2054" s="7" t="s">
        <v>1265</v>
      </c>
      <c r="K2054" s="5" t="s">
        <v>72</v>
      </c>
      <c r="L2054" s="11">
        <v>224</v>
      </c>
      <c r="M2054" s="11">
        <v>2019</v>
      </c>
      <c r="N2054" s="11">
        <v>2019</v>
      </c>
      <c r="O2054" s="15"/>
      <c r="P2054" s="8">
        <v>43911</v>
      </c>
      <c r="Q2054" s="8"/>
      <c r="R2054" s="8"/>
      <c r="S2054" s="8"/>
      <c r="T2054" s="8"/>
      <c r="U2054" s="8"/>
      <c r="V2054" s="8"/>
      <c r="W2054" s="8"/>
      <c r="X2054" s="8"/>
      <c r="Y2054" s="8"/>
      <c r="Z2054" s="8"/>
      <c r="AA2054" s="8"/>
      <c r="AB2054" s="8"/>
      <c r="AC2054" s="8"/>
      <c r="AD2054" s="8"/>
      <c r="AE2054" s="8"/>
      <c r="AF2054" s="8"/>
      <c r="AG2054" s="8"/>
      <c r="AH2054" s="8"/>
      <c r="AI2054" s="8"/>
      <c r="AJ2054" s="8"/>
      <c r="AK2054" s="8"/>
      <c r="AL2054" s="8"/>
      <c r="AM2054" s="8"/>
      <c r="AN2054" s="8"/>
      <c r="AO2054" s="8"/>
      <c r="AP2054" s="8"/>
      <c r="AQ2054" s="8"/>
      <c r="AR2054" s="8"/>
      <c r="AS2054" s="8"/>
      <c r="AT2054" s="8"/>
      <c r="AU2054" s="8"/>
      <c r="AV2054" s="8"/>
      <c r="AW2054" s="8"/>
      <c r="AX2054" s="4" t="s">
        <v>38</v>
      </c>
      <c r="AY2054" s="5" t="s">
        <v>8939</v>
      </c>
      <c r="AZ2054" s="5" t="s">
        <v>38</v>
      </c>
      <c r="BA2054" s="12"/>
      <c r="BB2054" s="12"/>
      <c r="BC2054" s="12"/>
      <c r="BD2054" s="11">
        <v>0</v>
      </c>
      <c r="BE2054" s="11">
        <v>0</v>
      </c>
    </row>
    <row x14ac:dyDescent="0.25" r="2055" customHeight="1" ht="17.25">
      <c r="A2055" s="11">
        <v>1015870</v>
      </c>
      <c r="B2055" s="4" t="s">
        <v>8940</v>
      </c>
      <c r="C2055" s="5" t="s">
        <v>8941</v>
      </c>
      <c r="D2055" s="5" t="s">
        <v>8942</v>
      </c>
      <c r="E2055" s="12"/>
      <c r="F2055" s="13">
        <f>"0471288217"</f>
      </c>
      <c r="G2055" s="13">
        <f>"9780471288213"</f>
      </c>
      <c r="H2055" s="11">
        <v>0</v>
      </c>
      <c r="I2055" s="14">
        <v>4.29</v>
      </c>
      <c r="J2055" s="7" t="s">
        <v>2644</v>
      </c>
      <c r="K2055" s="5" t="s">
        <v>60</v>
      </c>
      <c r="L2055" s="11">
        <v>320</v>
      </c>
      <c r="M2055" s="11">
        <v>1996</v>
      </c>
      <c r="N2055" s="11">
        <v>1995</v>
      </c>
      <c r="O2055" s="15"/>
      <c r="P2055" s="8">
        <v>43906</v>
      </c>
      <c r="Q2055" s="8"/>
      <c r="R2055" s="8"/>
      <c r="S2055" s="8"/>
      <c r="T2055" s="8"/>
      <c r="U2055" s="8"/>
      <c r="V2055" s="8"/>
      <c r="W2055" s="8"/>
      <c r="X2055" s="8"/>
      <c r="Y2055" s="8"/>
      <c r="Z2055" s="8"/>
      <c r="AA2055" s="8"/>
      <c r="AB2055" s="8"/>
      <c r="AC2055" s="8"/>
      <c r="AD2055" s="8"/>
      <c r="AE2055" s="8"/>
      <c r="AF2055" s="8"/>
      <c r="AG2055" s="8"/>
      <c r="AH2055" s="8"/>
      <c r="AI2055" s="8"/>
      <c r="AJ2055" s="8"/>
      <c r="AK2055" s="8"/>
      <c r="AL2055" s="8"/>
      <c r="AM2055" s="8"/>
      <c r="AN2055" s="8"/>
      <c r="AO2055" s="8"/>
      <c r="AP2055" s="8"/>
      <c r="AQ2055" s="8"/>
      <c r="AR2055" s="8"/>
      <c r="AS2055" s="8"/>
      <c r="AT2055" s="8"/>
      <c r="AU2055" s="8"/>
      <c r="AV2055" s="8"/>
      <c r="AW2055" s="8"/>
      <c r="AX2055" s="4" t="s">
        <v>38</v>
      </c>
      <c r="AY2055" s="5" t="s">
        <v>8943</v>
      </c>
      <c r="AZ2055" s="5" t="s">
        <v>38</v>
      </c>
      <c r="BA2055" s="12"/>
      <c r="BB2055" s="12"/>
      <c r="BC2055" s="12"/>
      <c r="BD2055" s="11">
        <v>0</v>
      </c>
      <c r="BE2055" s="11">
        <v>0</v>
      </c>
    </row>
    <row x14ac:dyDescent="0.25" r="2056" customHeight="1" ht="17.25">
      <c r="A2056" s="11">
        <v>6664343</v>
      </c>
      <c r="B2056" s="4" t="s">
        <v>8944</v>
      </c>
      <c r="C2056" s="5" t="s">
        <v>8945</v>
      </c>
      <c r="D2056" s="5" t="s">
        <v>8946</v>
      </c>
      <c r="E2056" s="12"/>
      <c r="F2056" s="13">
        <f>"0814757286"</f>
      </c>
      <c r="G2056" s="13">
        <f>"9780814757284"</f>
      </c>
      <c r="H2056" s="11">
        <v>0</v>
      </c>
      <c r="I2056" s="14">
        <v>4.27</v>
      </c>
      <c r="J2056" s="7" t="s">
        <v>807</v>
      </c>
      <c r="K2056" s="5" t="s">
        <v>60</v>
      </c>
      <c r="L2056" s="11">
        <v>244</v>
      </c>
      <c r="M2056" s="11">
        <v>2009</v>
      </c>
      <c r="N2056" s="11">
        <v>2009</v>
      </c>
      <c r="O2056" s="15"/>
      <c r="P2056" s="8">
        <v>43877</v>
      </c>
      <c r="Q2056" s="8"/>
      <c r="R2056" s="8"/>
      <c r="S2056" s="8"/>
      <c r="T2056" s="8"/>
      <c r="U2056" s="8"/>
      <c r="V2056" s="8"/>
      <c r="W2056" s="8"/>
      <c r="X2056" s="8"/>
      <c r="Y2056" s="8"/>
      <c r="Z2056" s="8"/>
      <c r="AA2056" s="8"/>
      <c r="AB2056" s="8"/>
      <c r="AC2056" s="8"/>
      <c r="AD2056" s="8"/>
      <c r="AE2056" s="8"/>
      <c r="AF2056" s="8"/>
      <c r="AG2056" s="8"/>
      <c r="AH2056" s="8"/>
      <c r="AI2056" s="8"/>
      <c r="AJ2056" s="8"/>
      <c r="AK2056" s="8"/>
      <c r="AL2056" s="8"/>
      <c r="AM2056" s="8"/>
      <c r="AN2056" s="8"/>
      <c r="AO2056" s="8"/>
      <c r="AP2056" s="8"/>
      <c r="AQ2056" s="8"/>
      <c r="AR2056" s="8"/>
      <c r="AS2056" s="8"/>
      <c r="AT2056" s="8"/>
      <c r="AU2056" s="8"/>
      <c r="AV2056" s="8"/>
      <c r="AW2056" s="8"/>
      <c r="AX2056" s="4" t="s">
        <v>38</v>
      </c>
      <c r="AY2056" s="5" t="s">
        <v>8947</v>
      </c>
      <c r="AZ2056" s="5" t="s">
        <v>38</v>
      </c>
      <c r="BA2056" s="12"/>
      <c r="BB2056" s="12"/>
      <c r="BC2056" s="12"/>
      <c r="BD2056" s="11">
        <v>0</v>
      </c>
      <c r="BE2056" s="11">
        <v>0</v>
      </c>
    </row>
    <row x14ac:dyDescent="0.25" r="2057" customHeight="1" ht="17.25">
      <c r="A2057" s="11">
        <v>36915227</v>
      </c>
      <c r="B2057" s="4" t="s">
        <v>8948</v>
      </c>
      <c r="C2057" s="5" t="s">
        <v>8949</v>
      </c>
      <c r="D2057" s="5" t="s">
        <v>8950</v>
      </c>
      <c r="E2057" s="12"/>
      <c r="F2057" s="13">
        <f>"1941332390"</f>
      </c>
      <c r="G2057" s="13">
        <f>"9781941332399"</f>
      </c>
      <c r="H2057" s="11">
        <v>0</v>
      </c>
      <c r="I2057" s="14">
        <v>3.89</v>
      </c>
      <c r="J2057" s="7" t="s">
        <v>8951</v>
      </c>
      <c r="K2057" s="5" t="s">
        <v>60</v>
      </c>
      <c r="L2057" s="11">
        <v>144</v>
      </c>
      <c r="M2057" s="11">
        <v>2018</v>
      </c>
      <c r="N2057" s="16"/>
      <c r="O2057" s="15"/>
      <c r="P2057" s="8">
        <v>43877</v>
      </c>
      <c r="Q2057" s="8"/>
      <c r="R2057" s="8"/>
      <c r="S2057" s="8"/>
      <c r="T2057" s="8"/>
      <c r="U2057" s="8"/>
      <c r="V2057" s="8"/>
      <c r="W2057" s="8"/>
      <c r="X2057" s="8"/>
      <c r="Y2057" s="8"/>
      <c r="Z2057" s="8"/>
      <c r="AA2057" s="8"/>
      <c r="AB2057" s="8"/>
      <c r="AC2057" s="8"/>
      <c r="AD2057" s="8"/>
      <c r="AE2057" s="8"/>
      <c r="AF2057" s="8"/>
      <c r="AG2057" s="8"/>
      <c r="AH2057" s="8"/>
      <c r="AI2057" s="8"/>
      <c r="AJ2057" s="8"/>
      <c r="AK2057" s="8"/>
      <c r="AL2057" s="8"/>
      <c r="AM2057" s="8"/>
      <c r="AN2057" s="8"/>
      <c r="AO2057" s="8"/>
      <c r="AP2057" s="8"/>
      <c r="AQ2057" s="8"/>
      <c r="AR2057" s="8"/>
      <c r="AS2057" s="8"/>
      <c r="AT2057" s="8"/>
      <c r="AU2057" s="8"/>
      <c r="AV2057" s="8"/>
      <c r="AW2057" s="8"/>
      <c r="AX2057" s="4" t="s">
        <v>38</v>
      </c>
      <c r="AY2057" s="5" t="s">
        <v>8952</v>
      </c>
      <c r="AZ2057" s="5" t="s">
        <v>38</v>
      </c>
      <c r="BA2057" s="12"/>
      <c r="BB2057" s="12"/>
      <c r="BC2057" s="12"/>
      <c r="BD2057" s="11">
        <v>0</v>
      </c>
      <c r="BE2057" s="11">
        <v>0</v>
      </c>
    </row>
    <row x14ac:dyDescent="0.25" r="2058" customHeight="1" ht="17.25">
      <c r="A2058" s="11">
        <v>1907054</v>
      </c>
      <c r="B2058" s="4" t="s">
        <v>8953</v>
      </c>
      <c r="C2058" s="5" t="s">
        <v>8954</v>
      </c>
      <c r="D2058" s="5" t="s">
        <v>8955</v>
      </c>
      <c r="E2058" s="12"/>
      <c r="F2058" s="13">
        <f>"0345466632"</f>
      </c>
      <c r="G2058" s="13">
        <f>"9780345466631"</f>
      </c>
      <c r="H2058" s="11">
        <v>0</v>
      </c>
      <c r="I2058" s="14">
        <v>4.15</v>
      </c>
      <c r="J2058" s="7" t="s">
        <v>8956</v>
      </c>
      <c r="K2058" s="5" t="s">
        <v>346</v>
      </c>
      <c r="L2058" s="11">
        <v>292</v>
      </c>
      <c r="M2058" s="11">
        <v>2003</v>
      </c>
      <c r="N2058" s="11">
        <v>2002</v>
      </c>
      <c r="O2058" s="15"/>
      <c r="P2058" s="8">
        <v>43595</v>
      </c>
      <c r="Q2058" s="8"/>
      <c r="R2058" s="8"/>
      <c r="S2058" s="8"/>
      <c r="T2058" s="8"/>
      <c r="U2058" s="8"/>
      <c r="V2058" s="8"/>
      <c r="W2058" s="8"/>
      <c r="X2058" s="8"/>
      <c r="Y2058" s="8"/>
      <c r="Z2058" s="8"/>
      <c r="AA2058" s="8"/>
      <c r="AB2058" s="8"/>
      <c r="AC2058" s="8"/>
      <c r="AD2058" s="8"/>
      <c r="AE2058" s="8"/>
      <c r="AF2058" s="8"/>
      <c r="AG2058" s="8"/>
      <c r="AH2058" s="8"/>
      <c r="AI2058" s="8"/>
      <c r="AJ2058" s="8"/>
      <c r="AK2058" s="8"/>
      <c r="AL2058" s="8"/>
      <c r="AM2058" s="8"/>
      <c r="AN2058" s="8"/>
      <c r="AO2058" s="8"/>
      <c r="AP2058" s="8"/>
      <c r="AQ2058" s="8"/>
      <c r="AR2058" s="8"/>
      <c r="AS2058" s="8"/>
      <c r="AT2058" s="8"/>
      <c r="AU2058" s="8"/>
      <c r="AV2058" s="8"/>
      <c r="AW2058" s="8"/>
      <c r="AX2058" s="4" t="s">
        <v>38</v>
      </c>
      <c r="AY2058" s="5" t="s">
        <v>8957</v>
      </c>
      <c r="AZ2058" s="5" t="s">
        <v>38</v>
      </c>
      <c r="BA2058" s="12"/>
      <c r="BB2058" s="12"/>
      <c r="BC2058" s="12"/>
      <c r="BD2058" s="11">
        <v>0</v>
      </c>
      <c r="BE2058" s="11">
        <v>0</v>
      </c>
    </row>
    <row x14ac:dyDescent="0.25" r="2059" customHeight="1" ht="17.25">
      <c r="A2059" s="11">
        <v>206547</v>
      </c>
      <c r="B2059" s="4" t="s">
        <v>8958</v>
      </c>
      <c r="C2059" s="5" t="s">
        <v>8959</v>
      </c>
      <c r="D2059" s="5" t="s">
        <v>8960</v>
      </c>
      <c r="E2059" s="12"/>
      <c r="F2059" s="13">
        <f>"0141002301"</f>
      </c>
      <c r="G2059" s="13">
        <f>"9780141002309"</f>
      </c>
      <c r="H2059" s="11">
        <v>0</v>
      </c>
      <c r="I2059" s="14">
        <v>3.93</v>
      </c>
      <c r="J2059" s="7" t="s">
        <v>491</v>
      </c>
      <c r="K2059" s="5" t="s">
        <v>60</v>
      </c>
      <c r="L2059" s="11">
        <v>78</v>
      </c>
      <c r="M2059" s="11">
        <v>2001</v>
      </c>
      <c r="N2059" s="11">
        <v>2001</v>
      </c>
      <c r="O2059" s="15"/>
      <c r="P2059" s="8">
        <v>43589</v>
      </c>
      <c r="Q2059" s="8"/>
      <c r="R2059" s="8"/>
      <c r="S2059" s="8"/>
      <c r="T2059" s="8"/>
      <c r="U2059" s="8"/>
      <c r="V2059" s="8"/>
      <c r="W2059" s="8"/>
      <c r="X2059" s="8"/>
      <c r="Y2059" s="8"/>
      <c r="Z2059" s="8"/>
      <c r="AA2059" s="8"/>
      <c r="AB2059" s="8"/>
      <c r="AC2059" s="8"/>
      <c r="AD2059" s="8"/>
      <c r="AE2059" s="8"/>
      <c r="AF2059" s="8"/>
      <c r="AG2059" s="8"/>
      <c r="AH2059" s="8"/>
      <c r="AI2059" s="8"/>
      <c r="AJ2059" s="8"/>
      <c r="AK2059" s="8"/>
      <c r="AL2059" s="8"/>
      <c r="AM2059" s="8"/>
      <c r="AN2059" s="8"/>
      <c r="AO2059" s="8"/>
      <c r="AP2059" s="8"/>
      <c r="AQ2059" s="8"/>
      <c r="AR2059" s="8"/>
      <c r="AS2059" s="8"/>
      <c r="AT2059" s="8"/>
      <c r="AU2059" s="8"/>
      <c r="AV2059" s="8"/>
      <c r="AW2059" s="8"/>
      <c r="AX2059" s="16"/>
      <c r="AY2059" s="12"/>
      <c r="AZ2059" s="5" t="s">
        <v>158</v>
      </c>
      <c r="BA2059" s="12"/>
      <c r="BB2059" s="12"/>
      <c r="BC2059" s="12"/>
      <c r="BD2059" s="11">
        <v>1</v>
      </c>
      <c r="BE2059" s="11">
        <v>0</v>
      </c>
    </row>
    <row x14ac:dyDescent="0.25" r="2060" customHeight="1" ht="17.25">
      <c r="A2060" s="11">
        <v>94654</v>
      </c>
      <c r="B2060" s="4" t="s">
        <v>8961</v>
      </c>
      <c r="C2060" s="5" t="s">
        <v>8962</v>
      </c>
      <c r="D2060" s="5" t="s">
        <v>8963</v>
      </c>
      <c r="E2060" s="5" t="s">
        <v>8964</v>
      </c>
      <c r="F2060" s="13">
        <f>"0942299558"</f>
      </c>
      <c r="G2060" s="13">
        <f>"9780942299557"</f>
      </c>
      <c r="H2060" s="11">
        <v>0</v>
      </c>
      <c r="I2060" s="14">
        <v>4.05</v>
      </c>
      <c r="J2060" s="7" t="s">
        <v>2867</v>
      </c>
      <c r="K2060" s="5" t="s">
        <v>60</v>
      </c>
      <c r="L2060" s="11">
        <v>296</v>
      </c>
      <c r="M2060" s="11">
        <v>1991</v>
      </c>
      <c r="N2060" s="11">
        <v>1967</v>
      </c>
      <c r="O2060" s="15"/>
      <c r="P2060" s="8">
        <v>43589</v>
      </c>
      <c r="Q2060" s="8"/>
      <c r="R2060" s="8"/>
      <c r="S2060" s="8"/>
      <c r="T2060" s="8"/>
      <c r="U2060" s="8"/>
      <c r="V2060" s="8"/>
      <c r="W2060" s="8"/>
      <c r="X2060" s="8"/>
      <c r="Y2060" s="8"/>
      <c r="Z2060" s="8"/>
      <c r="AA2060" s="8"/>
      <c r="AB2060" s="8"/>
      <c r="AC2060" s="8"/>
      <c r="AD2060" s="8"/>
      <c r="AE2060" s="8"/>
      <c r="AF2060" s="8"/>
      <c r="AG2060" s="8"/>
      <c r="AH2060" s="8"/>
      <c r="AI2060" s="8"/>
      <c r="AJ2060" s="8"/>
      <c r="AK2060" s="8"/>
      <c r="AL2060" s="8"/>
      <c r="AM2060" s="8"/>
      <c r="AN2060" s="8"/>
      <c r="AO2060" s="8"/>
      <c r="AP2060" s="8"/>
      <c r="AQ2060" s="8"/>
      <c r="AR2060" s="8"/>
      <c r="AS2060" s="8"/>
      <c r="AT2060" s="8"/>
      <c r="AU2060" s="8"/>
      <c r="AV2060" s="8"/>
      <c r="AW2060" s="8"/>
      <c r="AX2060" s="4" t="s">
        <v>38</v>
      </c>
      <c r="AY2060" s="5" t="s">
        <v>8965</v>
      </c>
      <c r="AZ2060" s="5" t="s">
        <v>38</v>
      </c>
      <c r="BA2060" s="12"/>
      <c r="BB2060" s="12"/>
      <c r="BC2060" s="12"/>
      <c r="BD2060" s="11">
        <v>0</v>
      </c>
      <c r="BE2060" s="11">
        <v>0</v>
      </c>
    </row>
    <row x14ac:dyDescent="0.25" r="2061" customHeight="1" ht="17.25">
      <c r="A2061" s="11">
        <v>753801</v>
      </c>
      <c r="B2061" s="4" t="s">
        <v>8966</v>
      </c>
      <c r="C2061" s="5" t="s">
        <v>6893</v>
      </c>
      <c r="D2061" s="5" t="s">
        <v>6894</v>
      </c>
      <c r="E2061" s="12"/>
      <c r="F2061" s="13">
        <f>"0811216942"</f>
      </c>
      <c r="G2061" s="13">
        <f>"9780811216944"</f>
      </c>
      <c r="H2061" s="11">
        <v>0</v>
      </c>
      <c r="I2061" s="14">
        <v>4.28</v>
      </c>
      <c r="J2061" s="7" t="s">
        <v>126</v>
      </c>
      <c r="K2061" s="5" t="s">
        <v>60</v>
      </c>
      <c r="L2061" s="11">
        <v>194</v>
      </c>
      <c r="M2061" s="11">
        <v>2007</v>
      </c>
      <c r="N2061" s="11">
        <v>2007</v>
      </c>
      <c r="O2061" s="15"/>
      <c r="P2061" s="8">
        <v>43437</v>
      </c>
      <c r="Q2061" s="8"/>
      <c r="R2061" s="8"/>
      <c r="S2061" s="8"/>
      <c r="T2061" s="8"/>
      <c r="U2061" s="8"/>
      <c r="V2061" s="8"/>
      <c r="W2061" s="8"/>
      <c r="X2061" s="8"/>
      <c r="Y2061" s="8"/>
      <c r="Z2061" s="8"/>
      <c r="AA2061" s="8"/>
      <c r="AB2061" s="8"/>
      <c r="AC2061" s="8"/>
      <c r="AD2061" s="8"/>
      <c r="AE2061" s="8"/>
      <c r="AF2061" s="8"/>
      <c r="AG2061" s="8"/>
      <c r="AH2061" s="8"/>
      <c r="AI2061" s="8"/>
      <c r="AJ2061" s="8"/>
      <c r="AK2061" s="8"/>
      <c r="AL2061" s="8"/>
      <c r="AM2061" s="8"/>
      <c r="AN2061" s="8"/>
      <c r="AO2061" s="8"/>
      <c r="AP2061" s="8"/>
      <c r="AQ2061" s="8"/>
      <c r="AR2061" s="8"/>
      <c r="AS2061" s="8"/>
      <c r="AT2061" s="8"/>
      <c r="AU2061" s="8"/>
      <c r="AV2061" s="8"/>
      <c r="AW2061" s="8"/>
      <c r="AX2061" s="4" t="s">
        <v>38</v>
      </c>
      <c r="AY2061" s="5" t="s">
        <v>8967</v>
      </c>
      <c r="AZ2061" s="5" t="s">
        <v>38</v>
      </c>
      <c r="BA2061" s="12"/>
      <c r="BB2061" s="12"/>
      <c r="BC2061" s="12"/>
      <c r="BD2061" s="11">
        <v>0</v>
      </c>
      <c r="BE2061" s="11">
        <v>0</v>
      </c>
    </row>
    <row x14ac:dyDescent="0.25" r="2062" customHeight="1" ht="17.25">
      <c r="A2062" s="11">
        <v>960493</v>
      </c>
      <c r="B2062" s="4" t="s">
        <v>8968</v>
      </c>
      <c r="C2062" s="5" t="s">
        <v>2529</v>
      </c>
      <c r="D2062" s="5" t="s">
        <v>2530</v>
      </c>
      <c r="E2062" s="12"/>
      <c r="F2062" s="13">
        <f>"0802812201"</f>
      </c>
      <c r="G2062" s="13">
        <f>"9780802812209"</f>
      </c>
      <c r="H2062" s="11">
        <v>0</v>
      </c>
      <c r="I2062" s="14">
        <v>3.94</v>
      </c>
      <c r="J2062" s="7" t="s">
        <v>8969</v>
      </c>
      <c r="K2062" s="5" t="s">
        <v>60</v>
      </c>
      <c r="L2062" s="11">
        <v>220</v>
      </c>
      <c r="M2062" s="11">
        <v>1980</v>
      </c>
      <c r="N2062" s="11">
        <v>1937</v>
      </c>
      <c r="O2062" s="15"/>
      <c r="P2062" s="9">
        <v>43423</v>
      </c>
      <c r="Q2062" s="9"/>
      <c r="R2062" s="9"/>
      <c r="S2062" s="9"/>
      <c r="T2062" s="9"/>
      <c r="U2062" s="9"/>
      <c r="V2062" s="9"/>
      <c r="W2062" s="9"/>
      <c r="X2062" s="9"/>
      <c r="Y2062" s="9"/>
      <c r="Z2062" s="9"/>
      <c r="AA2062" s="9"/>
      <c r="AB2062" s="9"/>
      <c r="AC2062" s="9"/>
      <c r="AD2062" s="9"/>
      <c r="AE2062" s="9"/>
      <c r="AF2062" s="9"/>
      <c r="AG2062" s="9"/>
      <c r="AH2062" s="9"/>
      <c r="AI2062" s="9"/>
      <c r="AJ2062" s="9"/>
      <c r="AK2062" s="9"/>
      <c r="AL2062" s="9"/>
      <c r="AM2062" s="9"/>
      <c r="AN2062" s="9"/>
      <c r="AO2062" s="9"/>
      <c r="AP2062" s="9"/>
      <c r="AQ2062" s="9"/>
      <c r="AR2062" s="9"/>
      <c r="AS2062" s="9"/>
      <c r="AT2062" s="9"/>
      <c r="AU2062" s="9"/>
      <c r="AV2062" s="9"/>
      <c r="AW2062" s="9"/>
      <c r="AX2062" s="4" t="s">
        <v>38</v>
      </c>
      <c r="AY2062" s="5" t="s">
        <v>8970</v>
      </c>
      <c r="AZ2062" s="5" t="s">
        <v>38</v>
      </c>
      <c r="BA2062" s="12"/>
      <c r="BB2062" s="12"/>
      <c r="BC2062" s="12"/>
      <c r="BD2062" s="11">
        <v>0</v>
      </c>
      <c r="BE2062" s="11">
        <v>0</v>
      </c>
    </row>
    <row x14ac:dyDescent="0.25" r="2063" customHeight="1" ht="17.25">
      <c r="A2063" s="11">
        <v>210188</v>
      </c>
      <c r="B2063" s="4" t="s">
        <v>8971</v>
      </c>
      <c r="C2063" s="5" t="s">
        <v>2248</v>
      </c>
      <c r="D2063" s="5" t="s">
        <v>2249</v>
      </c>
      <c r="E2063" s="5" t="s">
        <v>8972</v>
      </c>
      <c r="F2063" s="13">
        <f>"0374527253"</f>
      </c>
      <c r="G2063" s="13">
        <f>"9780374527259"</f>
      </c>
      <c r="H2063" s="11">
        <v>0</v>
      </c>
      <c r="I2063" s="14">
        <v>4.15</v>
      </c>
      <c r="J2063" s="7" t="s">
        <v>120</v>
      </c>
      <c r="K2063" s="5" t="s">
        <v>60</v>
      </c>
      <c r="L2063" s="11">
        <v>400</v>
      </c>
      <c r="M2063" s="11">
        <v>2000</v>
      </c>
      <c r="N2063" s="11">
        <v>1999</v>
      </c>
      <c r="O2063" s="15"/>
      <c r="P2063" s="9">
        <v>43423</v>
      </c>
      <c r="Q2063" s="9"/>
      <c r="R2063" s="9"/>
      <c r="S2063" s="9"/>
      <c r="T2063" s="9"/>
      <c r="U2063" s="9"/>
      <c r="V2063" s="9"/>
      <c r="W2063" s="9"/>
      <c r="X2063" s="9"/>
      <c r="Y2063" s="9"/>
      <c r="Z2063" s="9"/>
      <c r="AA2063" s="9"/>
      <c r="AB2063" s="9"/>
      <c r="AC2063" s="9"/>
      <c r="AD2063" s="9"/>
      <c r="AE2063" s="9"/>
      <c r="AF2063" s="9"/>
      <c r="AG2063" s="9"/>
      <c r="AH2063" s="9"/>
      <c r="AI2063" s="9"/>
      <c r="AJ2063" s="9"/>
      <c r="AK2063" s="9"/>
      <c r="AL2063" s="9"/>
      <c r="AM2063" s="9"/>
      <c r="AN2063" s="9"/>
      <c r="AO2063" s="9"/>
      <c r="AP2063" s="9"/>
      <c r="AQ2063" s="9"/>
      <c r="AR2063" s="9"/>
      <c r="AS2063" s="9"/>
      <c r="AT2063" s="9"/>
      <c r="AU2063" s="9"/>
      <c r="AV2063" s="9"/>
      <c r="AW2063" s="9"/>
      <c r="AX2063" s="4" t="s">
        <v>38</v>
      </c>
      <c r="AY2063" s="5" t="s">
        <v>8973</v>
      </c>
      <c r="AZ2063" s="5" t="s">
        <v>38</v>
      </c>
      <c r="BA2063" s="12"/>
      <c r="BB2063" s="12"/>
      <c r="BC2063" s="12"/>
      <c r="BD2063" s="11">
        <v>0</v>
      </c>
      <c r="BE2063" s="11">
        <v>0</v>
      </c>
    </row>
    <row x14ac:dyDescent="0.25" r="2064" customHeight="1" ht="17.25">
      <c r="A2064" s="11">
        <v>111378</v>
      </c>
      <c r="B2064" s="4" t="s">
        <v>8974</v>
      </c>
      <c r="C2064" s="5" t="s">
        <v>875</v>
      </c>
      <c r="D2064" s="5" t="s">
        <v>876</v>
      </c>
      <c r="E2064" s="12"/>
      <c r="F2064" s="13">
        <f>"0822326124"</f>
      </c>
      <c r="G2064" s="13">
        <f>"9780822326120"</f>
      </c>
      <c r="H2064" s="11">
        <v>0</v>
      </c>
      <c r="I2064" s="14">
        <v>3.98</v>
      </c>
      <c r="J2064" s="7" t="s">
        <v>926</v>
      </c>
      <c r="K2064" s="5" t="s">
        <v>60</v>
      </c>
      <c r="L2064" s="11">
        <v>360</v>
      </c>
      <c r="M2064" s="11">
        <v>2000</v>
      </c>
      <c r="N2064" s="11">
        <v>2000</v>
      </c>
      <c r="O2064" s="15"/>
      <c r="P2064" s="9">
        <v>43423</v>
      </c>
      <c r="Q2064" s="9"/>
      <c r="R2064" s="9"/>
      <c r="S2064" s="9"/>
      <c r="T2064" s="9"/>
      <c r="U2064" s="9"/>
      <c r="V2064" s="9"/>
      <c r="W2064" s="9"/>
      <c r="X2064" s="9"/>
      <c r="Y2064" s="9"/>
      <c r="Z2064" s="9"/>
      <c r="AA2064" s="9"/>
      <c r="AB2064" s="9"/>
      <c r="AC2064" s="9"/>
      <c r="AD2064" s="9"/>
      <c r="AE2064" s="9"/>
      <c r="AF2064" s="9"/>
      <c r="AG2064" s="9"/>
      <c r="AH2064" s="9"/>
      <c r="AI2064" s="9"/>
      <c r="AJ2064" s="9"/>
      <c r="AK2064" s="9"/>
      <c r="AL2064" s="9"/>
      <c r="AM2064" s="9"/>
      <c r="AN2064" s="9"/>
      <c r="AO2064" s="9"/>
      <c r="AP2064" s="9"/>
      <c r="AQ2064" s="9"/>
      <c r="AR2064" s="9"/>
      <c r="AS2064" s="9"/>
      <c r="AT2064" s="9"/>
      <c r="AU2064" s="9"/>
      <c r="AV2064" s="9"/>
      <c r="AW2064" s="9"/>
      <c r="AX2064" s="4" t="s">
        <v>38</v>
      </c>
      <c r="AY2064" s="5" t="s">
        <v>8975</v>
      </c>
      <c r="AZ2064" s="5" t="s">
        <v>38</v>
      </c>
      <c r="BA2064" s="12"/>
      <c r="BB2064" s="12"/>
      <c r="BC2064" s="12"/>
      <c r="BD2064" s="11">
        <v>0</v>
      </c>
      <c r="BE2064" s="11">
        <v>0</v>
      </c>
    </row>
    <row x14ac:dyDescent="0.25" r="2065" customHeight="1" ht="17.25">
      <c r="A2065" s="11">
        <v>3775266</v>
      </c>
      <c r="B2065" s="4" t="s">
        <v>8976</v>
      </c>
      <c r="C2065" s="5" t="s">
        <v>8977</v>
      </c>
      <c r="D2065" s="5" t="s">
        <v>8978</v>
      </c>
      <c r="E2065" s="5" t="s">
        <v>978</v>
      </c>
      <c r="F2065" s="13">
        <f>"0375400966"</f>
      </c>
      <c r="G2065" s="13">
        <f>"9780375400964"</f>
      </c>
      <c r="H2065" s="11">
        <v>3</v>
      </c>
      <c r="I2065" s="14">
        <v>4.38</v>
      </c>
      <c r="J2065" s="7" t="s">
        <v>1765</v>
      </c>
      <c r="K2065" s="5" t="s">
        <v>72</v>
      </c>
      <c r="L2065" s="11">
        <v>624</v>
      </c>
      <c r="M2065" s="11">
        <v>2009</v>
      </c>
      <c r="N2065" s="11">
        <v>1972</v>
      </c>
      <c r="O2065" s="15"/>
      <c r="P2065" s="9">
        <v>43416</v>
      </c>
      <c r="Q2065" s="9"/>
      <c r="R2065" s="9"/>
      <c r="S2065" s="9"/>
      <c r="T2065" s="9"/>
      <c r="U2065" s="9"/>
      <c r="V2065" s="9"/>
      <c r="W2065" s="9"/>
      <c r="X2065" s="9"/>
      <c r="Y2065" s="9"/>
      <c r="Z2065" s="9"/>
      <c r="AA2065" s="9"/>
      <c r="AB2065" s="9"/>
      <c r="AC2065" s="9"/>
      <c r="AD2065" s="9"/>
      <c r="AE2065" s="9"/>
      <c r="AF2065" s="9"/>
      <c r="AG2065" s="9"/>
      <c r="AH2065" s="9"/>
      <c r="AI2065" s="9"/>
      <c r="AJ2065" s="9"/>
      <c r="AK2065" s="9"/>
      <c r="AL2065" s="9"/>
      <c r="AM2065" s="9"/>
      <c r="AN2065" s="9"/>
      <c r="AO2065" s="9"/>
      <c r="AP2065" s="9"/>
      <c r="AQ2065" s="9"/>
      <c r="AR2065" s="9"/>
      <c r="AS2065" s="9"/>
      <c r="AT2065" s="9"/>
      <c r="AU2065" s="9"/>
      <c r="AV2065" s="9"/>
      <c r="AW2065" s="9"/>
      <c r="AX2065" s="16"/>
      <c r="AY2065" s="12"/>
      <c r="AZ2065" s="5" t="s">
        <v>158</v>
      </c>
      <c r="BA2065" s="12"/>
      <c r="BB2065" s="12"/>
      <c r="BC2065" s="12"/>
      <c r="BD2065" s="11">
        <v>1</v>
      </c>
      <c r="BE2065" s="11">
        <v>0</v>
      </c>
    </row>
    <row x14ac:dyDescent="0.25" r="2066" customHeight="1" ht="17.25">
      <c r="A2066" s="11">
        <v>344652</v>
      </c>
      <c r="B2066" s="4" t="s">
        <v>8979</v>
      </c>
      <c r="C2066" s="5" t="s">
        <v>8901</v>
      </c>
      <c r="D2066" s="5" t="s">
        <v>8902</v>
      </c>
      <c r="E2066" s="5" t="s">
        <v>8980</v>
      </c>
      <c r="F2066" s="13">
        <f>"1565842715"</f>
      </c>
      <c r="G2066" s="13">
        <f>"9781565842717"</f>
      </c>
      <c r="H2066" s="11">
        <v>0</v>
      </c>
      <c r="I2066" s="14">
        <v>4.41</v>
      </c>
      <c r="J2066" s="7" t="s">
        <v>2899</v>
      </c>
      <c r="K2066" s="5" t="s">
        <v>60</v>
      </c>
      <c r="L2066" s="11">
        <v>528</v>
      </c>
      <c r="M2066" s="11">
        <v>1996</v>
      </c>
      <c r="N2066" s="11">
        <v>1996</v>
      </c>
      <c r="O2066" s="15"/>
      <c r="P2066" s="8">
        <v>43405</v>
      </c>
      <c r="Q2066" s="8"/>
      <c r="R2066" s="8"/>
      <c r="S2066" s="8"/>
      <c r="T2066" s="8"/>
      <c r="U2066" s="8"/>
      <c r="V2066" s="8"/>
      <c r="W2066" s="8"/>
      <c r="X2066" s="8"/>
      <c r="Y2066" s="8"/>
      <c r="Z2066" s="8"/>
      <c r="AA2066" s="8"/>
      <c r="AB2066" s="8"/>
      <c r="AC2066" s="8"/>
      <c r="AD2066" s="8"/>
      <c r="AE2066" s="8"/>
      <c r="AF2066" s="8"/>
      <c r="AG2066" s="8"/>
      <c r="AH2066" s="8"/>
      <c r="AI2066" s="8"/>
      <c r="AJ2066" s="8"/>
      <c r="AK2066" s="8"/>
      <c r="AL2066" s="8"/>
      <c r="AM2066" s="8"/>
      <c r="AN2066" s="8"/>
      <c r="AO2066" s="8"/>
      <c r="AP2066" s="8"/>
      <c r="AQ2066" s="8"/>
      <c r="AR2066" s="8"/>
      <c r="AS2066" s="8"/>
      <c r="AT2066" s="8"/>
      <c r="AU2066" s="8"/>
      <c r="AV2066" s="8"/>
      <c r="AW2066" s="8"/>
      <c r="AX2066" s="4" t="s">
        <v>38</v>
      </c>
      <c r="AY2066" s="5" t="s">
        <v>8981</v>
      </c>
      <c r="AZ2066" s="5" t="s">
        <v>38</v>
      </c>
      <c r="BA2066" s="12"/>
      <c r="BB2066" s="12"/>
      <c r="BC2066" s="12"/>
      <c r="BD2066" s="11">
        <v>0</v>
      </c>
      <c r="BE2066" s="11">
        <v>0</v>
      </c>
    </row>
    <row x14ac:dyDescent="0.25" r="2067" customHeight="1" ht="17.25">
      <c r="A2067" s="11">
        <v>806076</v>
      </c>
      <c r="B2067" s="4" t="s">
        <v>8982</v>
      </c>
      <c r="C2067" s="5" t="s">
        <v>6753</v>
      </c>
      <c r="D2067" s="5" t="s">
        <v>6754</v>
      </c>
      <c r="E2067" s="12"/>
      <c r="F2067" s="13">
        <f>"0374529620"</f>
      </c>
      <c r="G2067" s="13">
        <f>"9780374529628"</f>
      </c>
      <c r="H2067" s="11">
        <v>0</v>
      </c>
      <c r="I2067" s="14">
        <v>3.95</v>
      </c>
      <c r="J2067" s="7" t="s">
        <v>120</v>
      </c>
      <c r="K2067" s="5" t="s">
        <v>60</v>
      </c>
      <c r="L2067" s="11">
        <v>80</v>
      </c>
      <c r="M2067" s="11">
        <v>2005</v>
      </c>
      <c r="N2067" s="11">
        <v>2004</v>
      </c>
      <c r="O2067" s="15"/>
      <c r="P2067" s="9">
        <v>43403</v>
      </c>
      <c r="Q2067" s="9"/>
      <c r="R2067" s="9"/>
      <c r="S2067" s="9"/>
      <c r="T2067" s="9"/>
      <c r="U2067" s="9"/>
      <c r="V2067" s="9"/>
      <c r="W2067" s="9"/>
      <c r="X2067" s="9"/>
      <c r="Y2067" s="9"/>
      <c r="Z2067" s="9"/>
      <c r="AA2067" s="9"/>
      <c r="AB2067" s="9"/>
      <c r="AC2067" s="9"/>
      <c r="AD2067" s="9"/>
      <c r="AE2067" s="9"/>
      <c r="AF2067" s="9"/>
      <c r="AG2067" s="9"/>
      <c r="AH2067" s="9"/>
      <c r="AI2067" s="9"/>
      <c r="AJ2067" s="9"/>
      <c r="AK2067" s="9"/>
      <c r="AL2067" s="9"/>
      <c r="AM2067" s="9"/>
      <c r="AN2067" s="9"/>
      <c r="AO2067" s="9"/>
      <c r="AP2067" s="9"/>
      <c r="AQ2067" s="9"/>
      <c r="AR2067" s="9"/>
      <c r="AS2067" s="9"/>
      <c r="AT2067" s="9"/>
      <c r="AU2067" s="9"/>
      <c r="AV2067" s="9"/>
      <c r="AW2067" s="9"/>
      <c r="AX2067" s="4" t="s">
        <v>38</v>
      </c>
      <c r="AY2067" s="5" t="s">
        <v>8983</v>
      </c>
      <c r="AZ2067" s="5" t="s">
        <v>38</v>
      </c>
      <c r="BA2067" s="12"/>
      <c r="BB2067" s="12"/>
      <c r="BC2067" s="12"/>
      <c r="BD2067" s="11">
        <v>0</v>
      </c>
      <c r="BE2067" s="11">
        <v>0</v>
      </c>
    </row>
    <row x14ac:dyDescent="0.25" r="2068" customHeight="1" ht="17.25">
      <c r="A2068" s="11">
        <v>9554807</v>
      </c>
      <c r="B2068" s="4" t="s">
        <v>8984</v>
      </c>
      <c r="C2068" s="5" t="s">
        <v>8985</v>
      </c>
      <c r="D2068" s="5" t="s">
        <v>8986</v>
      </c>
      <c r="E2068" s="12"/>
      <c r="F2068" s="13">
        <f>"1934103160"</f>
      </c>
      <c r="G2068" s="13">
        <f>"9781934103166"</f>
      </c>
      <c r="H2068" s="11">
        <v>0</v>
      </c>
      <c r="I2068" s="14">
        <v>4.57</v>
      </c>
      <c r="J2068" s="7" t="s">
        <v>3349</v>
      </c>
      <c r="K2068" s="5" t="s">
        <v>60</v>
      </c>
      <c r="L2068" s="11">
        <v>73</v>
      </c>
      <c r="M2068" s="11">
        <v>2010</v>
      </c>
      <c r="N2068" s="11">
        <v>2010</v>
      </c>
      <c r="O2068" s="15"/>
      <c r="P2068" s="9">
        <v>43402</v>
      </c>
      <c r="Q2068" s="9"/>
      <c r="R2068" s="9"/>
      <c r="S2068" s="9"/>
      <c r="T2068" s="9"/>
      <c r="U2068" s="9"/>
      <c r="V2068" s="9"/>
      <c r="W2068" s="9"/>
      <c r="X2068" s="9"/>
      <c r="Y2068" s="9"/>
      <c r="Z2068" s="9"/>
      <c r="AA2068" s="9"/>
      <c r="AB2068" s="9"/>
      <c r="AC2068" s="9"/>
      <c r="AD2068" s="9"/>
      <c r="AE2068" s="9"/>
      <c r="AF2068" s="9"/>
      <c r="AG2068" s="9"/>
      <c r="AH2068" s="9"/>
      <c r="AI2068" s="9"/>
      <c r="AJ2068" s="9"/>
      <c r="AK2068" s="9"/>
      <c r="AL2068" s="9"/>
      <c r="AM2068" s="9"/>
      <c r="AN2068" s="9"/>
      <c r="AO2068" s="9"/>
      <c r="AP2068" s="9"/>
      <c r="AQ2068" s="9"/>
      <c r="AR2068" s="9"/>
      <c r="AS2068" s="9"/>
      <c r="AT2068" s="9"/>
      <c r="AU2068" s="9"/>
      <c r="AV2068" s="9"/>
      <c r="AW2068" s="9"/>
      <c r="AX2068" s="4" t="s">
        <v>38</v>
      </c>
      <c r="AY2068" s="5" t="s">
        <v>8987</v>
      </c>
      <c r="AZ2068" s="5" t="s">
        <v>38</v>
      </c>
      <c r="BA2068" s="12"/>
      <c r="BB2068" s="12"/>
      <c r="BC2068" s="12"/>
      <c r="BD2068" s="11">
        <v>0</v>
      </c>
      <c r="BE2068" s="11">
        <v>0</v>
      </c>
    </row>
    <row x14ac:dyDescent="0.25" r="2069" customHeight="1" ht="17.25">
      <c r="A2069" s="11">
        <v>330542</v>
      </c>
      <c r="B2069" s="4" t="s">
        <v>8988</v>
      </c>
      <c r="C2069" s="5" t="s">
        <v>8989</v>
      </c>
      <c r="D2069" s="5" t="s">
        <v>8990</v>
      </c>
      <c r="E2069" s="5" t="s">
        <v>8991</v>
      </c>
      <c r="F2069" s="13">
        <f>"082647327X"</f>
      </c>
      <c r="G2069" s="13">
        <f>"9780826473271"</f>
      </c>
      <c r="H2069" s="11">
        <v>0</v>
      </c>
      <c r="I2069" s="14">
        <v>4.1</v>
      </c>
      <c r="J2069" s="7" t="s">
        <v>8992</v>
      </c>
      <c r="K2069" s="5" t="s">
        <v>60</v>
      </c>
      <c r="L2069" s="11">
        <v>198</v>
      </c>
      <c r="M2069" s="11">
        <v>2002</v>
      </c>
      <c r="N2069" s="11">
        <v>2003</v>
      </c>
      <c r="O2069" s="15"/>
      <c r="P2069" s="9">
        <v>43402</v>
      </c>
      <c r="Q2069" s="9"/>
      <c r="R2069" s="9"/>
      <c r="S2069" s="9"/>
      <c r="T2069" s="9"/>
      <c r="U2069" s="9"/>
      <c r="V2069" s="9"/>
      <c r="W2069" s="9"/>
      <c r="X2069" s="9"/>
      <c r="Y2069" s="9"/>
      <c r="Z2069" s="9"/>
      <c r="AA2069" s="9"/>
      <c r="AB2069" s="9"/>
      <c r="AC2069" s="9"/>
      <c r="AD2069" s="9"/>
      <c r="AE2069" s="9"/>
      <c r="AF2069" s="9"/>
      <c r="AG2069" s="9"/>
      <c r="AH2069" s="9"/>
      <c r="AI2069" s="9"/>
      <c r="AJ2069" s="9"/>
      <c r="AK2069" s="9"/>
      <c r="AL2069" s="9"/>
      <c r="AM2069" s="9"/>
      <c r="AN2069" s="9"/>
      <c r="AO2069" s="9"/>
      <c r="AP2069" s="9"/>
      <c r="AQ2069" s="9"/>
      <c r="AR2069" s="9"/>
      <c r="AS2069" s="9"/>
      <c r="AT2069" s="9"/>
      <c r="AU2069" s="9"/>
      <c r="AV2069" s="9"/>
      <c r="AW2069" s="9"/>
      <c r="AX2069" s="4" t="s">
        <v>38</v>
      </c>
      <c r="AY2069" s="5" t="s">
        <v>8993</v>
      </c>
      <c r="AZ2069" s="5" t="s">
        <v>38</v>
      </c>
      <c r="BA2069" s="12"/>
      <c r="BB2069" s="12"/>
      <c r="BC2069" s="12"/>
      <c r="BD2069" s="11">
        <v>0</v>
      </c>
      <c r="BE2069" s="11">
        <v>0</v>
      </c>
    </row>
    <row x14ac:dyDescent="0.25" r="2070" customHeight="1" ht="17.25">
      <c r="A2070" s="11">
        <v>31682981</v>
      </c>
      <c r="B2070" s="4" t="s">
        <v>8994</v>
      </c>
      <c r="C2070" s="5" t="s">
        <v>8995</v>
      </c>
      <c r="D2070" s="5" t="s">
        <v>8996</v>
      </c>
      <c r="E2070" s="12"/>
      <c r="F2070" s="13">
        <f>"208139409X"</f>
      </c>
      <c r="G2070" s="13">
        <f>"9782081375994"</f>
      </c>
      <c r="H2070" s="11">
        <v>0</v>
      </c>
      <c r="I2070" s="14">
        <v>3.39</v>
      </c>
      <c r="J2070" s="7" t="s">
        <v>8997</v>
      </c>
      <c r="K2070" s="5" t="s">
        <v>60</v>
      </c>
      <c r="L2070" s="11">
        <v>219</v>
      </c>
      <c r="M2070" s="11">
        <v>2016</v>
      </c>
      <c r="N2070" s="11">
        <v>2016</v>
      </c>
      <c r="O2070" s="15"/>
      <c r="P2070" s="8">
        <v>43332</v>
      </c>
      <c r="Q2070" s="8"/>
      <c r="R2070" s="8"/>
      <c r="S2070" s="8"/>
      <c r="T2070" s="8"/>
      <c r="U2070" s="8"/>
      <c r="V2070" s="8"/>
      <c r="W2070" s="8"/>
      <c r="X2070" s="8"/>
      <c r="Y2070" s="8"/>
      <c r="Z2070" s="8"/>
      <c r="AA2070" s="8"/>
      <c r="AB2070" s="8"/>
      <c r="AC2070" s="8"/>
      <c r="AD2070" s="8"/>
      <c r="AE2070" s="8"/>
      <c r="AF2070" s="8"/>
      <c r="AG2070" s="8"/>
      <c r="AH2070" s="8"/>
      <c r="AI2070" s="8"/>
      <c r="AJ2070" s="8"/>
      <c r="AK2070" s="8"/>
      <c r="AL2070" s="8"/>
      <c r="AM2070" s="8"/>
      <c r="AN2070" s="8"/>
      <c r="AO2070" s="8"/>
      <c r="AP2070" s="8"/>
      <c r="AQ2070" s="8"/>
      <c r="AR2070" s="8"/>
      <c r="AS2070" s="8"/>
      <c r="AT2070" s="8"/>
      <c r="AU2070" s="8"/>
      <c r="AV2070" s="8"/>
      <c r="AW2070" s="8"/>
      <c r="AX2070" s="4" t="s">
        <v>38</v>
      </c>
      <c r="AY2070" s="5" t="s">
        <v>8998</v>
      </c>
      <c r="AZ2070" s="5" t="s">
        <v>38</v>
      </c>
      <c r="BA2070" s="12"/>
      <c r="BB2070" s="12"/>
      <c r="BC2070" s="12"/>
      <c r="BD2070" s="11">
        <v>0</v>
      </c>
      <c r="BE2070" s="11">
        <v>0</v>
      </c>
    </row>
    <row x14ac:dyDescent="0.25" r="2071" customHeight="1" ht="17.25">
      <c r="A2071" s="11">
        <v>36098957</v>
      </c>
      <c r="B2071" s="4" t="s">
        <v>8999</v>
      </c>
      <c r="C2071" s="5" t="s">
        <v>9000</v>
      </c>
      <c r="D2071" s="5" t="s">
        <v>9001</v>
      </c>
      <c r="E2071" s="5" t="s">
        <v>9002</v>
      </c>
      <c r="F2071" s="13">
        <f>"1999722787"</f>
      </c>
      <c r="G2071" s="13">
        <f>"9781999722784"</f>
      </c>
      <c r="H2071" s="11">
        <v>0</v>
      </c>
      <c r="I2071" s="14">
        <v>3.51</v>
      </c>
      <c r="J2071" s="7" t="s">
        <v>9003</v>
      </c>
      <c r="K2071" s="5" t="s">
        <v>60</v>
      </c>
      <c r="L2071" s="11">
        <v>123</v>
      </c>
      <c r="M2071" s="11">
        <v>2017</v>
      </c>
      <c r="N2071" s="11">
        <v>2012</v>
      </c>
      <c r="O2071" s="15"/>
      <c r="P2071" s="8">
        <v>43287</v>
      </c>
      <c r="Q2071" s="8"/>
      <c r="R2071" s="8"/>
      <c r="S2071" s="8"/>
      <c r="T2071" s="8"/>
      <c r="U2071" s="8"/>
      <c r="V2071" s="8"/>
      <c r="W2071" s="8"/>
      <c r="X2071" s="8"/>
      <c r="Y2071" s="8"/>
      <c r="Z2071" s="8"/>
      <c r="AA2071" s="8"/>
      <c r="AB2071" s="8"/>
      <c r="AC2071" s="8"/>
      <c r="AD2071" s="8"/>
      <c r="AE2071" s="8"/>
      <c r="AF2071" s="8"/>
      <c r="AG2071" s="8"/>
      <c r="AH2071" s="8"/>
      <c r="AI2071" s="8"/>
      <c r="AJ2071" s="8"/>
      <c r="AK2071" s="8"/>
      <c r="AL2071" s="8"/>
      <c r="AM2071" s="8"/>
      <c r="AN2071" s="8"/>
      <c r="AO2071" s="8"/>
      <c r="AP2071" s="8"/>
      <c r="AQ2071" s="8"/>
      <c r="AR2071" s="8"/>
      <c r="AS2071" s="8"/>
      <c r="AT2071" s="8"/>
      <c r="AU2071" s="8"/>
      <c r="AV2071" s="8"/>
      <c r="AW2071" s="8"/>
      <c r="AX2071" s="4" t="s">
        <v>38</v>
      </c>
      <c r="AY2071" s="5" t="s">
        <v>9004</v>
      </c>
      <c r="AZ2071" s="5" t="s">
        <v>38</v>
      </c>
      <c r="BA2071" s="12"/>
      <c r="BB2071" s="12"/>
      <c r="BC2071" s="12"/>
      <c r="BD2071" s="11">
        <v>0</v>
      </c>
      <c r="BE2071" s="11">
        <v>0</v>
      </c>
    </row>
    <row x14ac:dyDescent="0.25" r="2072" customHeight="1" ht="17.25">
      <c r="A2072" s="11">
        <v>118451</v>
      </c>
      <c r="B2072" s="4" t="s">
        <v>9005</v>
      </c>
      <c r="C2072" s="5" t="s">
        <v>5103</v>
      </c>
      <c r="D2072" s="5" t="s">
        <v>5104</v>
      </c>
      <c r="E2072" s="5" t="s">
        <v>9006</v>
      </c>
      <c r="F2072" s="13">
        <f>"1840022701"</f>
      </c>
      <c r="G2072" s="13">
        <f>"9781840022704"</f>
      </c>
      <c r="H2072" s="11">
        <v>0</v>
      </c>
      <c r="I2072" s="14">
        <v>3.82</v>
      </c>
      <c r="J2072" s="7" t="s">
        <v>3234</v>
      </c>
      <c r="K2072" s="5" t="s">
        <v>60</v>
      </c>
      <c r="L2072" s="11">
        <v>292</v>
      </c>
      <c r="M2072" s="11">
        <v>2004</v>
      </c>
      <c r="N2072" s="11">
        <v>2004</v>
      </c>
      <c r="O2072" s="15"/>
      <c r="P2072" s="8">
        <v>43287</v>
      </c>
      <c r="Q2072" s="8"/>
      <c r="R2072" s="8"/>
      <c r="S2072" s="8"/>
      <c r="T2072" s="8"/>
      <c r="U2072" s="8"/>
      <c r="V2072" s="8"/>
      <c r="W2072" s="8"/>
      <c r="X2072" s="8"/>
      <c r="Y2072" s="8"/>
      <c r="Z2072" s="8"/>
      <c r="AA2072" s="8"/>
      <c r="AB2072" s="8"/>
      <c r="AC2072" s="8"/>
      <c r="AD2072" s="8"/>
      <c r="AE2072" s="8"/>
      <c r="AF2072" s="8"/>
      <c r="AG2072" s="8"/>
      <c r="AH2072" s="8"/>
      <c r="AI2072" s="8"/>
      <c r="AJ2072" s="8"/>
      <c r="AK2072" s="8"/>
      <c r="AL2072" s="8"/>
      <c r="AM2072" s="8"/>
      <c r="AN2072" s="8"/>
      <c r="AO2072" s="8"/>
      <c r="AP2072" s="8"/>
      <c r="AQ2072" s="8"/>
      <c r="AR2072" s="8"/>
      <c r="AS2072" s="8"/>
      <c r="AT2072" s="8"/>
      <c r="AU2072" s="8"/>
      <c r="AV2072" s="8"/>
      <c r="AW2072" s="8"/>
      <c r="AX2072" s="4" t="s">
        <v>38</v>
      </c>
      <c r="AY2072" s="5" t="s">
        <v>9007</v>
      </c>
      <c r="AZ2072" s="5" t="s">
        <v>38</v>
      </c>
      <c r="BA2072" s="12"/>
      <c r="BB2072" s="12"/>
      <c r="BC2072" s="12"/>
      <c r="BD2072" s="11">
        <v>0</v>
      </c>
      <c r="BE2072" s="11">
        <v>0</v>
      </c>
    </row>
    <row x14ac:dyDescent="0.25" r="2073" customHeight="1" ht="17.25">
      <c r="A2073" s="11">
        <v>108658</v>
      </c>
      <c r="B2073" s="4" t="s">
        <v>9008</v>
      </c>
      <c r="C2073" s="5" t="s">
        <v>9009</v>
      </c>
      <c r="D2073" s="5" t="s">
        <v>9010</v>
      </c>
      <c r="E2073" s="5" t="s">
        <v>9011</v>
      </c>
      <c r="F2073" s="13">
        <f>"0872861872"</f>
      </c>
      <c r="G2073" s="13">
        <f>"9780872861879"</f>
      </c>
      <c r="H2073" s="11">
        <v>0</v>
      </c>
      <c r="I2073" s="14">
        <v>4.26</v>
      </c>
      <c r="J2073" s="7" t="s">
        <v>4017</v>
      </c>
      <c r="K2073" s="5" t="s">
        <v>60</v>
      </c>
      <c r="L2073" s="11">
        <v>96</v>
      </c>
      <c r="M2073" s="11">
        <v>2001</v>
      </c>
      <c r="N2073" s="11">
        <v>1986</v>
      </c>
      <c r="O2073" s="15"/>
      <c r="P2073" s="8">
        <v>43287</v>
      </c>
      <c r="Q2073" s="8"/>
      <c r="R2073" s="8"/>
      <c r="S2073" s="8"/>
      <c r="T2073" s="8"/>
      <c r="U2073" s="8"/>
      <c r="V2073" s="8"/>
      <c r="W2073" s="8"/>
      <c r="X2073" s="8"/>
      <c r="Y2073" s="8"/>
      <c r="Z2073" s="8"/>
      <c r="AA2073" s="8"/>
      <c r="AB2073" s="8"/>
      <c r="AC2073" s="8"/>
      <c r="AD2073" s="8"/>
      <c r="AE2073" s="8"/>
      <c r="AF2073" s="8"/>
      <c r="AG2073" s="8"/>
      <c r="AH2073" s="8"/>
      <c r="AI2073" s="8"/>
      <c r="AJ2073" s="8"/>
      <c r="AK2073" s="8"/>
      <c r="AL2073" s="8"/>
      <c r="AM2073" s="8"/>
      <c r="AN2073" s="8"/>
      <c r="AO2073" s="8"/>
      <c r="AP2073" s="8"/>
      <c r="AQ2073" s="8"/>
      <c r="AR2073" s="8"/>
      <c r="AS2073" s="8"/>
      <c r="AT2073" s="8"/>
      <c r="AU2073" s="8"/>
      <c r="AV2073" s="8"/>
      <c r="AW2073" s="8"/>
      <c r="AX2073" s="4" t="s">
        <v>38</v>
      </c>
      <c r="AY2073" s="5" t="s">
        <v>9012</v>
      </c>
      <c r="AZ2073" s="5" t="s">
        <v>38</v>
      </c>
      <c r="BA2073" s="12"/>
      <c r="BB2073" s="12"/>
      <c r="BC2073" s="12"/>
      <c r="BD2073" s="11">
        <v>0</v>
      </c>
      <c r="BE2073" s="11">
        <v>0</v>
      </c>
    </row>
    <row x14ac:dyDescent="0.25" r="2074" customHeight="1" ht="17.25">
      <c r="A2074" s="11">
        <v>7640261</v>
      </c>
      <c r="B2074" s="4" t="s">
        <v>9013</v>
      </c>
      <c r="C2074" s="5" t="s">
        <v>9014</v>
      </c>
      <c r="D2074" s="5" t="s">
        <v>9015</v>
      </c>
      <c r="E2074" s="5" t="s">
        <v>9016</v>
      </c>
      <c r="F2074" s="13">
        <f>""</f>
      </c>
      <c r="G2074" s="13">
        <f>"9780061707803"</f>
      </c>
      <c r="H2074" s="11">
        <v>0</v>
      </c>
      <c r="I2074" s="14">
        <v>3.98</v>
      </c>
      <c r="J2074" s="7" t="s">
        <v>4092</v>
      </c>
      <c r="K2074" s="5" t="s">
        <v>72</v>
      </c>
      <c r="L2074" s="11">
        <v>416</v>
      </c>
      <c r="M2074" s="11">
        <v>2010</v>
      </c>
      <c r="N2074" s="11">
        <v>2010</v>
      </c>
      <c r="O2074" s="15"/>
      <c r="P2074" s="8">
        <v>43255</v>
      </c>
      <c r="Q2074" s="8"/>
      <c r="R2074" s="8"/>
      <c r="S2074" s="8"/>
      <c r="T2074" s="8"/>
      <c r="U2074" s="8"/>
      <c r="V2074" s="8"/>
      <c r="W2074" s="8"/>
      <c r="X2074" s="8"/>
      <c r="Y2074" s="8"/>
      <c r="Z2074" s="8"/>
      <c r="AA2074" s="8"/>
      <c r="AB2074" s="8"/>
      <c r="AC2074" s="8"/>
      <c r="AD2074" s="8"/>
      <c r="AE2074" s="8"/>
      <c r="AF2074" s="8"/>
      <c r="AG2074" s="8"/>
      <c r="AH2074" s="8"/>
      <c r="AI2074" s="8"/>
      <c r="AJ2074" s="8"/>
      <c r="AK2074" s="8"/>
      <c r="AL2074" s="8"/>
      <c r="AM2074" s="8"/>
      <c r="AN2074" s="8"/>
      <c r="AO2074" s="8"/>
      <c r="AP2074" s="8"/>
      <c r="AQ2074" s="8"/>
      <c r="AR2074" s="8"/>
      <c r="AS2074" s="8"/>
      <c r="AT2074" s="8"/>
      <c r="AU2074" s="8"/>
      <c r="AV2074" s="8"/>
      <c r="AW2074" s="8"/>
      <c r="AX2074" s="4" t="s">
        <v>38</v>
      </c>
      <c r="AY2074" s="5" t="s">
        <v>9017</v>
      </c>
      <c r="AZ2074" s="5" t="s">
        <v>38</v>
      </c>
      <c r="BA2074" s="12"/>
      <c r="BB2074" s="12"/>
      <c r="BC2074" s="12"/>
      <c r="BD2074" s="11">
        <v>0</v>
      </c>
      <c r="BE2074" s="11">
        <v>0</v>
      </c>
    </row>
    <row x14ac:dyDescent="0.25" r="2075" customHeight="1" ht="17.25">
      <c r="A2075" s="11">
        <v>11250317</v>
      </c>
      <c r="B2075" s="4" t="s">
        <v>9018</v>
      </c>
      <c r="C2075" s="5" t="s">
        <v>6568</v>
      </c>
      <c r="D2075" s="5" t="s">
        <v>6569</v>
      </c>
      <c r="E2075" s="12"/>
      <c r="F2075" s="13">
        <f>"1408816032"</f>
      </c>
      <c r="G2075" s="13">
        <f>"9781408816035"</f>
      </c>
      <c r="H2075" s="11">
        <v>0</v>
      </c>
      <c r="I2075" s="14">
        <v>4.34</v>
      </c>
      <c r="J2075" s="7" t="s">
        <v>1771</v>
      </c>
      <c r="K2075" s="5" t="s">
        <v>72</v>
      </c>
      <c r="L2075" s="11">
        <v>352</v>
      </c>
      <c r="M2075" s="11">
        <v>2011</v>
      </c>
      <c r="N2075" s="11">
        <v>2011</v>
      </c>
      <c r="O2075" s="15"/>
      <c r="P2075" s="8">
        <v>43198</v>
      </c>
      <c r="Q2075" s="8"/>
      <c r="R2075" s="8"/>
      <c r="S2075" s="8"/>
      <c r="T2075" s="8"/>
      <c r="U2075" s="8"/>
      <c r="V2075" s="8"/>
      <c r="W2075" s="8"/>
      <c r="X2075" s="8"/>
      <c r="Y2075" s="8"/>
      <c r="Z2075" s="8"/>
      <c r="AA2075" s="8"/>
      <c r="AB2075" s="8"/>
      <c r="AC2075" s="8"/>
      <c r="AD2075" s="8"/>
      <c r="AE2075" s="8"/>
      <c r="AF2075" s="8"/>
      <c r="AG2075" s="8"/>
      <c r="AH2075" s="8"/>
      <c r="AI2075" s="8"/>
      <c r="AJ2075" s="8"/>
      <c r="AK2075" s="8"/>
      <c r="AL2075" s="8"/>
      <c r="AM2075" s="8"/>
      <c r="AN2075" s="8"/>
      <c r="AO2075" s="8"/>
      <c r="AP2075" s="8"/>
      <c r="AQ2075" s="8"/>
      <c r="AR2075" s="8"/>
      <c r="AS2075" s="8"/>
      <c r="AT2075" s="8"/>
      <c r="AU2075" s="8"/>
      <c r="AV2075" s="8"/>
      <c r="AW2075" s="8"/>
      <c r="AX2075" s="4" t="s">
        <v>38</v>
      </c>
      <c r="AY2075" s="5" t="s">
        <v>9019</v>
      </c>
      <c r="AZ2075" s="5" t="s">
        <v>38</v>
      </c>
      <c r="BA2075" s="12"/>
      <c r="BB2075" s="12"/>
      <c r="BC2075" s="12"/>
      <c r="BD2075" s="11">
        <v>0</v>
      </c>
      <c r="BE2075" s="11">
        <v>0</v>
      </c>
    </row>
    <row x14ac:dyDescent="0.25" r="2076" customHeight="1" ht="17.25">
      <c r="A2076" s="11">
        <v>752801</v>
      </c>
      <c r="B2076" s="4" t="s">
        <v>9020</v>
      </c>
      <c r="C2076" s="5" t="s">
        <v>359</v>
      </c>
      <c r="D2076" s="5" t="s">
        <v>360</v>
      </c>
      <c r="E2076" s="5" t="s">
        <v>9021</v>
      </c>
      <c r="F2076" s="13">
        <f>"0374230900"</f>
      </c>
      <c r="G2076" s="13">
        <f>"9780374230906"</f>
      </c>
      <c r="H2076" s="11">
        <v>0</v>
      </c>
      <c r="I2076" s="14">
        <v>3.91</v>
      </c>
      <c r="J2076" s="7" t="s">
        <v>9022</v>
      </c>
      <c r="K2076" s="5" t="s">
        <v>72</v>
      </c>
      <c r="L2076" s="11">
        <v>105</v>
      </c>
      <c r="M2076" s="11">
        <v>1976</v>
      </c>
      <c r="N2076" s="11">
        <v>1945</v>
      </c>
      <c r="O2076" s="15"/>
      <c r="P2076" s="8">
        <v>43194</v>
      </c>
      <c r="Q2076" s="8"/>
      <c r="R2076" s="8"/>
      <c r="S2076" s="8"/>
      <c r="T2076" s="8"/>
      <c r="U2076" s="8"/>
      <c r="V2076" s="8"/>
      <c r="W2076" s="8"/>
      <c r="X2076" s="8"/>
      <c r="Y2076" s="8"/>
      <c r="Z2076" s="8"/>
      <c r="AA2076" s="8"/>
      <c r="AB2076" s="8"/>
      <c r="AC2076" s="8"/>
      <c r="AD2076" s="8"/>
      <c r="AE2076" s="8"/>
      <c r="AF2076" s="8"/>
      <c r="AG2076" s="8"/>
      <c r="AH2076" s="8"/>
      <c r="AI2076" s="8"/>
      <c r="AJ2076" s="8"/>
      <c r="AK2076" s="8"/>
      <c r="AL2076" s="8"/>
      <c r="AM2076" s="8"/>
      <c r="AN2076" s="8"/>
      <c r="AO2076" s="8"/>
      <c r="AP2076" s="8"/>
      <c r="AQ2076" s="8"/>
      <c r="AR2076" s="8"/>
      <c r="AS2076" s="8"/>
      <c r="AT2076" s="8"/>
      <c r="AU2076" s="8"/>
      <c r="AV2076" s="8"/>
      <c r="AW2076" s="8"/>
      <c r="AX2076" s="4" t="s">
        <v>38</v>
      </c>
      <c r="AY2076" s="5" t="s">
        <v>9023</v>
      </c>
      <c r="AZ2076" s="5" t="s">
        <v>38</v>
      </c>
      <c r="BA2076" s="12"/>
      <c r="BB2076" s="12"/>
      <c r="BC2076" s="12"/>
      <c r="BD2076" s="11">
        <v>0</v>
      </c>
      <c r="BE2076" s="11">
        <v>0</v>
      </c>
    </row>
    <row x14ac:dyDescent="0.25" r="2077" customHeight="1" ht="17.25">
      <c r="A2077" s="11">
        <v>22749909</v>
      </c>
      <c r="B2077" s="4" t="s">
        <v>9024</v>
      </c>
      <c r="C2077" s="5" t="s">
        <v>9025</v>
      </c>
      <c r="D2077" s="5" t="s">
        <v>9026</v>
      </c>
      <c r="E2077" s="12"/>
      <c r="F2077" s="13">
        <f>"054445619X"</f>
      </c>
      <c r="G2077" s="13">
        <f>"9780544456198"</f>
      </c>
      <c r="H2077" s="11">
        <v>0</v>
      </c>
      <c r="I2077" s="14">
        <v>4.01</v>
      </c>
      <c r="J2077" s="7" t="s">
        <v>9027</v>
      </c>
      <c r="K2077" s="5" t="s">
        <v>72</v>
      </c>
      <c r="L2077" s="11">
        <v>112</v>
      </c>
      <c r="M2077" s="11">
        <v>2015</v>
      </c>
      <c r="N2077" s="11">
        <v>2015</v>
      </c>
      <c r="O2077" s="15"/>
      <c r="P2077" s="8">
        <v>43155</v>
      </c>
      <c r="Q2077" s="8"/>
      <c r="R2077" s="8"/>
      <c r="S2077" s="8"/>
      <c r="T2077" s="8"/>
      <c r="U2077" s="8"/>
      <c r="V2077" s="8"/>
      <c r="W2077" s="8"/>
      <c r="X2077" s="8"/>
      <c r="Y2077" s="8"/>
      <c r="Z2077" s="8"/>
      <c r="AA2077" s="8"/>
      <c r="AB2077" s="8"/>
      <c r="AC2077" s="8"/>
      <c r="AD2077" s="8"/>
      <c r="AE2077" s="8"/>
      <c r="AF2077" s="8"/>
      <c r="AG2077" s="8"/>
      <c r="AH2077" s="8"/>
      <c r="AI2077" s="8"/>
      <c r="AJ2077" s="8"/>
      <c r="AK2077" s="8"/>
      <c r="AL2077" s="8"/>
      <c r="AM2077" s="8"/>
      <c r="AN2077" s="8"/>
      <c r="AO2077" s="8"/>
      <c r="AP2077" s="8"/>
      <c r="AQ2077" s="8"/>
      <c r="AR2077" s="8"/>
      <c r="AS2077" s="8"/>
      <c r="AT2077" s="8"/>
      <c r="AU2077" s="8"/>
      <c r="AV2077" s="8"/>
      <c r="AW2077" s="8"/>
      <c r="AX2077" s="4" t="s">
        <v>38</v>
      </c>
      <c r="AY2077" s="5" t="s">
        <v>9028</v>
      </c>
      <c r="AZ2077" s="5" t="s">
        <v>38</v>
      </c>
      <c r="BA2077" s="12"/>
      <c r="BB2077" s="12"/>
      <c r="BC2077" s="12"/>
      <c r="BD2077" s="11">
        <v>0</v>
      </c>
      <c r="BE2077" s="11">
        <v>0</v>
      </c>
    </row>
    <row x14ac:dyDescent="0.25" r="2078" customHeight="1" ht="17.25">
      <c r="A2078" s="11">
        <v>4147337</v>
      </c>
      <c r="B2078" s="4" t="s">
        <v>9029</v>
      </c>
      <c r="C2078" s="5" t="s">
        <v>9030</v>
      </c>
      <c r="D2078" s="5" t="s">
        <v>9031</v>
      </c>
      <c r="E2078" s="12"/>
      <c r="F2078" s="13">
        <f>"9994335731"</f>
      </c>
      <c r="G2078" s="13">
        <f>"9789994335732"</f>
      </c>
      <c r="H2078" s="11">
        <v>3</v>
      </c>
      <c r="I2078" s="14">
        <v>3.44</v>
      </c>
      <c r="J2078" s="7" t="s">
        <v>9032</v>
      </c>
      <c r="K2078" s="5" t="s">
        <v>60</v>
      </c>
      <c r="L2078" s="16"/>
      <c r="M2078" s="11">
        <v>1984</v>
      </c>
      <c r="N2078" s="11">
        <v>1984</v>
      </c>
      <c r="O2078" s="15"/>
      <c r="P2078" s="8">
        <v>43155</v>
      </c>
      <c r="Q2078" s="8"/>
      <c r="R2078" s="8"/>
      <c r="S2078" s="8"/>
      <c r="T2078" s="8"/>
      <c r="U2078" s="8"/>
      <c r="V2078" s="8"/>
      <c r="W2078" s="8"/>
      <c r="X2078" s="8"/>
      <c r="Y2078" s="8"/>
      <c r="Z2078" s="8"/>
      <c r="AA2078" s="8"/>
      <c r="AB2078" s="8"/>
      <c r="AC2078" s="8"/>
      <c r="AD2078" s="8"/>
      <c r="AE2078" s="8"/>
      <c r="AF2078" s="8"/>
      <c r="AG2078" s="8"/>
      <c r="AH2078" s="8"/>
      <c r="AI2078" s="8"/>
      <c r="AJ2078" s="8"/>
      <c r="AK2078" s="8"/>
      <c r="AL2078" s="8"/>
      <c r="AM2078" s="8"/>
      <c r="AN2078" s="8"/>
      <c r="AO2078" s="8"/>
      <c r="AP2078" s="8"/>
      <c r="AQ2078" s="8"/>
      <c r="AR2078" s="8"/>
      <c r="AS2078" s="8"/>
      <c r="AT2078" s="8"/>
      <c r="AU2078" s="8"/>
      <c r="AV2078" s="8"/>
      <c r="AW2078" s="8"/>
      <c r="AX2078" s="16"/>
      <c r="AY2078" s="12"/>
      <c r="AZ2078" s="5" t="s">
        <v>158</v>
      </c>
      <c r="BA2078" s="12"/>
      <c r="BB2078" s="12"/>
      <c r="BC2078" s="12"/>
      <c r="BD2078" s="11">
        <v>1</v>
      </c>
      <c r="BE2078" s="11">
        <v>0</v>
      </c>
    </row>
    <row x14ac:dyDescent="0.25" r="2079" customHeight="1" ht="17.25">
      <c r="A2079" s="11">
        <v>63031</v>
      </c>
      <c r="B2079" s="4" t="s">
        <v>9033</v>
      </c>
      <c r="C2079" s="5" t="s">
        <v>1809</v>
      </c>
      <c r="D2079" s="5" t="s">
        <v>1810</v>
      </c>
      <c r="E2079" s="5" t="s">
        <v>1884</v>
      </c>
      <c r="F2079" s="13">
        <f>"0811215474"</f>
      </c>
      <c r="G2079" s="13">
        <f>"9780811215473"</f>
      </c>
      <c r="H2079" s="11">
        <v>0</v>
      </c>
      <c r="I2079" s="14">
        <v>3.89</v>
      </c>
      <c r="J2079" s="7" t="s">
        <v>126</v>
      </c>
      <c r="K2079" s="5" t="s">
        <v>60</v>
      </c>
      <c r="L2079" s="11">
        <v>118</v>
      </c>
      <c r="M2079" s="11">
        <v>2005</v>
      </c>
      <c r="N2079" s="11">
        <v>2000</v>
      </c>
      <c r="O2079" s="15"/>
      <c r="P2079" s="8">
        <v>43145</v>
      </c>
      <c r="Q2079" s="8"/>
      <c r="R2079" s="8"/>
      <c r="S2079" s="8"/>
      <c r="T2079" s="8"/>
      <c r="U2079" s="8"/>
      <c r="V2079" s="8"/>
      <c r="W2079" s="8"/>
      <c r="X2079" s="8"/>
      <c r="Y2079" s="8"/>
      <c r="Z2079" s="8"/>
      <c r="AA2079" s="8"/>
      <c r="AB2079" s="8"/>
      <c r="AC2079" s="8"/>
      <c r="AD2079" s="8"/>
      <c r="AE2079" s="8"/>
      <c r="AF2079" s="8"/>
      <c r="AG2079" s="8"/>
      <c r="AH2079" s="8"/>
      <c r="AI2079" s="8"/>
      <c r="AJ2079" s="8"/>
      <c r="AK2079" s="8"/>
      <c r="AL2079" s="8"/>
      <c r="AM2079" s="8"/>
      <c r="AN2079" s="8"/>
      <c r="AO2079" s="8"/>
      <c r="AP2079" s="8"/>
      <c r="AQ2079" s="8"/>
      <c r="AR2079" s="8"/>
      <c r="AS2079" s="8"/>
      <c r="AT2079" s="8"/>
      <c r="AU2079" s="8"/>
      <c r="AV2079" s="8"/>
      <c r="AW2079" s="8"/>
      <c r="AX2079" s="4" t="s">
        <v>38</v>
      </c>
      <c r="AY2079" s="5" t="s">
        <v>9034</v>
      </c>
      <c r="AZ2079" s="5" t="s">
        <v>38</v>
      </c>
      <c r="BA2079" s="12"/>
      <c r="BB2079" s="12"/>
      <c r="BC2079" s="12"/>
      <c r="BD2079" s="11">
        <v>0</v>
      </c>
      <c r="BE2079" s="11">
        <v>0</v>
      </c>
    </row>
    <row x14ac:dyDescent="0.25" r="2080" customHeight="1" ht="17.25">
      <c r="A2080" s="11">
        <v>30841115</v>
      </c>
      <c r="B2080" s="4" t="s">
        <v>9035</v>
      </c>
      <c r="C2080" s="5" t="s">
        <v>9036</v>
      </c>
      <c r="D2080" s="5" t="s">
        <v>9037</v>
      </c>
      <c r="E2080" s="12"/>
      <c r="F2080" s="13">
        <f>"1632868776"</f>
      </c>
      <c r="G2080" s="13">
        <f>"9781632868770"</f>
      </c>
      <c r="H2080" s="11">
        <v>0</v>
      </c>
      <c r="I2080" s="14">
        <v>4.33</v>
      </c>
      <c r="J2080" s="7" t="s">
        <v>881</v>
      </c>
      <c r="K2080" s="5" t="s">
        <v>60</v>
      </c>
      <c r="L2080" s="11">
        <v>80</v>
      </c>
      <c r="M2080" s="11">
        <v>2017</v>
      </c>
      <c r="N2080" s="11">
        <v>2016</v>
      </c>
      <c r="O2080" s="15"/>
      <c r="P2080" s="8">
        <v>43142</v>
      </c>
      <c r="Q2080" s="8"/>
      <c r="R2080" s="8"/>
      <c r="S2080" s="8"/>
      <c r="T2080" s="8"/>
      <c r="U2080" s="8"/>
      <c r="V2080" s="8"/>
      <c r="W2080" s="8"/>
      <c r="X2080" s="8"/>
      <c r="Y2080" s="8"/>
      <c r="Z2080" s="8"/>
      <c r="AA2080" s="8"/>
      <c r="AB2080" s="8"/>
      <c r="AC2080" s="8"/>
      <c r="AD2080" s="8"/>
      <c r="AE2080" s="8"/>
      <c r="AF2080" s="8"/>
      <c r="AG2080" s="8"/>
      <c r="AH2080" s="8"/>
      <c r="AI2080" s="8"/>
      <c r="AJ2080" s="8"/>
      <c r="AK2080" s="8"/>
      <c r="AL2080" s="8"/>
      <c r="AM2080" s="8"/>
      <c r="AN2080" s="8"/>
      <c r="AO2080" s="8"/>
      <c r="AP2080" s="8"/>
      <c r="AQ2080" s="8"/>
      <c r="AR2080" s="8"/>
      <c r="AS2080" s="8"/>
      <c r="AT2080" s="8"/>
      <c r="AU2080" s="8"/>
      <c r="AV2080" s="8"/>
      <c r="AW2080" s="8"/>
      <c r="AX2080" s="4" t="s">
        <v>38</v>
      </c>
      <c r="AY2080" s="5" t="s">
        <v>9038</v>
      </c>
      <c r="AZ2080" s="5" t="s">
        <v>38</v>
      </c>
      <c r="BA2080" s="12"/>
      <c r="BB2080" s="12"/>
      <c r="BC2080" s="12"/>
      <c r="BD2080" s="11">
        <v>0</v>
      </c>
      <c r="BE2080" s="11">
        <v>0</v>
      </c>
    </row>
    <row x14ac:dyDescent="0.25" r="2081" customHeight="1" ht="17.25">
      <c r="A2081" s="11">
        <v>27131082</v>
      </c>
      <c r="B2081" s="4" t="s">
        <v>9039</v>
      </c>
      <c r="C2081" s="5" t="s">
        <v>7929</v>
      </c>
      <c r="D2081" s="5" t="s">
        <v>7930</v>
      </c>
      <c r="E2081" s="12"/>
      <c r="F2081" s="13">
        <f>"160846623X"</f>
      </c>
      <c r="G2081" s="13">
        <f>"9781608466238"</f>
      </c>
      <c r="H2081" s="11">
        <v>0</v>
      </c>
      <c r="I2081" s="14">
        <v>4.07</v>
      </c>
      <c r="J2081" s="7" t="s">
        <v>2245</v>
      </c>
      <c r="K2081" s="5" t="s">
        <v>60</v>
      </c>
      <c r="L2081" s="11">
        <v>404</v>
      </c>
      <c r="M2081" s="11">
        <v>2016</v>
      </c>
      <c r="N2081" s="11">
        <v>1996</v>
      </c>
      <c r="O2081" s="15"/>
      <c r="P2081" s="8">
        <v>43142</v>
      </c>
      <c r="Q2081" s="8"/>
      <c r="R2081" s="8"/>
      <c r="S2081" s="8"/>
      <c r="T2081" s="8"/>
      <c r="U2081" s="8"/>
      <c r="V2081" s="8"/>
      <c r="W2081" s="8"/>
      <c r="X2081" s="8"/>
      <c r="Y2081" s="8"/>
      <c r="Z2081" s="8"/>
      <c r="AA2081" s="8"/>
      <c r="AB2081" s="8"/>
      <c r="AC2081" s="8"/>
      <c r="AD2081" s="8"/>
      <c r="AE2081" s="8"/>
      <c r="AF2081" s="8"/>
      <c r="AG2081" s="8"/>
      <c r="AH2081" s="8"/>
      <c r="AI2081" s="8"/>
      <c r="AJ2081" s="8"/>
      <c r="AK2081" s="8"/>
      <c r="AL2081" s="8"/>
      <c r="AM2081" s="8"/>
      <c r="AN2081" s="8"/>
      <c r="AO2081" s="8"/>
      <c r="AP2081" s="8"/>
      <c r="AQ2081" s="8"/>
      <c r="AR2081" s="8"/>
      <c r="AS2081" s="8"/>
      <c r="AT2081" s="8"/>
      <c r="AU2081" s="8"/>
      <c r="AV2081" s="8"/>
      <c r="AW2081" s="8"/>
      <c r="AX2081" s="4" t="s">
        <v>38</v>
      </c>
      <c r="AY2081" s="5" t="s">
        <v>9040</v>
      </c>
      <c r="AZ2081" s="5" t="s">
        <v>38</v>
      </c>
      <c r="BA2081" s="12"/>
      <c r="BB2081" s="12"/>
      <c r="BC2081" s="12"/>
      <c r="BD2081" s="11">
        <v>0</v>
      </c>
      <c r="BE2081" s="11">
        <v>0</v>
      </c>
    </row>
    <row x14ac:dyDescent="0.25" r="2082" customHeight="1" ht="17.25">
      <c r="A2082" s="11">
        <v>492903</v>
      </c>
      <c r="B2082" s="4" t="s">
        <v>9041</v>
      </c>
      <c r="C2082" s="5" t="s">
        <v>9042</v>
      </c>
      <c r="D2082" s="5" t="s">
        <v>9043</v>
      </c>
      <c r="E2082" s="12"/>
      <c r="F2082" s="13">
        <f>"0802131336"</f>
      </c>
      <c r="G2082" s="13">
        <f>"9780802131331"</f>
      </c>
      <c r="H2082" s="11">
        <v>0</v>
      </c>
      <c r="I2082" s="14">
        <v>3.89</v>
      </c>
      <c r="J2082" s="7" t="s">
        <v>66</v>
      </c>
      <c r="K2082" s="5" t="s">
        <v>60</v>
      </c>
      <c r="L2082" s="11">
        <v>184</v>
      </c>
      <c r="M2082" s="11">
        <v>1994</v>
      </c>
      <c r="N2082" s="11">
        <v>1969</v>
      </c>
      <c r="O2082" s="15"/>
      <c r="P2082" s="8">
        <v>43139</v>
      </c>
      <c r="Q2082" s="8"/>
      <c r="R2082" s="8"/>
      <c r="S2082" s="8"/>
      <c r="T2082" s="8"/>
      <c r="U2082" s="8"/>
      <c r="V2082" s="8"/>
      <c r="W2082" s="8"/>
      <c r="X2082" s="8"/>
      <c r="Y2082" s="8"/>
      <c r="Z2082" s="8"/>
      <c r="AA2082" s="8"/>
      <c r="AB2082" s="8"/>
      <c r="AC2082" s="8"/>
      <c r="AD2082" s="8"/>
      <c r="AE2082" s="8"/>
      <c r="AF2082" s="8"/>
      <c r="AG2082" s="8"/>
      <c r="AH2082" s="8"/>
      <c r="AI2082" s="8"/>
      <c r="AJ2082" s="8"/>
      <c r="AK2082" s="8"/>
      <c r="AL2082" s="8"/>
      <c r="AM2082" s="8"/>
      <c r="AN2082" s="8"/>
      <c r="AO2082" s="8"/>
      <c r="AP2082" s="8"/>
      <c r="AQ2082" s="8"/>
      <c r="AR2082" s="8"/>
      <c r="AS2082" s="8"/>
      <c r="AT2082" s="8"/>
      <c r="AU2082" s="8"/>
      <c r="AV2082" s="8"/>
      <c r="AW2082" s="8"/>
      <c r="AX2082" s="4" t="s">
        <v>38</v>
      </c>
      <c r="AY2082" s="5" t="s">
        <v>9044</v>
      </c>
      <c r="AZ2082" s="5" t="s">
        <v>38</v>
      </c>
      <c r="BA2082" s="12"/>
      <c r="BB2082" s="12"/>
      <c r="BC2082" s="12"/>
      <c r="BD2082" s="11">
        <v>0</v>
      </c>
      <c r="BE2082" s="11">
        <v>0</v>
      </c>
    </row>
    <row x14ac:dyDescent="0.25" r="2083" customHeight="1" ht="17.25">
      <c r="A2083" s="11">
        <v>6668872</v>
      </c>
      <c r="B2083" s="4" t="s">
        <v>9045</v>
      </c>
      <c r="C2083" s="5" t="s">
        <v>9046</v>
      </c>
      <c r="D2083" s="5" t="s">
        <v>9047</v>
      </c>
      <c r="E2083" s="12"/>
      <c r="F2083" s="13">
        <f>"0691135983"</f>
      </c>
      <c r="G2083" s="13">
        <f>"9780691135984"</f>
      </c>
      <c r="H2083" s="11">
        <v>0</v>
      </c>
      <c r="I2083" s="14">
        <v>4.11</v>
      </c>
      <c r="J2083" s="7" t="s">
        <v>172</v>
      </c>
      <c r="K2083" s="5" t="s">
        <v>72</v>
      </c>
      <c r="L2083" s="11">
        <v>296</v>
      </c>
      <c r="M2083" s="11">
        <v>2009</v>
      </c>
      <c r="N2083" s="11">
        <v>2009</v>
      </c>
      <c r="O2083" s="15"/>
      <c r="P2083" s="8">
        <v>43117</v>
      </c>
      <c r="Q2083" s="8"/>
      <c r="R2083" s="8"/>
      <c r="S2083" s="8"/>
      <c r="T2083" s="8"/>
      <c r="U2083" s="8"/>
      <c r="V2083" s="8"/>
      <c r="W2083" s="8"/>
      <c r="X2083" s="8"/>
      <c r="Y2083" s="8"/>
      <c r="Z2083" s="8"/>
      <c r="AA2083" s="8"/>
      <c r="AB2083" s="8"/>
      <c r="AC2083" s="8"/>
      <c r="AD2083" s="8"/>
      <c r="AE2083" s="8"/>
      <c r="AF2083" s="8"/>
      <c r="AG2083" s="8"/>
      <c r="AH2083" s="8"/>
      <c r="AI2083" s="8"/>
      <c r="AJ2083" s="8"/>
      <c r="AK2083" s="8"/>
      <c r="AL2083" s="8"/>
      <c r="AM2083" s="8"/>
      <c r="AN2083" s="8"/>
      <c r="AO2083" s="8"/>
      <c r="AP2083" s="8"/>
      <c r="AQ2083" s="8"/>
      <c r="AR2083" s="8"/>
      <c r="AS2083" s="8"/>
      <c r="AT2083" s="8"/>
      <c r="AU2083" s="8"/>
      <c r="AV2083" s="8"/>
      <c r="AW2083" s="8"/>
      <c r="AX2083" s="4" t="s">
        <v>38</v>
      </c>
      <c r="AY2083" s="5" t="s">
        <v>9048</v>
      </c>
      <c r="AZ2083" s="5" t="s">
        <v>38</v>
      </c>
      <c r="BA2083" s="12"/>
      <c r="BB2083" s="12"/>
      <c r="BC2083" s="12"/>
      <c r="BD2083" s="11">
        <v>0</v>
      </c>
      <c r="BE2083" s="11">
        <v>0</v>
      </c>
    </row>
    <row x14ac:dyDescent="0.25" r="2084" customHeight="1" ht="17.25">
      <c r="A2084" s="11">
        <v>26153427</v>
      </c>
      <c r="B2084" s="4" t="s">
        <v>9049</v>
      </c>
      <c r="C2084" s="5" t="s">
        <v>9050</v>
      </c>
      <c r="D2084" s="5" t="s">
        <v>9051</v>
      </c>
      <c r="E2084" s="5" t="s">
        <v>9052</v>
      </c>
      <c r="F2084" s="13">
        <f>"1783605375"</f>
      </c>
      <c r="G2084" s="13">
        <f>"9781783605378"</f>
      </c>
      <c r="H2084" s="11">
        <v>0</v>
      </c>
      <c r="I2084" s="14">
        <v>3.4</v>
      </c>
      <c r="J2084" s="7" t="s">
        <v>9053</v>
      </c>
      <c r="K2084" s="5" t="s">
        <v>60</v>
      </c>
      <c r="L2084" s="11">
        <v>288</v>
      </c>
      <c r="M2084" s="11">
        <v>2016</v>
      </c>
      <c r="N2084" s="11">
        <v>2014</v>
      </c>
      <c r="O2084" s="15"/>
      <c r="P2084" s="8">
        <v>43107</v>
      </c>
      <c r="Q2084" s="8"/>
      <c r="R2084" s="8"/>
      <c r="S2084" s="8"/>
      <c r="T2084" s="8"/>
      <c r="U2084" s="8"/>
      <c r="V2084" s="8"/>
      <c r="W2084" s="8"/>
      <c r="X2084" s="8"/>
      <c r="Y2084" s="8"/>
      <c r="Z2084" s="8"/>
      <c r="AA2084" s="8"/>
      <c r="AB2084" s="8"/>
      <c r="AC2084" s="8"/>
      <c r="AD2084" s="8"/>
      <c r="AE2084" s="8"/>
      <c r="AF2084" s="8"/>
      <c r="AG2084" s="8"/>
      <c r="AH2084" s="8"/>
      <c r="AI2084" s="8"/>
      <c r="AJ2084" s="8"/>
      <c r="AK2084" s="8"/>
      <c r="AL2084" s="8"/>
      <c r="AM2084" s="8"/>
      <c r="AN2084" s="8"/>
      <c r="AO2084" s="8"/>
      <c r="AP2084" s="8"/>
      <c r="AQ2084" s="8"/>
      <c r="AR2084" s="8"/>
      <c r="AS2084" s="8"/>
      <c r="AT2084" s="8"/>
      <c r="AU2084" s="8"/>
      <c r="AV2084" s="8"/>
      <c r="AW2084" s="8"/>
      <c r="AX2084" s="4" t="s">
        <v>38</v>
      </c>
      <c r="AY2084" s="5" t="s">
        <v>9054</v>
      </c>
      <c r="AZ2084" s="5" t="s">
        <v>38</v>
      </c>
      <c r="BA2084" s="12"/>
      <c r="BB2084" s="12"/>
      <c r="BC2084" s="12"/>
      <c r="BD2084" s="11">
        <v>0</v>
      </c>
      <c r="BE2084" s="11">
        <v>0</v>
      </c>
    </row>
    <row x14ac:dyDescent="0.25" r="2085" customHeight="1" ht="17.25">
      <c r="A2085" s="11">
        <v>379260</v>
      </c>
      <c r="B2085" s="4" t="s">
        <v>9055</v>
      </c>
      <c r="C2085" s="5" t="s">
        <v>9056</v>
      </c>
      <c r="D2085" s="5" t="s">
        <v>9057</v>
      </c>
      <c r="E2085" s="12"/>
      <c r="F2085" s="13">
        <f>"1564780856"</f>
      </c>
      <c r="G2085" s="13">
        <f>"9781564780850"</f>
      </c>
      <c r="H2085" s="11">
        <v>0</v>
      </c>
      <c r="I2085" s="14">
        <v>3.88</v>
      </c>
      <c r="J2085" s="7" t="s">
        <v>59</v>
      </c>
      <c r="K2085" s="5" t="s">
        <v>60</v>
      </c>
      <c r="L2085" s="11">
        <v>223</v>
      </c>
      <c r="M2085" s="11">
        <v>1995</v>
      </c>
      <c r="N2085" s="11">
        <v>1984</v>
      </c>
      <c r="O2085" s="15"/>
      <c r="P2085" s="8">
        <v>43101</v>
      </c>
      <c r="Q2085" s="8"/>
      <c r="R2085" s="8"/>
      <c r="S2085" s="8"/>
      <c r="T2085" s="8"/>
      <c r="U2085" s="8"/>
      <c r="V2085" s="8"/>
      <c r="W2085" s="8"/>
      <c r="X2085" s="8"/>
      <c r="Y2085" s="8"/>
      <c r="Z2085" s="8"/>
      <c r="AA2085" s="8"/>
      <c r="AB2085" s="8"/>
      <c r="AC2085" s="8"/>
      <c r="AD2085" s="8"/>
      <c r="AE2085" s="8"/>
      <c r="AF2085" s="8"/>
      <c r="AG2085" s="8"/>
      <c r="AH2085" s="8"/>
      <c r="AI2085" s="8"/>
      <c r="AJ2085" s="8"/>
      <c r="AK2085" s="8"/>
      <c r="AL2085" s="8"/>
      <c r="AM2085" s="8"/>
      <c r="AN2085" s="8"/>
      <c r="AO2085" s="8"/>
      <c r="AP2085" s="8"/>
      <c r="AQ2085" s="8"/>
      <c r="AR2085" s="8"/>
      <c r="AS2085" s="8"/>
      <c r="AT2085" s="8"/>
      <c r="AU2085" s="8"/>
      <c r="AV2085" s="8"/>
      <c r="AW2085" s="8"/>
      <c r="AX2085" s="4" t="s">
        <v>38</v>
      </c>
      <c r="AY2085" s="5" t="s">
        <v>9058</v>
      </c>
      <c r="AZ2085" s="5" t="s">
        <v>38</v>
      </c>
      <c r="BA2085" s="12"/>
      <c r="BB2085" s="12"/>
      <c r="BC2085" s="12"/>
      <c r="BD2085" s="11">
        <v>0</v>
      </c>
      <c r="BE2085" s="11">
        <v>0</v>
      </c>
    </row>
    <row x14ac:dyDescent="0.25" r="2086" customHeight="1" ht="17.25">
      <c r="A2086" s="11">
        <v>1362746</v>
      </c>
      <c r="B2086" s="4" t="s">
        <v>9059</v>
      </c>
      <c r="C2086" s="5" t="s">
        <v>801</v>
      </c>
      <c r="D2086" s="5" t="s">
        <v>802</v>
      </c>
      <c r="E2086" s="12"/>
      <c r="F2086" s="13">
        <f>"0195111273"</f>
      </c>
      <c r="G2086" s="13">
        <f>"9780195111279"</f>
      </c>
      <c r="H2086" s="11">
        <v>0</v>
      </c>
      <c r="I2086" s="14">
        <v>3.99</v>
      </c>
      <c r="J2086" s="7" t="s">
        <v>245</v>
      </c>
      <c r="K2086" s="5" t="s">
        <v>60</v>
      </c>
      <c r="L2086" s="11">
        <v>256</v>
      </c>
      <c r="M2086" s="11">
        <v>1997</v>
      </c>
      <c r="N2086" s="11">
        <v>1995</v>
      </c>
      <c r="O2086" s="15"/>
      <c r="P2086" s="8">
        <v>43101</v>
      </c>
      <c r="Q2086" s="8"/>
      <c r="R2086" s="8"/>
      <c r="S2086" s="8"/>
      <c r="T2086" s="8"/>
      <c r="U2086" s="8"/>
      <c r="V2086" s="8"/>
      <c r="W2086" s="8"/>
      <c r="X2086" s="8"/>
      <c r="Y2086" s="8"/>
      <c r="Z2086" s="8"/>
      <c r="AA2086" s="8"/>
      <c r="AB2086" s="8"/>
      <c r="AC2086" s="8"/>
      <c r="AD2086" s="8"/>
      <c r="AE2086" s="8"/>
      <c r="AF2086" s="8"/>
      <c r="AG2086" s="8"/>
      <c r="AH2086" s="8"/>
      <c r="AI2086" s="8"/>
      <c r="AJ2086" s="8"/>
      <c r="AK2086" s="8"/>
      <c r="AL2086" s="8"/>
      <c r="AM2086" s="8"/>
      <c r="AN2086" s="8"/>
      <c r="AO2086" s="8"/>
      <c r="AP2086" s="8"/>
      <c r="AQ2086" s="8"/>
      <c r="AR2086" s="8"/>
      <c r="AS2086" s="8"/>
      <c r="AT2086" s="8"/>
      <c r="AU2086" s="8"/>
      <c r="AV2086" s="8"/>
      <c r="AW2086" s="8"/>
      <c r="AX2086" s="4" t="s">
        <v>38</v>
      </c>
      <c r="AY2086" s="5" t="s">
        <v>9060</v>
      </c>
      <c r="AZ2086" s="5" t="s">
        <v>38</v>
      </c>
      <c r="BA2086" s="12"/>
      <c r="BB2086" s="12"/>
      <c r="BC2086" s="12"/>
      <c r="BD2086" s="11">
        <v>0</v>
      </c>
      <c r="BE2086" s="11">
        <v>0</v>
      </c>
    </row>
    <row x14ac:dyDescent="0.25" r="2087" customHeight="1" ht="17.25">
      <c r="A2087" s="11">
        <v>194805</v>
      </c>
      <c r="B2087" s="4" t="s">
        <v>9061</v>
      </c>
      <c r="C2087" s="5" t="s">
        <v>7919</v>
      </c>
      <c r="D2087" s="5" t="s">
        <v>7920</v>
      </c>
      <c r="E2087" s="5" t="s">
        <v>9062</v>
      </c>
      <c r="F2087" s="13">
        <f>"1565847032"</f>
      </c>
      <c r="G2087" s="13">
        <f>"9781565847033"</f>
      </c>
      <c r="H2087" s="11">
        <v>0</v>
      </c>
      <c r="I2087" s="14">
        <v>4.42</v>
      </c>
      <c r="J2087" s="7" t="s">
        <v>2899</v>
      </c>
      <c r="K2087" s="5" t="s">
        <v>60</v>
      </c>
      <c r="L2087" s="11">
        <v>416</v>
      </c>
      <c r="M2087" s="11">
        <v>2002</v>
      </c>
      <c r="N2087" s="11">
        <v>2002</v>
      </c>
      <c r="O2087" s="15"/>
      <c r="P2087" s="8">
        <v>43101</v>
      </c>
      <c r="Q2087" s="8"/>
      <c r="R2087" s="8"/>
      <c r="S2087" s="8"/>
      <c r="T2087" s="8"/>
      <c r="U2087" s="8"/>
      <c r="V2087" s="8"/>
      <c r="W2087" s="8"/>
      <c r="X2087" s="8"/>
      <c r="Y2087" s="8"/>
      <c r="Z2087" s="8"/>
      <c r="AA2087" s="8"/>
      <c r="AB2087" s="8"/>
      <c r="AC2087" s="8"/>
      <c r="AD2087" s="8"/>
      <c r="AE2087" s="8"/>
      <c r="AF2087" s="8"/>
      <c r="AG2087" s="8"/>
      <c r="AH2087" s="8"/>
      <c r="AI2087" s="8"/>
      <c r="AJ2087" s="8"/>
      <c r="AK2087" s="8"/>
      <c r="AL2087" s="8"/>
      <c r="AM2087" s="8"/>
      <c r="AN2087" s="8"/>
      <c r="AO2087" s="8"/>
      <c r="AP2087" s="8"/>
      <c r="AQ2087" s="8"/>
      <c r="AR2087" s="8"/>
      <c r="AS2087" s="8"/>
      <c r="AT2087" s="8"/>
      <c r="AU2087" s="8"/>
      <c r="AV2087" s="8"/>
      <c r="AW2087" s="8"/>
      <c r="AX2087" s="4" t="s">
        <v>38</v>
      </c>
      <c r="AY2087" s="5" t="s">
        <v>9063</v>
      </c>
      <c r="AZ2087" s="5" t="s">
        <v>38</v>
      </c>
      <c r="BA2087" s="12"/>
      <c r="BB2087" s="12"/>
      <c r="BC2087" s="12"/>
      <c r="BD2087" s="11">
        <v>0</v>
      </c>
      <c r="BE2087" s="11">
        <v>0</v>
      </c>
    </row>
    <row x14ac:dyDescent="0.25" r="2088" customHeight="1" ht="17.25">
      <c r="A2088" s="11">
        <v>26095252</v>
      </c>
      <c r="B2088" s="4" t="s">
        <v>9064</v>
      </c>
      <c r="C2088" s="5" t="s">
        <v>9065</v>
      </c>
      <c r="D2088" s="5" t="s">
        <v>9066</v>
      </c>
      <c r="E2088" s="12"/>
      <c r="F2088" s="13">
        <f>"1782791329"</f>
      </c>
      <c r="G2088" s="13">
        <f>"9781782791324"</f>
      </c>
      <c r="H2088" s="11">
        <v>0</v>
      </c>
      <c r="I2088" s="14">
        <v>3.5</v>
      </c>
      <c r="J2088" s="7" t="s">
        <v>2240</v>
      </c>
      <c r="K2088" s="5" t="s">
        <v>96</v>
      </c>
      <c r="L2088" s="11">
        <v>165</v>
      </c>
      <c r="M2088" s="11">
        <v>2015</v>
      </c>
      <c r="N2088" s="11">
        <v>2015</v>
      </c>
      <c r="O2088" s="15"/>
      <c r="P2088" s="8">
        <v>43101</v>
      </c>
      <c r="Q2088" s="8"/>
      <c r="R2088" s="8"/>
      <c r="S2088" s="8"/>
      <c r="T2088" s="8"/>
      <c r="U2088" s="8"/>
      <c r="V2088" s="8"/>
      <c r="W2088" s="8"/>
      <c r="X2088" s="8"/>
      <c r="Y2088" s="8"/>
      <c r="Z2088" s="8"/>
      <c r="AA2088" s="8"/>
      <c r="AB2088" s="8"/>
      <c r="AC2088" s="8"/>
      <c r="AD2088" s="8"/>
      <c r="AE2088" s="8"/>
      <c r="AF2088" s="8"/>
      <c r="AG2088" s="8"/>
      <c r="AH2088" s="8"/>
      <c r="AI2088" s="8"/>
      <c r="AJ2088" s="8"/>
      <c r="AK2088" s="8"/>
      <c r="AL2088" s="8"/>
      <c r="AM2088" s="8"/>
      <c r="AN2088" s="8"/>
      <c r="AO2088" s="8"/>
      <c r="AP2088" s="8"/>
      <c r="AQ2088" s="8"/>
      <c r="AR2088" s="8"/>
      <c r="AS2088" s="8"/>
      <c r="AT2088" s="8"/>
      <c r="AU2088" s="8"/>
      <c r="AV2088" s="8"/>
      <c r="AW2088" s="8"/>
      <c r="AX2088" s="4" t="s">
        <v>38</v>
      </c>
      <c r="AY2088" s="5" t="s">
        <v>9067</v>
      </c>
      <c r="AZ2088" s="5" t="s">
        <v>38</v>
      </c>
      <c r="BA2088" s="12"/>
      <c r="BB2088" s="12"/>
      <c r="BC2088" s="12"/>
      <c r="BD2088" s="11">
        <v>0</v>
      </c>
      <c r="BE2088" s="11">
        <v>0</v>
      </c>
    </row>
    <row x14ac:dyDescent="0.25" r="2089" customHeight="1" ht="17.25">
      <c r="A2089" s="11">
        <v>31017613</v>
      </c>
      <c r="B2089" s="4" t="s">
        <v>9068</v>
      </c>
      <c r="C2089" s="5" t="s">
        <v>9069</v>
      </c>
      <c r="D2089" s="5" t="s">
        <v>9070</v>
      </c>
      <c r="E2089" s="12"/>
      <c r="F2089" s="13">
        <f>"1782797483"</f>
      </c>
      <c r="G2089" s="13">
        <f>"9781782797487"</f>
      </c>
      <c r="H2089" s="11">
        <v>0</v>
      </c>
      <c r="I2089" s="14">
        <v>3.43</v>
      </c>
      <c r="J2089" s="7" t="s">
        <v>2240</v>
      </c>
      <c r="K2089" s="5" t="s">
        <v>60</v>
      </c>
      <c r="L2089" s="11">
        <v>120</v>
      </c>
      <c r="M2089" s="11">
        <v>2016</v>
      </c>
      <c r="N2089" s="11">
        <v>2016</v>
      </c>
      <c r="O2089" s="15"/>
      <c r="P2089" s="8">
        <v>43101</v>
      </c>
      <c r="Q2089" s="8"/>
      <c r="R2089" s="8"/>
      <c r="S2089" s="8"/>
      <c r="T2089" s="8"/>
      <c r="U2089" s="8"/>
      <c r="V2089" s="8"/>
      <c r="W2089" s="8"/>
      <c r="X2089" s="8"/>
      <c r="Y2089" s="8"/>
      <c r="Z2089" s="8"/>
      <c r="AA2089" s="8"/>
      <c r="AB2089" s="8"/>
      <c r="AC2089" s="8"/>
      <c r="AD2089" s="8"/>
      <c r="AE2089" s="8"/>
      <c r="AF2089" s="8"/>
      <c r="AG2089" s="8"/>
      <c r="AH2089" s="8"/>
      <c r="AI2089" s="8"/>
      <c r="AJ2089" s="8"/>
      <c r="AK2089" s="8"/>
      <c r="AL2089" s="8"/>
      <c r="AM2089" s="8"/>
      <c r="AN2089" s="8"/>
      <c r="AO2089" s="8"/>
      <c r="AP2089" s="8"/>
      <c r="AQ2089" s="8"/>
      <c r="AR2089" s="8"/>
      <c r="AS2089" s="8"/>
      <c r="AT2089" s="8"/>
      <c r="AU2089" s="8"/>
      <c r="AV2089" s="8"/>
      <c r="AW2089" s="8"/>
      <c r="AX2089" s="4" t="s">
        <v>38</v>
      </c>
      <c r="AY2089" s="5" t="s">
        <v>9071</v>
      </c>
      <c r="AZ2089" s="5" t="s">
        <v>38</v>
      </c>
      <c r="BA2089" s="12"/>
      <c r="BB2089" s="12"/>
      <c r="BC2089" s="12"/>
      <c r="BD2089" s="11">
        <v>0</v>
      </c>
      <c r="BE2089" s="11">
        <v>0</v>
      </c>
    </row>
    <row x14ac:dyDescent="0.25" r="2090" customHeight="1" ht="17.25">
      <c r="A2090" s="11">
        <v>18357637</v>
      </c>
      <c r="B2090" s="4" t="s">
        <v>9072</v>
      </c>
      <c r="C2090" s="5" t="s">
        <v>9073</v>
      </c>
      <c r="D2090" s="5" t="s">
        <v>9074</v>
      </c>
      <c r="E2090" s="12"/>
      <c r="F2090" s="13">
        <f>"1780996667"</f>
      </c>
      <c r="G2090" s="13">
        <f>"9781780996660"</f>
      </c>
      <c r="H2090" s="11">
        <v>0</v>
      </c>
      <c r="I2090" s="14">
        <v>2.86</v>
      </c>
      <c r="J2090" s="7" t="s">
        <v>2240</v>
      </c>
      <c r="K2090" s="5" t="s">
        <v>60</v>
      </c>
      <c r="L2090" s="11">
        <v>193</v>
      </c>
      <c r="M2090" s="11">
        <v>2013</v>
      </c>
      <c r="N2090" s="11">
        <v>2012</v>
      </c>
      <c r="O2090" s="15"/>
      <c r="P2090" s="8">
        <v>43101</v>
      </c>
      <c r="Q2090" s="8"/>
      <c r="R2090" s="8"/>
      <c r="S2090" s="8"/>
      <c r="T2090" s="8"/>
      <c r="U2090" s="8"/>
      <c r="V2090" s="8"/>
      <c r="W2090" s="8"/>
      <c r="X2090" s="8"/>
      <c r="Y2090" s="8"/>
      <c r="Z2090" s="8"/>
      <c r="AA2090" s="8"/>
      <c r="AB2090" s="8"/>
      <c r="AC2090" s="8"/>
      <c r="AD2090" s="8"/>
      <c r="AE2090" s="8"/>
      <c r="AF2090" s="8"/>
      <c r="AG2090" s="8"/>
      <c r="AH2090" s="8"/>
      <c r="AI2090" s="8"/>
      <c r="AJ2090" s="8"/>
      <c r="AK2090" s="8"/>
      <c r="AL2090" s="8"/>
      <c r="AM2090" s="8"/>
      <c r="AN2090" s="8"/>
      <c r="AO2090" s="8"/>
      <c r="AP2090" s="8"/>
      <c r="AQ2090" s="8"/>
      <c r="AR2090" s="8"/>
      <c r="AS2090" s="8"/>
      <c r="AT2090" s="8"/>
      <c r="AU2090" s="8"/>
      <c r="AV2090" s="8"/>
      <c r="AW2090" s="8"/>
      <c r="AX2090" s="4" t="s">
        <v>38</v>
      </c>
      <c r="AY2090" s="5" t="s">
        <v>9075</v>
      </c>
      <c r="AZ2090" s="5" t="s">
        <v>38</v>
      </c>
      <c r="BA2090" s="12"/>
      <c r="BB2090" s="12"/>
      <c r="BC2090" s="12"/>
      <c r="BD2090" s="11">
        <v>0</v>
      </c>
      <c r="BE2090" s="11">
        <v>0</v>
      </c>
    </row>
    <row x14ac:dyDescent="0.25" r="2091" customHeight="1" ht="17.25">
      <c r="A2091" s="11">
        <v>3052077</v>
      </c>
      <c r="B2091" s="4" t="s">
        <v>9076</v>
      </c>
      <c r="C2091" s="5" t="s">
        <v>9077</v>
      </c>
      <c r="D2091" s="5" t="s">
        <v>9078</v>
      </c>
      <c r="E2091" s="12"/>
      <c r="F2091" s="13">
        <f>"0521682991"</f>
      </c>
      <c r="G2091" s="13">
        <f>"9780521682992"</f>
      </c>
      <c r="H2091" s="11">
        <v>0</v>
      </c>
      <c r="I2091" s="14">
        <v>3.73</v>
      </c>
      <c r="J2091" s="7" t="s">
        <v>636</v>
      </c>
      <c r="K2091" s="5" t="s">
        <v>60</v>
      </c>
      <c r="L2091" s="11">
        <v>152</v>
      </c>
      <c r="M2091" s="11">
        <v>2008</v>
      </c>
      <c r="N2091" s="11">
        <v>2008</v>
      </c>
      <c r="O2091" s="15"/>
      <c r="P2091" s="9">
        <v>43094</v>
      </c>
      <c r="Q2091" s="9"/>
      <c r="R2091" s="9"/>
      <c r="S2091" s="9"/>
      <c r="T2091" s="9"/>
      <c r="U2091" s="9"/>
      <c r="V2091" s="9"/>
      <c r="W2091" s="9"/>
      <c r="X2091" s="9"/>
      <c r="Y2091" s="9"/>
      <c r="Z2091" s="9"/>
      <c r="AA2091" s="9"/>
      <c r="AB2091" s="9"/>
      <c r="AC2091" s="9"/>
      <c r="AD2091" s="9"/>
      <c r="AE2091" s="9"/>
      <c r="AF2091" s="9"/>
      <c r="AG2091" s="9"/>
      <c r="AH2091" s="9"/>
      <c r="AI2091" s="9"/>
      <c r="AJ2091" s="9"/>
      <c r="AK2091" s="9"/>
      <c r="AL2091" s="9"/>
      <c r="AM2091" s="9"/>
      <c r="AN2091" s="9"/>
      <c r="AO2091" s="9"/>
      <c r="AP2091" s="9"/>
      <c r="AQ2091" s="9"/>
      <c r="AR2091" s="9"/>
      <c r="AS2091" s="9"/>
      <c r="AT2091" s="9"/>
      <c r="AU2091" s="9"/>
      <c r="AV2091" s="9"/>
      <c r="AW2091" s="9"/>
      <c r="AX2091" s="4" t="s">
        <v>38</v>
      </c>
      <c r="AY2091" s="5" t="s">
        <v>9079</v>
      </c>
      <c r="AZ2091" s="5" t="s">
        <v>38</v>
      </c>
      <c r="BA2091" s="12"/>
      <c r="BB2091" s="12"/>
      <c r="BC2091" s="12"/>
      <c r="BD2091" s="11">
        <v>0</v>
      </c>
      <c r="BE2091" s="11">
        <v>0</v>
      </c>
    </row>
    <row x14ac:dyDescent="0.25" r="2092" customHeight="1" ht="17.25">
      <c r="A2092" s="11">
        <v>144950</v>
      </c>
      <c r="B2092" s="4" t="s">
        <v>9080</v>
      </c>
      <c r="C2092" s="5" t="s">
        <v>9081</v>
      </c>
      <c r="D2092" s="5" t="s">
        <v>9082</v>
      </c>
      <c r="E2092" s="12"/>
      <c r="F2092" s="13">
        <f>"0631140433"</f>
      </c>
      <c r="G2092" s="13">
        <f>"9780631140436"</f>
      </c>
      <c r="H2092" s="11">
        <v>0</v>
      </c>
      <c r="I2092" s="14">
        <v>3.75</v>
      </c>
      <c r="J2092" s="7" t="s">
        <v>1344</v>
      </c>
      <c r="K2092" s="5" t="s">
        <v>3497</v>
      </c>
      <c r="L2092" s="11">
        <v>246</v>
      </c>
      <c r="M2092" s="11">
        <v>1986</v>
      </c>
      <c r="N2092" s="11">
        <v>1986</v>
      </c>
      <c r="O2092" s="15"/>
      <c r="P2092" s="9">
        <v>43094</v>
      </c>
      <c r="Q2092" s="9"/>
      <c r="R2092" s="9"/>
      <c r="S2092" s="9"/>
      <c r="T2092" s="9"/>
      <c r="U2092" s="9"/>
      <c r="V2092" s="9"/>
      <c r="W2092" s="9"/>
      <c r="X2092" s="9"/>
      <c r="Y2092" s="9"/>
      <c r="Z2092" s="9"/>
      <c r="AA2092" s="9"/>
      <c r="AB2092" s="9"/>
      <c r="AC2092" s="9"/>
      <c r="AD2092" s="9"/>
      <c r="AE2092" s="9"/>
      <c r="AF2092" s="9"/>
      <c r="AG2092" s="9"/>
      <c r="AH2092" s="9"/>
      <c r="AI2092" s="9"/>
      <c r="AJ2092" s="9"/>
      <c r="AK2092" s="9"/>
      <c r="AL2092" s="9"/>
      <c r="AM2092" s="9"/>
      <c r="AN2092" s="9"/>
      <c r="AO2092" s="9"/>
      <c r="AP2092" s="9"/>
      <c r="AQ2092" s="9"/>
      <c r="AR2092" s="9"/>
      <c r="AS2092" s="9"/>
      <c r="AT2092" s="9"/>
      <c r="AU2092" s="9"/>
      <c r="AV2092" s="9"/>
      <c r="AW2092" s="9"/>
      <c r="AX2092" s="4" t="s">
        <v>38</v>
      </c>
      <c r="AY2092" s="5" t="s">
        <v>9083</v>
      </c>
      <c r="AZ2092" s="5" t="s">
        <v>38</v>
      </c>
      <c r="BA2092" s="12"/>
      <c r="BB2092" s="12"/>
      <c r="BC2092" s="12"/>
      <c r="BD2092" s="11">
        <v>0</v>
      </c>
      <c r="BE2092" s="11">
        <v>0</v>
      </c>
    </row>
    <row x14ac:dyDescent="0.25" r="2093" customHeight="1" ht="17.25">
      <c r="A2093" s="11">
        <v>80382</v>
      </c>
      <c r="B2093" s="4" t="s">
        <v>9084</v>
      </c>
      <c r="C2093" s="5" t="s">
        <v>4122</v>
      </c>
      <c r="D2093" s="5" t="s">
        <v>4123</v>
      </c>
      <c r="E2093" s="12"/>
      <c r="F2093" s="13">
        <f>"0521600537"</f>
      </c>
      <c r="G2093" s="13">
        <f>"9780521600538"</f>
      </c>
      <c r="H2093" s="11">
        <v>0</v>
      </c>
      <c r="I2093" s="14">
        <v>3.63</v>
      </c>
      <c r="J2093" s="7" t="s">
        <v>636</v>
      </c>
      <c r="K2093" s="5" t="s">
        <v>60</v>
      </c>
      <c r="L2093" s="11">
        <v>486</v>
      </c>
      <c r="M2093" s="11">
        <v>2005</v>
      </c>
      <c r="N2093" s="11">
        <v>1994</v>
      </c>
      <c r="O2093" s="15"/>
      <c r="P2093" s="9">
        <v>43094</v>
      </c>
      <c r="Q2093" s="9"/>
      <c r="R2093" s="9"/>
      <c r="S2093" s="9"/>
      <c r="T2093" s="9"/>
      <c r="U2093" s="9"/>
      <c r="V2093" s="9"/>
      <c r="W2093" s="9"/>
      <c r="X2093" s="9"/>
      <c r="Y2093" s="9"/>
      <c r="Z2093" s="9"/>
      <c r="AA2093" s="9"/>
      <c r="AB2093" s="9"/>
      <c r="AC2093" s="9"/>
      <c r="AD2093" s="9"/>
      <c r="AE2093" s="9"/>
      <c r="AF2093" s="9"/>
      <c r="AG2093" s="9"/>
      <c r="AH2093" s="9"/>
      <c r="AI2093" s="9"/>
      <c r="AJ2093" s="9"/>
      <c r="AK2093" s="9"/>
      <c r="AL2093" s="9"/>
      <c r="AM2093" s="9"/>
      <c r="AN2093" s="9"/>
      <c r="AO2093" s="9"/>
      <c r="AP2093" s="9"/>
      <c r="AQ2093" s="9"/>
      <c r="AR2093" s="9"/>
      <c r="AS2093" s="9"/>
      <c r="AT2093" s="9"/>
      <c r="AU2093" s="9"/>
      <c r="AV2093" s="9"/>
      <c r="AW2093" s="9"/>
      <c r="AX2093" s="4" t="s">
        <v>38</v>
      </c>
      <c r="AY2093" s="5" t="s">
        <v>9085</v>
      </c>
      <c r="AZ2093" s="5" t="s">
        <v>38</v>
      </c>
      <c r="BA2093" s="12"/>
      <c r="BB2093" s="12"/>
      <c r="BC2093" s="12"/>
      <c r="BD2093" s="11">
        <v>0</v>
      </c>
      <c r="BE2093" s="11">
        <v>0</v>
      </c>
    </row>
    <row x14ac:dyDescent="0.25" r="2094" customHeight="1" ht="17.25">
      <c r="A2094" s="11">
        <v>284483</v>
      </c>
      <c r="B2094" s="4" t="s">
        <v>9086</v>
      </c>
      <c r="C2094" s="5" t="s">
        <v>9087</v>
      </c>
      <c r="D2094" s="5" t="s">
        <v>9088</v>
      </c>
      <c r="E2094" s="12"/>
      <c r="F2094" s="13">
        <f>"0195134168"</f>
      </c>
      <c r="G2094" s="13">
        <f>"9780195134162"</f>
      </c>
      <c r="H2094" s="11">
        <v>0</v>
      </c>
      <c r="I2094" s="14">
        <v>4.23</v>
      </c>
      <c r="J2094" s="7" t="s">
        <v>245</v>
      </c>
      <c r="K2094" s="5" t="s">
        <v>60</v>
      </c>
      <c r="L2094" s="11">
        <v>320</v>
      </c>
      <c r="M2094" s="11">
        <v>1999</v>
      </c>
      <c r="N2094" s="11">
        <v>1998</v>
      </c>
      <c r="O2094" s="15"/>
      <c r="P2094" s="9">
        <v>43087</v>
      </c>
      <c r="Q2094" s="9"/>
      <c r="R2094" s="9"/>
      <c r="S2094" s="9"/>
      <c r="T2094" s="9"/>
      <c r="U2094" s="9"/>
      <c r="V2094" s="9"/>
      <c r="W2094" s="9"/>
      <c r="X2094" s="9"/>
      <c r="Y2094" s="9"/>
      <c r="Z2094" s="9"/>
      <c r="AA2094" s="9"/>
      <c r="AB2094" s="9"/>
      <c r="AC2094" s="9"/>
      <c r="AD2094" s="9"/>
      <c r="AE2094" s="9"/>
      <c r="AF2094" s="9"/>
      <c r="AG2094" s="9"/>
      <c r="AH2094" s="9"/>
      <c r="AI2094" s="9"/>
      <c r="AJ2094" s="9"/>
      <c r="AK2094" s="9"/>
      <c r="AL2094" s="9"/>
      <c r="AM2094" s="9"/>
      <c r="AN2094" s="9"/>
      <c r="AO2094" s="9"/>
      <c r="AP2094" s="9"/>
      <c r="AQ2094" s="9"/>
      <c r="AR2094" s="9"/>
      <c r="AS2094" s="9"/>
      <c r="AT2094" s="9"/>
      <c r="AU2094" s="9"/>
      <c r="AV2094" s="9"/>
      <c r="AW2094" s="9"/>
      <c r="AX2094" s="4" t="s">
        <v>38</v>
      </c>
      <c r="AY2094" s="5" t="s">
        <v>9089</v>
      </c>
      <c r="AZ2094" s="5" t="s">
        <v>38</v>
      </c>
      <c r="BA2094" s="12"/>
      <c r="BB2094" s="12"/>
      <c r="BC2094" s="12"/>
      <c r="BD2094" s="11">
        <v>0</v>
      </c>
      <c r="BE2094" s="11">
        <v>0</v>
      </c>
    </row>
    <row x14ac:dyDescent="0.25" r="2095" customHeight="1" ht="17.25">
      <c r="A2095" s="11">
        <v>34640834</v>
      </c>
      <c r="B2095" s="4" t="s">
        <v>9090</v>
      </c>
      <c r="C2095" s="5" t="s">
        <v>9091</v>
      </c>
      <c r="D2095" s="5" t="s">
        <v>9092</v>
      </c>
      <c r="E2095" s="12"/>
      <c r="F2095" s="13">
        <f>"0190604980"</f>
      </c>
      <c r="G2095" s="13">
        <f>"9780190604981"</f>
      </c>
      <c r="H2095" s="11">
        <v>0</v>
      </c>
      <c r="I2095" s="14">
        <v>4.23</v>
      </c>
      <c r="J2095" s="7" t="s">
        <v>245</v>
      </c>
      <c r="K2095" s="5" t="s">
        <v>72</v>
      </c>
      <c r="L2095" s="11">
        <v>338</v>
      </c>
      <c r="M2095" s="11">
        <v>2017</v>
      </c>
      <c r="N2095" s="11">
        <v>2017</v>
      </c>
      <c r="O2095" s="15"/>
      <c r="P2095" s="9">
        <v>43079</v>
      </c>
      <c r="Q2095" s="9"/>
      <c r="R2095" s="9"/>
      <c r="S2095" s="9"/>
      <c r="T2095" s="9"/>
      <c r="U2095" s="9"/>
      <c r="V2095" s="9"/>
      <c r="W2095" s="9"/>
      <c r="X2095" s="9"/>
      <c r="Y2095" s="9"/>
      <c r="Z2095" s="9"/>
      <c r="AA2095" s="9"/>
      <c r="AB2095" s="9"/>
      <c r="AC2095" s="9"/>
      <c r="AD2095" s="9"/>
      <c r="AE2095" s="9"/>
      <c r="AF2095" s="9"/>
      <c r="AG2095" s="9"/>
      <c r="AH2095" s="9"/>
      <c r="AI2095" s="9"/>
      <c r="AJ2095" s="9"/>
      <c r="AK2095" s="9"/>
      <c r="AL2095" s="9"/>
      <c r="AM2095" s="9"/>
      <c r="AN2095" s="9"/>
      <c r="AO2095" s="9"/>
      <c r="AP2095" s="9"/>
      <c r="AQ2095" s="9"/>
      <c r="AR2095" s="9"/>
      <c r="AS2095" s="9"/>
      <c r="AT2095" s="9"/>
      <c r="AU2095" s="9"/>
      <c r="AV2095" s="9"/>
      <c r="AW2095" s="9"/>
      <c r="AX2095" s="4" t="s">
        <v>38</v>
      </c>
      <c r="AY2095" s="5" t="s">
        <v>9093</v>
      </c>
      <c r="AZ2095" s="5" t="s">
        <v>38</v>
      </c>
      <c r="BA2095" s="12"/>
      <c r="BB2095" s="12"/>
      <c r="BC2095" s="12"/>
      <c r="BD2095" s="11">
        <v>0</v>
      </c>
      <c r="BE2095" s="11">
        <v>0</v>
      </c>
    </row>
    <row x14ac:dyDescent="0.25" r="2096" customHeight="1" ht="17.25">
      <c r="A2096" s="11">
        <v>31578250</v>
      </c>
      <c r="B2096" s="4" t="s">
        <v>9094</v>
      </c>
      <c r="C2096" s="5" t="s">
        <v>9095</v>
      </c>
      <c r="D2096" s="5" t="s">
        <v>9096</v>
      </c>
      <c r="E2096" s="12"/>
      <c r="F2096" s="13">
        <f>"1784782777"</f>
      </c>
      <c r="G2096" s="13">
        <f>"9781784782771"</f>
      </c>
      <c r="H2096" s="11">
        <v>0</v>
      </c>
      <c r="I2096" s="14">
        <v>3.91</v>
      </c>
      <c r="J2096" s="7" t="s">
        <v>2001</v>
      </c>
      <c r="K2096" s="5" t="s">
        <v>72</v>
      </c>
      <c r="L2096" s="11">
        <v>369</v>
      </c>
      <c r="M2096" s="11">
        <v>2017</v>
      </c>
      <c r="N2096" s="11">
        <v>2017</v>
      </c>
      <c r="O2096" s="15"/>
      <c r="P2096" s="8">
        <v>43070</v>
      </c>
      <c r="Q2096" s="8"/>
      <c r="R2096" s="8"/>
      <c r="S2096" s="8"/>
      <c r="T2096" s="8"/>
      <c r="U2096" s="8"/>
      <c r="V2096" s="8"/>
      <c r="W2096" s="8"/>
      <c r="X2096" s="8"/>
      <c r="Y2096" s="8"/>
      <c r="Z2096" s="8"/>
      <c r="AA2096" s="8"/>
      <c r="AB2096" s="8"/>
      <c r="AC2096" s="8"/>
      <c r="AD2096" s="8"/>
      <c r="AE2096" s="8"/>
      <c r="AF2096" s="8"/>
      <c r="AG2096" s="8"/>
      <c r="AH2096" s="8"/>
      <c r="AI2096" s="8"/>
      <c r="AJ2096" s="8"/>
      <c r="AK2096" s="8"/>
      <c r="AL2096" s="8"/>
      <c r="AM2096" s="8"/>
      <c r="AN2096" s="8"/>
      <c r="AO2096" s="8"/>
      <c r="AP2096" s="8"/>
      <c r="AQ2096" s="8"/>
      <c r="AR2096" s="8"/>
      <c r="AS2096" s="8"/>
      <c r="AT2096" s="8"/>
      <c r="AU2096" s="8"/>
      <c r="AV2096" s="8"/>
      <c r="AW2096" s="8"/>
      <c r="AX2096" s="4" t="s">
        <v>38</v>
      </c>
      <c r="AY2096" s="5" t="s">
        <v>9097</v>
      </c>
      <c r="AZ2096" s="5" t="s">
        <v>38</v>
      </c>
      <c r="BA2096" s="12"/>
      <c r="BB2096" s="12"/>
      <c r="BC2096" s="12"/>
      <c r="BD2096" s="11">
        <v>0</v>
      </c>
      <c r="BE2096" s="11">
        <v>0</v>
      </c>
    </row>
    <row x14ac:dyDescent="0.25" r="2097" customHeight="1" ht="17.25">
      <c r="A2097" s="11">
        <v>18339763</v>
      </c>
      <c r="B2097" s="4" t="s">
        <v>9098</v>
      </c>
      <c r="C2097" s="5" t="s">
        <v>9099</v>
      </c>
      <c r="D2097" s="5" t="s">
        <v>9100</v>
      </c>
      <c r="E2097" s="12"/>
      <c r="F2097" s="13">
        <f>"0807001678"</f>
      </c>
      <c r="G2097" s="13">
        <f>"9780807001677"</f>
      </c>
      <c r="H2097" s="11">
        <v>0</v>
      </c>
      <c r="I2097" s="14">
        <v>4.22</v>
      </c>
      <c r="J2097" s="7" t="s">
        <v>861</v>
      </c>
      <c r="K2097" s="5" t="s">
        <v>60</v>
      </c>
      <c r="L2097" s="11">
        <v>256</v>
      </c>
      <c r="M2097" s="11">
        <v>2014</v>
      </c>
      <c r="N2097" s="11">
        <v>2014</v>
      </c>
      <c r="O2097" s="15"/>
      <c r="P2097" s="8">
        <v>43070</v>
      </c>
      <c r="Q2097" s="8"/>
      <c r="R2097" s="8"/>
      <c r="S2097" s="8"/>
      <c r="T2097" s="8"/>
      <c r="U2097" s="8"/>
      <c r="V2097" s="8"/>
      <c r="W2097" s="8"/>
      <c r="X2097" s="8"/>
      <c r="Y2097" s="8"/>
      <c r="Z2097" s="8"/>
      <c r="AA2097" s="8"/>
      <c r="AB2097" s="8"/>
      <c r="AC2097" s="8"/>
      <c r="AD2097" s="8"/>
      <c r="AE2097" s="8"/>
      <c r="AF2097" s="8"/>
      <c r="AG2097" s="8"/>
      <c r="AH2097" s="8"/>
      <c r="AI2097" s="8"/>
      <c r="AJ2097" s="8"/>
      <c r="AK2097" s="8"/>
      <c r="AL2097" s="8"/>
      <c r="AM2097" s="8"/>
      <c r="AN2097" s="8"/>
      <c r="AO2097" s="8"/>
      <c r="AP2097" s="8"/>
      <c r="AQ2097" s="8"/>
      <c r="AR2097" s="8"/>
      <c r="AS2097" s="8"/>
      <c r="AT2097" s="8"/>
      <c r="AU2097" s="8"/>
      <c r="AV2097" s="8"/>
      <c r="AW2097" s="8"/>
      <c r="AX2097" s="4" t="s">
        <v>38</v>
      </c>
      <c r="AY2097" s="5" t="s">
        <v>9101</v>
      </c>
      <c r="AZ2097" s="5" t="s">
        <v>38</v>
      </c>
      <c r="BA2097" s="12"/>
      <c r="BB2097" s="12"/>
      <c r="BC2097" s="12"/>
      <c r="BD2097" s="11">
        <v>0</v>
      </c>
      <c r="BE2097" s="11">
        <v>0</v>
      </c>
    </row>
    <row x14ac:dyDescent="0.25" r="2098" customHeight="1" ht="17.25">
      <c r="A2098" s="11">
        <v>25330108</v>
      </c>
      <c r="B2098" s="4" t="s">
        <v>9102</v>
      </c>
      <c r="C2098" s="5" t="s">
        <v>2363</v>
      </c>
      <c r="D2098" s="5" t="s">
        <v>2364</v>
      </c>
      <c r="E2098" s="5" t="s">
        <v>9103</v>
      </c>
      <c r="F2098" s="13">
        <f>"1608465640"</f>
      </c>
      <c r="G2098" s="13">
        <f>"9781608465644"</f>
      </c>
      <c r="H2098" s="11">
        <v>0</v>
      </c>
      <c r="I2098" s="14">
        <v>4.4</v>
      </c>
      <c r="J2098" s="7" t="s">
        <v>2245</v>
      </c>
      <c r="K2098" s="5" t="s">
        <v>60</v>
      </c>
      <c r="L2098" s="11">
        <v>145</v>
      </c>
      <c r="M2098" s="11">
        <v>2016</v>
      </c>
      <c r="N2098" s="11">
        <v>2015</v>
      </c>
      <c r="O2098" s="15"/>
      <c r="P2098" s="8">
        <v>43070</v>
      </c>
      <c r="Q2098" s="8"/>
      <c r="R2098" s="8"/>
      <c r="S2098" s="8"/>
      <c r="T2098" s="8"/>
      <c r="U2098" s="8"/>
      <c r="V2098" s="8"/>
      <c r="W2098" s="8"/>
      <c r="X2098" s="8"/>
      <c r="Y2098" s="8"/>
      <c r="Z2098" s="8"/>
      <c r="AA2098" s="8"/>
      <c r="AB2098" s="8"/>
      <c r="AC2098" s="8"/>
      <c r="AD2098" s="8"/>
      <c r="AE2098" s="8"/>
      <c r="AF2098" s="8"/>
      <c r="AG2098" s="8"/>
      <c r="AH2098" s="8"/>
      <c r="AI2098" s="8"/>
      <c r="AJ2098" s="8"/>
      <c r="AK2098" s="8"/>
      <c r="AL2098" s="8"/>
      <c r="AM2098" s="8"/>
      <c r="AN2098" s="8"/>
      <c r="AO2098" s="8"/>
      <c r="AP2098" s="8"/>
      <c r="AQ2098" s="8"/>
      <c r="AR2098" s="8"/>
      <c r="AS2098" s="8"/>
      <c r="AT2098" s="8"/>
      <c r="AU2098" s="8"/>
      <c r="AV2098" s="8"/>
      <c r="AW2098" s="8"/>
      <c r="AX2098" s="4" t="s">
        <v>38</v>
      </c>
      <c r="AY2098" s="5" t="s">
        <v>9104</v>
      </c>
      <c r="AZ2098" s="5" t="s">
        <v>38</v>
      </c>
      <c r="BA2098" s="12"/>
      <c r="BB2098" s="12"/>
      <c r="BC2098" s="12"/>
      <c r="BD2098" s="11">
        <v>0</v>
      </c>
      <c r="BE2098" s="11">
        <v>0</v>
      </c>
    </row>
    <row x14ac:dyDescent="0.25" r="2099" customHeight="1" ht="17.25">
      <c r="A2099" s="11">
        <v>20646768</v>
      </c>
      <c r="B2099" s="4" t="s">
        <v>9105</v>
      </c>
      <c r="C2099" s="5" t="s">
        <v>9106</v>
      </c>
      <c r="D2099" s="5" t="s">
        <v>9107</v>
      </c>
      <c r="E2099" s="5" t="s">
        <v>9108</v>
      </c>
      <c r="F2099" s="13">
        <f>"178168488X"</f>
      </c>
      <c r="G2099" s="13">
        <f>"9781781684887"</f>
      </c>
      <c r="H2099" s="11">
        <v>0</v>
      </c>
      <c r="I2099" s="14">
        <v>4.16</v>
      </c>
      <c r="J2099" s="7" t="s">
        <v>2001</v>
      </c>
      <c r="K2099" s="5" t="s">
        <v>90</v>
      </c>
      <c r="L2099" s="11">
        <v>273</v>
      </c>
      <c r="M2099" s="11">
        <v>2013</v>
      </c>
      <c r="N2099" s="11">
        <v>2010</v>
      </c>
      <c r="O2099" s="15"/>
      <c r="P2099" s="8">
        <v>43048</v>
      </c>
      <c r="Q2099" s="8"/>
      <c r="R2099" s="8"/>
      <c r="S2099" s="8"/>
      <c r="T2099" s="8"/>
      <c r="U2099" s="8"/>
      <c r="V2099" s="8"/>
      <c r="W2099" s="8"/>
      <c r="X2099" s="8"/>
      <c r="Y2099" s="8"/>
      <c r="Z2099" s="8"/>
      <c r="AA2099" s="8"/>
      <c r="AB2099" s="8"/>
      <c r="AC2099" s="8"/>
      <c r="AD2099" s="8"/>
      <c r="AE2099" s="8"/>
      <c r="AF2099" s="8"/>
      <c r="AG2099" s="8"/>
      <c r="AH2099" s="8"/>
      <c r="AI2099" s="8"/>
      <c r="AJ2099" s="8"/>
      <c r="AK2099" s="8"/>
      <c r="AL2099" s="8"/>
      <c r="AM2099" s="8"/>
      <c r="AN2099" s="8"/>
      <c r="AO2099" s="8"/>
      <c r="AP2099" s="8"/>
      <c r="AQ2099" s="8"/>
      <c r="AR2099" s="8"/>
      <c r="AS2099" s="8"/>
      <c r="AT2099" s="8"/>
      <c r="AU2099" s="8"/>
      <c r="AV2099" s="8"/>
      <c r="AW2099" s="8"/>
      <c r="AX2099" s="4" t="s">
        <v>38</v>
      </c>
      <c r="AY2099" s="5" t="s">
        <v>9109</v>
      </c>
      <c r="AZ2099" s="5" t="s">
        <v>38</v>
      </c>
      <c r="BA2099" s="12"/>
      <c r="BB2099" s="12"/>
      <c r="BC2099" s="12"/>
      <c r="BD2099" s="11">
        <v>0</v>
      </c>
      <c r="BE2099" s="11">
        <v>0</v>
      </c>
    </row>
    <row x14ac:dyDescent="0.25" r="2100" customHeight="1" ht="17.25">
      <c r="A2100" s="11">
        <v>10236411</v>
      </c>
      <c r="B2100" s="4" t="s">
        <v>9110</v>
      </c>
      <c r="C2100" s="5" t="s">
        <v>9111</v>
      </c>
      <c r="D2100" s="5" t="s">
        <v>9112</v>
      </c>
      <c r="E2100" s="5" t="s">
        <v>9113</v>
      </c>
      <c r="F2100" s="13">
        <f>"1844676668"</f>
      </c>
      <c r="G2100" s="13">
        <f>"9781844676668"</f>
      </c>
      <c r="H2100" s="11">
        <v>0</v>
      </c>
      <c r="I2100" s="14">
        <v>3.49</v>
      </c>
      <c r="J2100" s="7" t="s">
        <v>1155</v>
      </c>
      <c r="K2100" s="5" t="s">
        <v>60</v>
      </c>
      <c r="L2100" s="11">
        <v>158</v>
      </c>
      <c r="M2100" s="11">
        <v>2011</v>
      </c>
      <c r="N2100" s="11">
        <v>1791</v>
      </c>
      <c r="O2100" s="15"/>
      <c r="P2100" s="8">
        <v>43046</v>
      </c>
      <c r="Q2100" s="8"/>
      <c r="R2100" s="8"/>
      <c r="S2100" s="8"/>
      <c r="T2100" s="8"/>
      <c r="U2100" s="8"/>
      <c r="V2100" s="8"/>
      <c r="W2100" s="8"/>
      <c r="X2100" s="8"/>
      <c r="Y2100" s="8"/>
      <c r="Z2100" s="8"/>
      <c r="AA2100" s="8"/>
      <c r="AB2100" s="8"/>
      <c r="AC2100" s="8"/>
      <c r="AD2100" s="8"/>
      <c r="AE2100" s="8"/>
      <c r="AF2100" s="8"/>
      <c r="AG2100" s="8"/>
      <c r="AH2100" s="8"/>
      <c r="AI2100" s="8"/>
      <c r="AJ2100" s="8"/>
      <c r="AK2100" s="8"/>
      <c r="AL2100" s="8"/>
      <c r="AM2100" s="8"/>
      <c r="AN2100" s="8"/>
      <c r="AO2100" s="8"/>
      <c r="AP2100" s="8"/>
      <c r="AQ2100" s="8"/>
      <c r="AR2100" s="8"/>
      <c r="AS2100" s="8"/>
      <c r="AT2100" s="8"/>
      <c r="AU2100" s="8"/>
      <c r="AV2100" s="8"/>
      <c r="AW2100" s="8"/>
      <c r="AX2100" s="4" t="s">
        <v>38</v>
      </c>
      <c r="AY2100" s="5" t="s">
        <v>9114</v>
      </c>
      <c r="AZ2100" s="5" t="s">
        <v>38</v>
      </c>
      <c r="BA2100" s="12"/>
      <c r="BB2100" s="12"/>
      <c r="BC2100" s="12"/>
      <c r="BD2100" s="11">
        <v>0</v>
      </c>
      <c r="BE2100" s="11">
        <v>0</v>
      </c>
    </row>
    <row x14ac:dyDescent="0.25" r="2101" customHeight="1" ht="17.25">
      <c r="A2101" s="11">
        <v>37327</v>
      </c>
      <c r="B2101" s="4" t="s">
        <v>9115</v>
      </c>
      <c r="C2101" s="5" t="s">
        <v>8490</v>
      </c>
      <c r="D2101" s="5" t="s">
        <v>8491</v>
      </c>
      <c r="E2101" s="5" t="s">
        <v>9116</v>
      </c>
      <c r="F2101" s="13">
        <f>"1859844480"</f>
      </c>
      <c r="G2101" s="13">
        <f>"9781859844489"</f>
      </c>
      <c r="H2101" s="11">
        <v>0</v>
      </c>
      <c r="I2101" s="14">
        <v>3.77</v>
      </c>
      <c r="J2101" s="7" t="s">
        <v>2001</v>
      </c>
      <c r="K2101" s="5" t="s">
        <v>60</v>
      </c>
      <c r="L2101" s="11">
        <v>120</v>
      </c>
      <c r="M2101" s="11">
        <v>2003</v>
      </c>
      <c r="N2101" s="11">
        <v>2001</v>
      </c>
      <c r="O2101" s="15"/>
      <c r="P2101" s="8">
        <v>43046</v>
      </c>
      <c r="Q2101" s="8"/>
      <c r="R2101" s="8"/>
      <c r="S2101" s="8"/>
      <c r="T2101" s="8"/>
      <c r="U2101" s="8"/>
      <c r="V2101" s="8"/>
      <c r="W2101" s="8"/>
      <c r="X2101" s="8"/>
      <c r="Y2101" s="8"/>
      <c r="Z2101" s="8"/>
      <c r="AA2101" s="8"/>
      <c r="AB2101" s="8"/>
      <c r="AC2101" s="8"/>
      <c r="AD2101" s="8"/>
      <c r="AE2101" s="8"/>
      <c r="AF2101" s="8"/>
      <c r="AG2101" s="8"/>
      <c r="AH2101" s="8"/>
      <c r="AI2101" s="8"/>
      <c r="AJ2101" s="8"/>
      <c r="AK2101" s="8"/>
      <c r="AL2101" s="8"/>
      <c r="AM2101" s="8"/>
      <c r="AN2101" s="8"/>
      <c r="AO2101" s="8"/>
      <c r="AP2101" s="8"/>
      <c r="AQ2101" s="8"/>
      <c r="AR2101" s="8"/>
      <c r="AS2101" s="8"/>
      <c r="AT2101" s="8"/>
      <c r="AU2101" s="8"/>
      <c r="AV2101" s="8"/>
      <c r="AW2101" s="8"/>
      <c r="AX2101" s="4" t="s">
        <v>38</v>
      </c>
      <c r="AY2101" s="5" t="s">
        <v>9117</v>
      </c>
      <c r="AZ2101" s="5" t="s">
        <v>38</v>
      </c>
      <c r="BA2101" s="12"/>
      <c r="BB2101" s="12"/>
      <c r="BC2101" s="12"/>
      <c r="BD2101" s="11">
        <v>0</v>
      </c>
      <c r="BE2101" s="11">
        <v>0</v>
      </c>
    </row>
    <row x14ac:dyDescent="0.25" r="2102" customHeight="1" ht="17.25">
      <c r="A2102" s="11">
        <v>979929</v>
      </c>
      <c r="B2102" s="4" t="s">
        <v>9118</v>
      </c>
      <c r="C2102" s="5" t="s">
        <v>9119</v>
      </c>
      <c r="D2102" s="5" t="s">
        <v>9120</v>
      </c>
      <c r="E2102" s="5" t="s">
        <v>9121</v>
      </c>
      <c r="F2102" s="13">
        <f>"0860915425"</f>
      </c>
      <c r="G2102" s="13">
        <f>"9780860915423"</f>
      </c>
      <c r="H2102" s="11">
        <v>0</v>
      </c>
      <c r="I2102" s="14">
        <v>3.9</v>
      </c>
      <c r="J2102" s="7" t="s">
        <v>2001</v>
      </c>
      <c r="K2102" s="5" t="s">
        <v>60</v>
      </c>
      <c r="L2102" s="11">
        <v>242</v>
      </c>
      <c r="M2102" s="11">
        <v>1991</v>
      </c>
      <c r="N2102" s="11">
        <v>1988</v>
      </c>
      <c r="O2102" s="15"/>
      <c r="P2102" s="8">
        <v>43046</v>
      </c>
      <c r="Q2102" s="8"/>
      <c r="R2102" s="8"/>
      <c r="S2102" s="8"/>
      <c r="T2102" s="8"/>
      <c r="U2102" s="8"/>
      <c r="V2102" s="8"/>
      <c r="W2102" s="8"/>
      <c r="X2102" s="8"/>
      <c r="Y2102" s="8"/>
      <c r="Z2102" s="8"/>
      <c r="AA2102" s="8"/>
      <c r="AB2102" s="8"/>
      <c r="AC2102" s="8"/>
      <c r="AD2102" s="8"/>
      <c r="AE2102" s="8"/>
      <c r="AF2102" s="8"/>
      <c r="AG2102" s="8"/>
      <c r="AH2102" s="8"/>
      <c r="AI2102" s="8"/>
      <c r="AJ2102" s="8"/>
      <c r="AK2102" s="8"/>
      <c r="AL2102" s="8"/>
      <c r="AM2102" s="8"/>
      <c r="AN2102" s="8"/>
      <c r="AO2102" s="8"/>
      <c r="AP2102" s="8"/>
      <c r="AQ2102" s="8"/>
      <c r="AR2102" s="8"/>
      <c r="AS2102" s="8"/>
      <c r="AT2102" s="8"/>
      <c r="AU2102" s="8"/>
      <c r="AV2102" s="8"/>
      <c r="AW2102" s="8"/>
      <c r="AX2102" s="4" t="s">
        <v>38</v>
      </c>
      <c r="AY2102" s="5" t="s">
        <v>9122</v>
      </c>
      <c r="AZ2102" s="5" t="s">
        <v>38</v>
      </c>
      <c r="BA2102" s="12"/>
      <c r="BB2102" s="12"/>
      <c r="BC2102" s="12"/>
      <c r="BD2102" s="11">
        <v>0</v>
      </c>
      <c r="BE2102" s="11">
        <v>0</v>
      </c>
    </row>
    <row x14ac:dyDescent="0.25" r="2103" customHeight="1" ht="17.25">
      <c r="A2103" s="11">
        <v>31671095</v>
      </c>
      <c r="B2103" s="4" t="s">
        <v>9123</v>
      </c>
      <c r="C2103" s="5" t="s">
        <v>9124</v>
      </c>
      <c r="D2103" s="5" t="s">
        <v>9125</v>
      </c>
      <c r="E2103" s="12"/>
      <c r="F2103" s="13">
        <f>"1786631903"</f>
      </c>
      <c r="G2103" s="13">
        <f>"9781786631909"</f>
      </c>
      <c r="H2103" s="11">
        <v>0</v>
      </c>
      <c r="I2103" s="14">
        <v>3.81</v>
      </c>
      <c r="J2103" s="7" t="s">
        <v>2001</v>
      </c>
      <c r="K2103" s="5" t="s">
        <v>60</v>
      </c>
      <c r="L2103" s="11">
        <v>336</v>
      </c>
      <c r="M2103" s="11">
        <v>2017</v>
      </c>
      <c r="N2103" s="16"/>
      <c r="O2103" s="15"/>
      <c r="P2103" s="9">
        <v>43038</v>
      </c>
      <c r="Q2103" s="9"/>
      <c r="R2103" s="9"/>
      <c r="S2103" s="9"/>
      <c r="T2103" s="9"/>
      <c r="U2103" s="9"/>
      <c r="V2103" s="9"/>
      <c r="W2103" s="9"/>
      <c r="X2103" s="9"/>
      <c r="Y2103" s="9"/>
      <c r="Z2103" s="9"/>
      <c r="AA2103" s="9"/>
      <c r="AB2103" s="9"/>
      <c r="AC2103" s="9"/>
      <c r="AD2103" s="9"/>
      <c r="AE2103" s="9"/>
      <c r="AF2103" s="9"/>
      <c r="AG2103" s="9"/>
      <c r="AH2103" s="9"/>
      <c r="AI2103" s="9"/>
      <c r="AJ2103" s="9"/>
      <c r="AK2103" s="9"/>
      <c r="AL2103" s="9"/>
      <c r="AM2103" s="9"/>
      <c r="AN2103" s="9"/>
      <c r="AO2103" s="9"/>
      <c r="AP2103" s="9"/>
      <c r="AQ2103" s="9"/>
      <c r="AR2103" s="9"/>
      <c r="AS2103" s="9"/>
      <c r="AT2103" s="9"/>
      <c r="AU2103" s="9"/>
      <c r="AV2103" s="9"/>
      <c r="AW2103" s="9"/>
      <c r="AX2103" s="4" t="s">
        <v>38</v>
      </c>
      <c r="AY2103" s="5" t="s">
        <v>9126</v>
      </c>
      <c r="AZ2103" s="5" t="s">
        <v>38</v>
      </c>
      <c r="BA2103" s="12"/>
      <c r="BB2103" s="12"/>
      <c r="BC2103" s="12"/>
      <c r="BD2103" s="11">
        <v>0</v>
      </c>
      <c r="BE2103" s="11">
        <v>0</v>
      </c>
    </row>
    <row x14ac:dyDescent="0.25" r="2104" customHeight="1" ht="17.25">
      <c r="A2104" s="11">
        <v>32303187</v>
      </c>
      <c r="B2104" s="4" t="s">
        <v>9127</v>
      </c>
      <c r="C2104" s="5" t="s">
        <v>9128</v>
      </c>
      <c r="D2104" s="5" t="s">
        <v>9129</v>
      </c>
      <c r="E2104" s="5" t="s">
        <v>9130</v>
      </c>
      <c r="F2104" s="13">
        <f>"1784787191"</f>
      </c>
      <c r="G2104" s="13">
        <f>"9781784787196"</f>
      </c>
      <c r="H2104" s="11">
        <v>0</v>
      </c>
      <c r="I2104" s="14">
        <v>3.71</v>
      </c>
      <c r="J2104" s="7" t="s">
        <v>1155</v>
      </c>
      <c r="K2104" s="5" t="s">
        <v>60</v>
      </c>
      <c r="L2104" s="11">
        <v>164</v>
      </c>
      <c r="M2104" s="11">
        <v>2017</v>
      </c>
      <c r="N2104" s="11">
        <v>2014</v>
      </c>
      <c r="O2104" s="15"/>
      <c r="P2104" s="9">
        <v>43038</v>
      </c>
      <c r="Q2104" s="9"/>
      <c r="R2104" s="9"/>
      <c r="S2104" s="9"/>
      <c r="T2104" s="9"/>
      <c r="U2104" s="9"/>
      <c r="V2104" s="9"/>
      <c r="W2104" s="9"/>
      <c r="X2104" s="9"/>
      <c r="Y2104" s="9"/>
      <c r="Z2104" s="9"/>
      <c r="AA2104" s="9"/>
      <c r="AB2104" s="9"/>
      <c r="AC2104" s="9"/>
      <c r="AD2104" s="9"/>
      <c r="AE2104" s="9"/>
      <c r="AF2104" s="9"/>
      <c r="AG2104" s="9"/>
      <c r="AH2104" s="9"/>
      <c r="AI2104" s="9"/>
      <c r="AJ2104" s="9"/>
      <c r="AK2104" s="9"/>
      <c r="AL2104" s="9"/>
      <c r="AM2104" s="9"/>
      <c r="AN2104" s="9"/>
      <c r="AO2104" s="9"/>
      <c r="AP2104" s="9"/>
      <c r="AQ2104" s="9"/>
      <c r="AR2104" s="9"/>
      <c r="AS2104" s="9"/>
      <c r="AT2104" s="9"/>
      <c r="AU2104" s="9"/>
      <c r="AV2104" s="9"/>
      <c r="AW2104" s="9"/>
      <c r="AX2104" s="4" t="s">
        <v>38</v>
      </c>
      <c r="AY2104" s="5" t="s">
        <v>9131</v>
      </c>
      <c r="AZ2104" s="5" t="s">
        <v>38</v>
      </c>
      <c r="BA2104" s="12"/>
      <c r="BB2104" s="12"/>
      <c r="BC2104" s="12"/>
      <c r="BD2104" s="11">
        <v>0</v>
      </c>
      <c r="BE2104" s="11">
        <v>0</v>
      </c>
    </row>
    <row x14ac:dyDescent="0.25" r="2105" customHeight="1" ht="17.25">
      <c r="A2105" s="11">
        <v>35403039</v>
      </c>
      <c r="B2105" s="4" t="s">
        <v>9132</v>
      </c>
      <c r="C2105" s="5" t="s">
        <v>9133</v>
      </c>
      <c r="D2105" s="5" t="s">
        <v>9134</v>
      </c>
      <c r="E2105" s="12"/>
      <c r="F2105" s="13">
        <f>""</f>
      </c>
      <c r="G2105" s="13">
        <f>""</f>
      </c>
      <c r="H2105" s="11">
        <v>0</v>
      </c>
      <c r="I2105" s="14">
        <v>4.19</v>
      </c>
      <c r="J2105" s="7" t="s">
        <v>2001</v>
      </c>
      <c r="K2105" s="5" t="s">
        <v>90</v>
      </c>
      <c r="L2105" s="11">
        <v>273</v>
      </c>
      <c r="M2105" s="11">
        <v>2017</v>
      </c>
      <c r="N2105" s="11">
        <v>2017</v>
      </c>
      <c r="O2105" s="15"/>
      <c r="P2105" s="9">
        <v>43038</v>
      </c>
      <c r="Q2105" s="9"/>
      <c r="R2105" s="9"/>
      <c r="S2105" s="9"/>
      <c r="T2105" s="9"/>
      <c r="U2105" s="9"/>
      <c r="V2105" s="9"/>
      <c r="W2105" s="9"/>
      <c r="X2105" s="9"/>
      <c r="Y2105" s="9"/>
      <c r="Z2105" s="9"/>
      <c r="AA2105" s="9"/>
      <c r="AB2105" s="9"/>
      <c r="AC2105" s="9"/>
      <c r="AD2105" s="9"/>
      <c r="AE2105" s="9"/>
      <c r="AF2105" s="9"/>
      <c r="AG2105" s="9"/>
      <c r="AH2105" s="9"/>
      <c r="AI2105" s="9"/>
      <c r="AJ2105" s="9"/>
      <c r="AK2105" s="9"/>
      <c r="AL2105" s="9"/>
      <c r="AM2105" s="9"/>
      <c r="AN2105" s="9"/>
      <c r="AO2105" s="9"/>
      <c r="AP2105" s="9"/>
      <c r="AQ2105" s="9"/>
      <c r="AR2105" s="9"/>
      <c r="AS2105" s="9"/>
      <c r="AT2105" s="9"/>
      <c r="AU2105" s="9"/>
      <c r="AV2105" s="9"/>
      <c r="AW2105" s="9"/>
      <c r="AX2105" s="4" t="s">
        <v>38</v>
      </c>
      <c r="AY2105" s="5" t="s">
        <v>9135</v>
      </c>
      <c r="AZ2105" s="5" t="s">
        <v>38</v>
      </c>
      <c r="BA2105" s="12"/>
      <c r="BB2105" s="12"/>
      <c r="BC2105" s="12"/>
      <c r="BD2105" s="11">
        <v>0</v>
      </c>
      <c r="BE2105" s="11">
        <v>0</v>
      </c>
    </row>
    <row x14ac:dyDescent="0.25" r="2106" customHeight="1" ht="17.25">
      <c r="A2106" s="11">
        <v>28686813</v>
      </c>
      <c r="B2106" s="4" t="s">
        <v>9136</v>
      </c>
      <c r="C2106" s="5" t="s">
        <v>9137</v>
      </c>
      <c r="D2106" s="5" t="s">
        <v>9138</v>
      </c>
      <c r="E2106" s="12"/>
      <c r="F2106" s="13">
        <f>"1784784729"</f>
      </c>
      <c r="G2106" s="13">
        <f>"9781784784720"</f>
      </c>
      <c r="H2106" s="11">
        <v>0</v>
      </c>
      <c r="I2106" s="14">
        <v>4.02</v>
      </c>
      <c r="J2106" s="7" t="s">
        <v>2001</v>
      </c>
      <c r="K2106" s="5" t="s">
        <v>96</v>
      </c>
      <c r="L2106" s="11">
        <v>224</v>
      </c>
      <c r="M2106" s="11">
        <v>2016</v>
      </c>
      <c r="N2106" s="11">
        <v>2016</v>
      </c>
      <c r="O2106" s="15"/>
      <c r="P2106" s="9">
        <v>43038</v>
      </c>
      <c r="Q2106" s="9"/>
      <c r="R2106" s="9"/>
      <c r="S2106" s="9"/>
      <c r="T2106" s="9"/>
      <c r="U2106" s="9"/>
      <c r="V2106" s="9"/>
      <c r="W2106" s="9"/>
      <c r="X2106" s="9"/>
      <c r="Y2106" s="9"/>
      <c r="Z2106" s="9"/>
      <c r="AA2106" s="9"/>
      <c r="AB2106" s="9"/>
      <c r="AC2106" s="9"/>
      <c r="AD2106" s="9"/>
      <c r="AE2106" s="9"/>
      <c r="AF2106" s="9"/>
      <c r="AG2106" s="9"/>
      <c r="AH2106" s="9"/>
      <c r="AI2106" s="9"/>
      <c r="AJ2106" s="9"/>
      <c r="AK2106" s="9"/>
      <c r="AL2106" s="9"/>
      <c r="AM2106" s="9"/>
      <c r="AN2106" s="9"/>
      <c r="AO2106" s="9"/>
      <c r="AP2106" s="9"/>
      <c r="AQ2106" s="9"/>
      <c r="AR2106" s="9"/>
      <c r="AS2106" s="9"/>
      <c r="AT2106" s="9"/>
      <c r="AU2106" s="9"/>
      <c r="AV2106" s="9"/>
      <c r="AW2106" s="9"/>
      <c r="AX2106" s="4" t="s">
        <v>38</v>
      </c>
      <c r="AY2106" s="5" t="s">
        <v>9139</v>
      </c>
      <c r="AZ2106" s="5" t="s">
        <v>38</v>
      </c>
      <c r="BA2106" s="12"/>
      <c r="BB2106" s="12"/>
      <c r="BC2106" s="12"/>
      <c r="BD2106" s="11">
        <v>0</v>
      </c>
      <c r="BE2106" s="11">
        <v>0</v>
      </c>
    </row>
    <row x14ac:dyDescent="0.25" r="2107" customHeight="1" ht="17.25">
      <c r="A2107" s="11">
        <v>28439474</v>
      </c>
      <c r="B2107" s="4" t="s">
        <v>9140</v>
      </c>
      <c r="C2107" s="5" t="s">
        <v>9141</v>
      </c>
      <c r="D2107" s="5" t="s">
        <v>9142</v>
      </c>
      <c r="E2107" s="12"/>
      <c r="F2107" s="13">
        <f>"1784785717"</f>
      </c>
      <c r="G2107" s="13">
        <f>"9781784785710"</f>
      </c>
      <c r="H2107" s="11">
        <v>0</v>
      </c>
      <c r="I2107" s="14">
        <v>4.08</v>
      </c>
      <c r="J2107" s="7" t="s">
        <v>2001</v>
      </c>
      <c r="K2107" s="5" t="s">
        <v>96</v>
      </c>
      <c r="L2107" s="11">
        <v>448</v>
      </c>
      <c r="M2107" s="11">
        <v>2016</v>
      </c>
      <c r="N2107" s="11">
        <v>2016</v>
      </c>
      <c r="O2107" s="15"/>
      <c r="P2107" s="9">
        <v>43038</v>
      </c>
      <c r="Q2107" s="9"/>
      <c r="R2107" s="9"/>
      <c r="S2107" s="9"/>
      <c r="T2107" s="9"/>
      <c r="U2107" s="9"/>
      <c r="V2107" s="9"/>
      <c r="W2107" s="9"/>
      <c r="X2107" s="9"/>
      <c r="Y2107" s="9"/>
      <c r="Z2107" s="9"/>
      <c r="AA2107" s="9"/>
      <c r="AB2107" s="9"/>
      <c r="AC2107" s="9"/>
      <c r="AD2107" s="9"/>
      <c r="AE2107" s="9"/>
      <c r="AF2107" s="9"/>
      <c r="AG2107" s="9"/>
      <c r="AH2107" s="9"/>
      <c r="AI2107" s="9"/>
      <c r="AJ2107" s="9"/>
      <c r="AK2107" s="9"/>
      <c r="AL2107" s="9"/>
      <c r="AM2107" s="9"/>
      <c r="AN2107" s="9"/>
      <c r="AO2107" s="9"/>
      <c r="AP2107" s="9"/>
      <c r="AQ2107" s="9"/>
      <c r="AR2107" s="9"/>
      <c r="AS2107" s="9"/>
      <c r="AT2107" s="9"/>
      <c r="AU2107" s="9"/>
      <c r="AV2107" s="9"/>
      <c r="AW2107" s="9"/>
      <c r="AX2107" s="4" t="s">
        <v>38</v>
      </c>
      <c r="AY2107" s="5" t="s">
        <v>9143</v>
      </c>
      <c r="AZ2107" s="5" t="s">
        <v>38</v>
      </c>
      <c r="BA2107" s="12"/>
      <c r="BB2107" s="12"/>
      <c r="BC2107" s="12"/>
      <c r="BD2107" s="11">
        <v>0</v>
      </c>
      <c r="BE2107" s="11">
        <v>0</v>
      </c>
    </row>
    <row x14ac:dyDescent="0.25" r="2108" customHeight="1" ht="17.25">
      <c r="A2108" s="11">
        <v>701359</v>
      </c>
      <c r="B2108" s="4" t="s">
        <v>9144</v>
      </c>
      <c r="C2108" s="5" t="s">
        <v>9145</v>
      </c>
      <c r="D2108" s="5" t="s">
        <v>9146</v>
      </c>
      <c r="E2108" s="12"/>
      <c r="F2108" s="13">
        <f>"0198296428"</f>
      </c>
      <c r="G2108" s="13">
        <f>"9780198296423"</f>
      </c>
      <c r="H2108" s="11">
        <v>0</v>
      </c>
      <c r="I2108" s="14">
        <v>3.93</v>
      </c>
      <c r="J2108" s="7" t="s">
        <v>245</v>
      </c>
      <c r="K2108" s="5" t="s">
        <v>60</v>
      </c>
      <c r="L2108" s="11">
        <v>328</v>
      </c>
      <c r="M2108" s="11">
        <v>1999</v>
      </c>
      <c r="N2108" s="11">
        <v>1997</v>
      </c>
      <c r="O2108" s="15"/>
      <c r="P2108" s="9">
        <v>43035</v>
      </c>
      <c r="Q2108" s="9"/>
      <c r="R2108" s="9"/>
      <c r="S2108" s="9"/>
      <c r="T2108" s="9"/>
      <c r="U2108" s="9"/>
      <c r="V2108" s="9"/>
      <c r="W2108" s="9"/>
      <c r="X2108" s="9"/>
      <c r="Y2108" s="9"/>
      <c r="Z2108" s="9"/>
      <c r="AA2108" s="9"/>
      <c r="AB2108" s="9"/>
      <c r="AC2108" s="9"/>
      <c r="AD2108" s="9"/>
      <c r="AE2108" s="9"/>
      <c r="AF2108" s="9"/>
      <c r="AG2108" s="9"/>
      <c r="AH2108" s="9"/>
      <c r="AI2108" s="9"/>
      <c r="AJ2108" s="9"/>
      <c r="AK2108" s="9"/>
      <c r="AL2108" s="9"/>
      <c r="AM2108" s="9"/>
      <c r="AN2108" s="9"/>
      <c r="AO2108" s="9"/>
      <c r="AP2108" s="9"/>
      <c r="AQ2108" s="9"/>
      <c r="AR2108" s="9"/>
      <c r="AS2108" s="9"/>
      <c r="AT2108" s="9"/>
      <c r="AU2108" s="9"/>
      <c r="AV2108" s="9"/>
      <c r="AW2108" s="9"/>
      <c r="AX2108" s="4" t="s">
        <v>38</v>
      </c>
      <c r="AY2108" s="5" t="s">
        <v>9147</v>
      </c>
      <c r="AZ2108" s="5" t="s">
        <v>38</v>
      </c>
      <c r="BA2108" s="12"/>
      <c r="BB2108" s="12"/>
      <c r="BC2108" s="12"/>
      <c r="BD2108" s="11">
        <v>0</v>
      </c>
      <c r="BE2108" s="11">
        <v>0</v>
      </c>
    </row>
    <row x14ac:dyDescent="0.25" r="2109" customHeight="1" ht="17.25">
      <c r="A2109" s="11">
        <v>72657</v>
      </c>
      <c r="B2109" s="4" t="s">
        <v>9148</v>
      </c>
      <c r="C2109" s="5" t="s">
        <v>9149</v>
      </c>
      <c r="D2109" s="5" t="s">
        <v>9150</v>
      </c>
      <c r="E2109" s="5" t="s">
        <v>9151</v>
      </c>
      <c r="F2109" s="13">
        <f>"0826412769"</f>
      </c>
      <c r="G2109" s="13">
        <f>"9780826412768"</f>
      </c>
      <c r="H2109" s="11">
        <v>0</v>
      </c>
      <c r="I2109" s="14">
        <v>4.3</v>
      </c>
      <c r="J2109" s="7" t="s">
        <v>8992</v>
      </c>
      <c r="K2109" s="5" t="s">
        <v>60</v>
      </c>
      <c r="L2109" s="11">
        <v>183</v>
      </c>
      <c r="M2109" s="11">
        <v>2000</v>
      </c>
      <c r="N2109" s="11">
        <v>1968</v>
      </c>
      <c r="O2109" s="15"/>
      <c r="P2109" s="9">
        <v>43032</v>
      </c>
      <c r="Q2109" s="9"/>
      <c r="R2109" s="9"/>
      <c r="S2109" s="9"/>
      <c r="T2109" s="9"/>
      <c r="U2109" s="9"/>
      <c r="V2109" s="9"/>
      <c r="W2109" s="9"/>
      <c r="X2109" s="9"/>
      <c r="Y2109" s="9"/>
      <c r="Z2109" s="9"/>
      <c r="AA2109" s="9"/>
      <c r="AB2109" s="9"/>
      <c r="AC2109" s="9"/>
      <c r="AD2109" s="9"/>
      <c r="AE2109" s="9"/>
      <c r="AF2109" s="9"/>
      <c r="AG2109" s="9"/>
      <c r="AH2109" s="9"/>
      <c r="AI2109" s="9"/>
      <c r="AJ2109" s="9"/>
      <c r="AK2109" s="9"/>
      <c r="AL2109" s="9"/>
      <c r="AM2109" s="9"/>
      <c r="AN2109" s="9"/>
      <c r="AO2109" s="9"/>
      <c r="AP2109" s="9"/>
      <c r="AQ2109" s="9"/>
      <c r="AR2109" s="9"/>
      <c r="AS2109" s="9"/>
      <c r="AT2109" s="9"/>
      <c r="AU2109" s="9"/>
      <c r="AV2109" s="9"/>
      <c r="AW2109" s="9"/>
      <c r="AX2109" s="4" t="s">
        <v>38</v>
      </c>
      <c r="AY2109" s="5" t="s">
        <v>9152</v>
      </c>
      <c r="AZ2109" s="5" t="s">
        <v>38</v>
      </c>
      <c r="BA2109" s="12"/>
      <c r="BB2109" s="12"/>
      <c r="BC2109" s="12"/>
      <c r="BD2109" s="11">
        <v>0</v>
      </c>
      <c r="BE2109" s="11">
        <v>0</v>
      </c>
    </row>
    <row x14ac:dyDescent="0.25" r="2110" customHeight="1" ht="17.25">
      <c r="A2110" s="11">
        <v>20696006</v>
      </c>
      <c r="B2110" s="4" t="s">
        <v>9153</v>
      </c>
      <c r="C2110" s="5" t="s">
        <v>9154</v>
      </c>
      <c r="D2110" s="5" t="s">
        <v>9155</v>
      </c>
      <c r="E2110" s="12"/>
      <c r="F2110" s="13">
        <f>"0805095152"</f>
      </c>
      <c r="G2110" s="13">
        <f>"9780805095159"</f>
      </c>
      <c r="H2110" s="11">
        <v>0</v>
      </c>
      <c r="I2110" s="14">
        <v>4.48</v>
      </c>
      <c r="J2110" s="7" t="s">
        <v>9156</v>
      </c>
      <c r="K2110" s="5" t="s">
        <v>72</v>
      </c>
      <c r="L2110" s="11">
        <v>282</v>
      </c>
      <c r="M2110" s="11">
        <v>2014</v>
      </c>
      <c r="N2110" s="11">
        <v>2014</v>
      </c>
      <c r="O2110" s="15"/>
      <c r="P2110" s="9">
        <v>43032</v>
      </c>
      <c r="Q2110" s="9"/>
      <c r="R2110" s="9"/>
      <c r="S2110" s="9"/>
      <c r="T2110" s="9"/>
      <c r="U2110" s="9"/>
      <c r="V2110" s="9"/>
      <c r="W2110" s="9"/>
      <c r="X2110" s="9"/>
      <c r="Y2110" s="9"/>
      <c r="Z2110" s="9"/>
      <c r="AA2110" s="9"/>
      <c r="AB2110" s="9"/>
      <c r="AC2110" s="9"/>
      <c r="AD2110" s="9"/>
      <c r="AE2110" s="9"/>
      <c r="AF2110" s="9"/>
      <c r="AG2110" s="9"/>
      <c r="AH2110" s="9"/>
      <c r="AI2110" s="9"/>
      <c r="AJ2110" s="9"/>
      <c r="AK2110" s="9"/>
      <c r="AL2110" s="9"/>
      <c r="AM2110" s="9"/>
      <c r="AN2110" s="9"/>
      <c r="AO2110" s="9"/>
      <c r="AP2110" s="9"/>
      <c r="AQ2110" s="9"/>
      <c r="AR2110" s="9"/>
      <c r="AS2110" s="9"/>
      <c r="AT2110" s="9"/>
      <c r="AU2110" s="9"/>
      <c r="AV2110" s="9"/>
      <c r="AW2110" s="9"/>
      <c r="AX2110" s="4" t="s">
        <v>38</v>
      </c>
      <c r="AY2110" s="5" t="s">
        <v>9157</v>
      </c>
      <c r="AZ2110" s="5" t="s">
        <v>38</v>
      </c>
      <c r="BA2110" s="12"/>
      <c r="BB2110" s="12"/>
      <c r="BC2110" s="12"/>
      <c r="BD2110" s="11">
        <v>0</v>
      </c>
      <c r="BE2110" s="11">
        <v>0</v>
      </c>
    </row>
    <row x14ac:dyDescent="0.25" r="2111" customHeight="1" ht="17.25">
      <c r="A2111" s="11">
        <v>1003878</v>
      </c>
      <c r="B2111" s="4" t="s">
        <v>9158</v>
      </c>
      <c r="C2111" s="5" t="s">
        <v>9159</v>
      </c>
      <c r="D2111" s="5" t="s">
        <v>9160</v>
      </c>
      <c r="E2111" s="12"/>
      <c r="F2111" s="13">
        <f>"1904859585"</f>
      </c>
      <c r="G2111" s="13">
        <f>"9781904859581"</f>
      </c>
      <c r="H2111" s="11">
        <v>0</v>
      </c>
      <c r="I2111" s="14">
        <v>3.92</v>
      </c>
      <c r="J2111" s="7" t="s">
        <v>3662</v>
      </c>
      <c r="K2111" s="5" t="s">
        <v>60</v>
      </c>
      <c r="L2111" s="11">
        <v>255</v>
      </c>
      <c r="M2111" s="11">
        <v>2006</v>
      </c>
      <c r="N2111" s="11">
        <v>2006</v>
      </c>
      <c r="O2111" s="15"/>
      <c r="P2111" s="9">
        <v>43022</v>
      </c>
      <c r="Q2111" s="9"/>
      <c r="R2111" s="9"/>
      <c r="S2111" s="9"/>
      <c r="T2111" s="9"/>
      <c r="U2111" s="9"/>
      <c r="V2111" s="9"/>
      <c r="W2111" s="9"/>
      <c r="X2111" s="9"/>
      <c r="Y2111" s="9"/>
      <c r="Z2111" s="9"/>
      <c r="AA2111" s="9"/>
      <c r="AB2111" s="9"/>
      <c r="AC2111" s="9"/>
      <c r="AD2111" s="9"/>
      <c r="AE2111" s="9"/>
      <c r="AF2111" s="9"/>
      <c r="AG2111" s="9"/>
      <c r="AH2111" s="9"/>
      <c r="AI2111" s="9"/>
      <c r="AJ2111" s="9"/>
      <c r="AK2111" s="9"/>
      <c r="AL2111" s="9"/>
      <c r="AM2111" s="9"/>
      <c r="AN2111" s="9"/>
      <c r="AO2111" s="9"/>
      <c r="AP2111" s="9"/>
      <c r="AQ2111" s="9"/>
      <c r="AR2111" s="9"/>
      <c r="AS2111" s="9"/>
      <c r="AT2111" s="9"/>
      <c r="AU2111" s="9"/>
      <c r="AV2111" s="9"/>
      <c r="AW2111" s="9"/>
      <c r="AX2111" s="4" t="s">
        <v>38</v>
      </c>
      <c r="AY2111" s="5" t="s">
        <v>9161</v>
      </c>
      <c r="AZ2111" s="5" t="s">
        <v>38</v>
      </c>
      <c r="BA2111" s="12"/>
      <c r="BB2111" s="12"/>
      <c r="BC2111" s="12"/>
      <c r="BD2111" s="11">
        <v>0</v>
      </c>
      <c r="BE2111" s="11">
        <v>0</v>
      </c>
    </row>
    <row x14ac:dyDescent="0.25" r="2112" customHeight="1" ht="17.25">
      <c r="A2112" s="11">
        <v>285813</v>
      </c>
      <c r="B2112" s="4" t="s">
        <v>9162</v>
      </c>
      <c r="C2112" s="5" t="s">
        <v>9163</v>
      </c>
      <c r="D2112" s="5" t="s">
        <v>9164</v>
      </c>
      <c r="E2112" s="5" t="s">
        <v>7632</v>
      </c>
      <c r="F2112" s="13">
        <f>"0822333716"</f>
      </c>
      <c r="G2112" s="13">
        <f>"9780822333715"</f>
      </c>
      <c r="H2112" s="11">
        <v>0</v>
      </c>
      <c r="I2112" s="14">
        <v>4.1</v>
      </c>
      <c r="J2112" s="7" t="s">
        <v>926</v>
      </c>
      <c r="K2112" s="5" t="s">
        <v>60</v>
      </c>
      <c r="L2112" s="11">
        <v>480</v>
      </c>
      <c r="M2112" s="11">
        <v>2004</v>
      </c>
      <c r="N2112" s="11">
        <v>1999</v>
      </c>
      <c r="O2112" s="15"/>
      <c r="P2112" s="9">
        <v>43020</v>
      </c>
      <c r="Q2112" s="9"/>
      <c r="R2112" s="9"/>
      <c r="S2112" s="9"/>
      <c r="T2112" s="9"/>
      <c r="U2112" s="9"/>
      <c r="V2112" s="9"/>
      <c r="W2112" s="9"/>
      <c r="X2112" s="9"/>
      <c r="Y2112" s="9"/>
      <c r="Z2112" s="9"/>
      <c r="AA2112" s="9"/>
      <c r="AB2112" s="9"/>
      <c r="AC2112" s="9"/>
      <c r="AD2112" s="9"/>
      <c r="AE2112" s="9"/>
      <c r="AF2112" s="9"/>
      <c r="AG2112" s="9"/>
      <c r="AH2112" s="9"/>
      <c r="AI2112" s="9"/>
      <c r="AJ2112" s="9"/>
      <c r="AK2112" s="9"/>
      <c r="AL2112" s="9"/>
      <c r="AM2112" s="9"/>
      <c r="AN2112" s="9"/>
      <c r="AO2112" s="9"/>
      <c r="AP2112" s="9"/>
      <c r="AQ2112" s="9"/>
      <c r="AR2112" s="9"/>
      <c r="AS2112" s="9"/>
      <c r="AT2112" s="9"/>
      <c r="AU2112" s="9"/>
      <c r="AV2112" s="9"/>
      <c r="AW2112" s="9"/>
      <c r="AX2112" s="4" t="s">
        <v>38</v>
      </c>
      <c r="AY2112" s="5" t="s">
        <v>9165</v>
      </c>
      <c r="AZ2112" s="5" t="s">
        <v>38</v>
      </c>
      <c r="BA2112" s="12"/>
      <c r="BB2112" s="12"/>
      <c r="BC2112" s="12"/>
      <c r="BD2112" s="11">
        <v>0</v>
      </c>
      <c r="BE2112" s="11">
        <v>0</v>
      </c>
    </row>
    <row x14ac:dyDescent="0.25" r="2113" customHeight="1" ht="17.25">
      <c r="A2113" s="11">
        <v>34122264</v>
      </c>
      <c r="B2113" s="4" t="s">
        <v>3276</v>
      </c>
      <c r="C2113" s="5" t="s">
        <v>3277</v>
      </c>
      <c r="D2113" s="5" t="s">
        <v>3278</v>
      </c>
      <c r="E2113" s="12"/>
      <c r="F2113" s="13">
        <f>"0195390172"</f>
      </c>
      <c r="G2113" s="13">
        <f>"9780195390179"</f>
      </c>
      <c r="H2113" s="11">
        <v>0</v>
      </c>
      <c r="I2113" s="14">
        <v>4.41</v>
      </c>
      <c r="J2113" s="7" t="s">
        <v>245</v>
      </c>
      <c r="K2113" s="5" t="s">
        <v>72</v>
      </c>
      <c r="L2113" s="11">
        <v>274</v>
      </c>
      <c r="M2113" s="11">
        <v>2017</v>
      </c>
      <c r="N2113" s="11">
        <v>2017</v>
      </c>
      <c r="O2113" s="15"/>
      <c r="P2113" s="8">
        <v>42977</v>
      </c>
      <c r="Q2113" s="8"/>
      <c r="R2113" s="8"/>
      <c r="S2113" s="8"/>
      <c r="T2113" s="8"/>
      <c r="U2113" s="8"/>
      <c r="V2113" s="8"/>
      <c r="W2113" s="8"/>
      <c r="X2113" s="8"/>
      <c r="Y2113" s="8"/>
      <c r="Z2113" s="8"/>
      <c r="AA2113" s="8"/>
      <c r="AB2113" s="8"/>
      <c r="AC2113" s="8"/>
      <c r="AD2113" s="8"/>
      <c r="AE2113" s="8"/>
      <c r="AF2113" s="8"/>
      <c r="AG2113" s="8"/>
      <c r="AH2113" s="8"/>
      <c r="AI2113" s="8"/>
      <c r="AJ2113" s="8"/>
      <c r="AK2113" s="8"/>
      <c r="AL2113" s="8"/>
      <c r="AM2113" s="8"/>
      <c r="AN2113" s="8"/>
      <c r="AO2113" s="8"/>
      <c r="AP2113" s="8"/>
      <c r="AQ2113" s="8"/>
      <c r="AR2113" s="8"/>
      <c r="AS2113" s="8"/>
      <c r="AT2113" s="8"/>
      <c r="AU2113" s="8"/>
      <c r="AV2113" s="8"/>
      <c r="AW2113" s="8"/>
      <c r="AX2113" s="4" t="s">
        <v>38</v>
      </c>
      <c r="AY2113" s="5" t="s">
        <v>9166</v>
      </c>
      <c r="AZ2113" s="5" t="s">
        <v>38</v>
      </c>
      <c r="BA2113" s="12"/>
      <c r="BB2113" s="12"/>
      <c r="BC2113" s="12"/>
      <c r="BD2113" s="11">
        <v>0</v>
      </c>
      <c r="BE2113" s="11">
        <v>0</v>
      </c>
    </row>
    <row x14ac:dyDescent="0.25" r="2114" customHeight="1" ht="17.25">
      <c r="A2114" s="11">
        <v>22104547</v>
      </c>
      <c r="B2114" s="4" t="s">
        <v>9167</v>
      </c>
      <c r="C2114" s="5" t="s">
        <v>9168</v>
      </c>
      <c r="D2114" s="5" t="s">
        <v>9169</v>
      </c>
      <c r="E2114" s="12"/>
      <c r="F2114" s="13">
        <f>"0262027550"</f>
      </c>
      <c r="G2114" s="13">
        <f>"9780262027557"</f>
      </c>
      <c r="H2114" s="11">
        <v>0</v>
      </c>
      <c r="I2114" s="14">
        <v>3.83</v>
      </c>
      <c r="J2114" s="7" t="s">
        <v>5371</v>
      </c>
      <c r="K2114" s="5" t="s">
        <v>72</v>
      </c>
      <c r="L2114" s="11">
        <v>304</v>
      </c>
      <c r="M2114" s="11">
        <v>2014</v>
      </c>
      <c r="N2114" s="11">
        <v>2014</v>
      </c>
      <c r="O2114" s="15"/>
      <c r="P2114" s="8">
        <v>42966</v>
      </c>
      <c r="Q2114" s="8"/>
      <c r="R2114" s="8"/>
      <c r="S2114" s="8"/>
      <c r="T2114" s="8"/>
      <c r="U2114" s="8"/>
      <c r="V2114" s="8"/>
      <c r="W2114" s="8"/>
      <c r="X2114" s="8"/>
      <c r="Y2114" s="8"/>
      <c r="Z2114" s="8"/>
      <c r="AA2114" s="8"/>
      <c r="AB2114" s="8"/>
      <c r="AC2114" s="8"/>
      <c r="AD2114" s="8"/>
      <c r="AE2114" s="8"/>
      <c r="AF2114" s="8"/>
      <c r="AG2114" s="8"/>
      <c r="AH2114" s="8"/>
      <c r="AI2114" s="8"/>
      <c r="AJ2114" s="8"/>
      <c r="AK2114" s="8"/>
      <c r="AL2114" s="8"/>
      <c r="AM2114" s="8"/>
      <c r="AN2114" s="8"/>
      <c r="AO2114" s="8"/>
      <c r="AP2114" s="8"/>
      <c r="AQ2114" s="8"/>
      <c r="AR2114" s="8"/>
      <c r="AS2114" s="8"/>
      <c r="AT2114" s="8"/>
      <c r="AU2114" s="8"/>
      <c r="AV2114" s="8"/>
      <c r="AW2114" s="8"/>
      <c r="AX2114" s="4" t="s">
        <v>38</v>
      </c>
      <c r="AY2114" s="5" t="s">
        <v>9170</v>
      </c>
      <c r="AZ2114" s="5" t="s">
        <v>38</v>
      </c>
      <c r="BA2114" s="12"/>
      <c r="BB2114" s="12"/>
      <c r="BC2114" s="12"/>
      <c r="BD2114" s="11">
        <v>0</v>
      </c>
      <c r="BE2114" s="11">
        <v>0</v>
      </c>
    </row>
    <row x14ac:dyDescent="0.25" r="2115" customHeight="1" ht="17.25">
      <c r="A2115" s="11">
        <v>30652247</v>
      </c>
      <c r="B2115" s="4" t="s">
        <v>9171</v>
      </c>
      <c r="C2115" s="5" t="s">
        <v>9172</v>
      </c>
      <c r="D2115" s="5" t="s">
        <v>9173</v>
      </c>
      <c r="E2115" s="5" t="s">
        <v>9174</v>
      </c>
      <c r="F2115" s="13">
        <f>"1568585233"</f>
      </c>
      <c r="G2115" s="13">
        <f>"9781568585239"</f>
      </c>
      <c r="H2115" s="11">
        <v>0</v>
      </c>
      <c r="I2115" s="14">
        <v>4.1</v>
      </c>
      <c r="J2115" s="7" t="s">
        <v>739</v>
      </c>
      <c r="K2115" s="5" t="s">
        <v>72</v>
      </c>
      <c r="L2115" s="11">
        <v>272</v>
      </c>
      <c r="M2115" s="11">
        <v>2017</v>
      </c>
      <c r="N2115" s="11">
        <v>2017</v>
      </c>
      <c r="O2115" s="15"/>
      <c r="P2115" s="8">
        <v>42958</v>
      </c>
      <c r="Q2115" s="8"/>
      <c r="R2115" s="8"/>
      <c r="S2115" s="8"/>
      <c r="T2115" s="8"/>
      <c r="U2115" s="8"/>
      <c r="V2115" s="8"/>
      <c r="W2115" s="8"/>
      <c r="X2115" s="8"/>
      <c r="Y2115" s="8"/>
      <c r="Z2115" s="8"/>
      <c r="AA2115" s="8"/>
      <c r="AB2115" s="8"/>
      <c r="AC2115" s="8"/>
      <c r="AD2115" s="8"/>
      <c r="AE2115" s="8"/>
      <c r="AF2115" s="8"/>
      <c r="AG2115" s="8"/>
      <c r="AH2115" s="8"/>
      <c r="AI2115" s="8"/>
      <c r="AJ2115" s="8"/>
      <c r="AK2115" s="8"/>
      <c r="AL2115" s="8"/>
      <c r="AM2115" s="8"/>
      <c r="AN2115" s="8"/>
      <c r="AO2115" s="8"/>
      <c r="AP2115" s="8"/>
      <c r="AQ2115" s="8"/>
      <c r="AR2115" s="8"/>
      <c r="AS2115" s="8"/>
      <c r="AT2115" s="8"/>
      <c r="AU2115" s="8"/>
      <c r="AV2115" s="8"/>
      <c r="AW2115" s="8"/>
      <c r="AX2115" s="4" t="s">
        <v>38</v>
      </c>
      <c r="AY2115" s="5" t="s">
        <v>9175</v>
      </c>
      <c r="AZ2115" s="5" t="s">
        <v>38</v>
      </c>
      <c r="BA2115" s="12"/>
      <c r="BB2115" s="12"/>
      <c r="BC2115" s="12"/>
      <c r="BD2115" s="11">
        <v>0</v>
      </c>
      <c r="BE2115" s="11">
        <v>0</v>
      </c>
    </row>
    <row x14ac:dyDescent="0.25" r="2116" customHeight="1" ht="17.25">
      <c r="A2116" s="11">
        <v>14781555</v>
      </c>
      <c r="B2116" s="4" t="s">
        <v>9176</v>
      </c>
      <c r="C2116" s="5" t="s">
        <v>9177</v>
      </c>
      <c r="D2116" s="5" t="s">
        <v>9178</v>
      </c>
      <c r="E2116" s="12"/>
      <c r="F2116" s="13">
        <f>"0316277177"</f>
      </c>
      <c r="G2116" s="13">
        <f>"9780316277174"</f>
      </c>
      <c r="H2116" s="11">
        <v>0</v>
      </c>
      <c r="I2116" s="14">
        <v>3.62</v>
      </c>
      <c r="J2116" s="7" t="s">
        <v>411</v>
      </c>
      <c r="K2116" s="5" t="s">
        <v>72</v>
      </c>
      <c r="L2116" s="11">
        <v>416</v>
      </c>
      <c r="M2116" s="11">
        <v>2017</v>
      </c>
      <c r="N2116" s="11">
        <v>2017</v>
      </c>
      <c r="O2116" s="15"/>
      <c r="P2116" s="8">
        <v>42952</v>
      </c>
      <c r="Q2116" s="8"/>
      <c r="R2116" s="8"/>
      <c r="S2116" s="8"/>
      <c r="T2116" s="8"/>
      <c r="U2116" s="8"/>
      <c r="V2116" s="8"/>
      <c r="W2116" s="8"/>
      <c r="X2116" s="8"/>
      <c r="Y2116" s="8"/>
      <c r="Z2116" s="8"/>
      <c r="AA2116" s="8"/>
      <c r="AB2116" s="8"/>
      <c r="AC2116" s="8"/>
      <c r="AD2116" s="8"/>
      <c r="AE2116" s="8"/>
      <c r="AF2116" s="8"/>
      <c r="AG2116" s="8"/>
      <c r="AH2116" s="8"/>
      <c r="AI2116" s="8"/>
      <c r="AJ2116" s="8"/>
      <c r="AK2116" s="8"/>
      <c r="AL2116" s="8"/>
      <c r="AM2116" s="8"/>
      <c r="AN2116" s="8"/>
      <c r="AO2116" s="8"/>
      <c r="AP2116" s="8"/>
      <c r="AQ2116" s="8"/>
      <c r="AR2116" s="8"/>
      <c r="AS2116" s="8"/>
      <c r="AT2116" s="8"/>
      <c r="AU2116" s="8"/>
      <c r="AV2116" s="8"/>
      <c r="AW2116" s="8"/>
      <c r="AX2116" s="4" t="s">
        <v>38</v>
      </c>
      <c r="AY2116" s="5" t="s">
        <v>9179</v>
      </c>
      <c r="AZ2116" s="5" t="s">
        <v>38</v>
      </c>
      <c r="BA2116" s="12"/>
      <c r="BB2116" s="12"/>
      <c r="BC2116" s="12"/>
      <c r="BD2116" s="11">
        <v>0</v>
      </c>
      <c r="BE2116" s="11">
        <v>0</v>
      </c>
    </row>
    <row x14ac:dyDescent="0.25" r="2117" customHeight="1" ht="17.25">
      <c r="A2117" s="11">
        <v>58371</v>
      </c>
      <c r="B2117" s="4" t="s">
        <v>9180</v>
      </c>
      <c r="C2117" s="5" t="s">
        <v>5283</v>
      </c>
      <c r="D2117" s="5" t="s">
        <v>5284</v>
      </c>
      <c r="E2117" s="5" t="s">
        <v>168</v>
      </c>
      <c r="F2117" s="13">
        <f>""</f>
      </c>
      <c r="G2117" s="13">
        <f>""</f>
      </c>
      <c r="H2117" s="11">
        <v>0</v>
      </c>
      <c r="I2117" s="14">
        <v>3.8</v>
      </c>
      <c r="J2117" s="7" t="s">
        <v>114</v>
      </c>
      <c r="K2117" s="5" t="s">
        <v>60</v>
      </c>
      <c r="L2117" s="11">
        <v>379</v>
      </c>
      <c r="M2117" s="11">
        <v>2001</v>
      </c>
      <c r="N2117" s="11">
        <v>1998</v>
      </c>
      <c r="O2117" s="15"/>
      <c r="P2117" s="8">
        <v>42940</v>
      </c>
      <c r="Q2117" s="8"/>
      <c r="R2117" s="8"/>
      <c r="S2117" s="8"/>
      <c r="T2117" s="8"/>
      <c r="U2117" s="8"/>
      <c r="V2117" s="8"/>
      <c r="W2117" s="8"/>
      <c r="X2117" s="8"/>
      <c r="Y2117" s="8"/>
      <c r="Z2117" s="8"/>
      <c r="AA2117" s="8"/>
      <c r="AB2117" s="8"/>
      <c r="AC2117" s="8"/>
      <c r="AD2117" s="8"/>
      <c r="AE2117" s="8"/>
      <c r="AF2117" s="8"/>
      <c r="AG2117" s="8"/>
      <c r="AH2117" s="8"/>
      <c r="AI2117" s="8"/>
      <c r="AJ2117" s="8"/>
      <c r="AK2117" s="8"/>
      <c r="AL2117" s="8"/>
      <c r="AM2117" s="8"/>
      <c r="AN2117" s="8"/>
      <c r="AO2117" s="8"/>
      <c r="AP2117" s="8"/>
      <c r="AQ2117" s="8"/>
      <c r="AR2117" s="8"/>
      <c r="AS2117" s="8"/>
      <c r="AT2117" s="8"/>
      <c r="AU2117" s="8"/>
      <c r="AV2117" s="8"/>
      <c r="AW2117" s="8"/>
      <c r="AX2117" s="4" t="s">
        <v>38</v>
      </c>
      <c r="AY2117" s="5" t="s">
        <v>9181</v>
      </c>
      <c r="AZ2117" s="5" t="s">
        <v>38</v>
      </c>
      <c r="BA2117" s="12"/>
      <c r="BB2117" s="12"/>
      <c r="BC2117" s="12"/>
      <c r="BD2117" s="11">
        <v>0</v>
      </c>
      <c r="BE2117" s="11">
        <v>0</v>
      </c>
    </row>
    <row x14ac:dyDescent="0.25" r="2118" customHeight="1" ht="17.25">
      <c r="A2118" s="11">
        <v>28010264</v>
      </c>
      <c r="B2118" s="4" t="s">
        <v>9182</v>
      </c>
      <c r="C2118" s="5" t="s">
        <v>9183</v>
      </c>
      <c r="D2118" s="5" t="s">
        <v>9184</v>
      </c>
      <c r="E2118" s="5" t="s">
        <v>9185</v>
      </c>
      <c r="F2118" s="13">
        <f>"1632060922"</f>
      </c>
      <c r="G2118" s="13">
        <f>"9781632060921"</f>
      </c>
      <c r="H2118" s="11">
        <v>0</v>
      </c>
      <c r="I2118" s="14">
        <v>3.56</v>
      </c>
      <c r="J2118" s="7" t="s">
        <v>7983</v>
      </c>
      <c r="K2118" s="5" t="s">
        <v>72</v>
      </c>
      <c r="L2118" s="11">
        <v>222</v>
      </c>
      <c r="M2118" s="11">
        <v>2016</v>
      </c>
      <c r="N2118" s="11">
        <v>2007</v>
      </c>
      <c r="O2118" s="15"/>
      <c r="P2118" s="8">
        <v>42883</v>
      </c>
      <c r="Q2118" s="8"/>
      <c r="R2118" s="8"/>
      <c r="S2118" s="8"/>
      <c r="T2118" s="8"/>
      <c r="U2118" s="8"/>
      <c r="V2118" s="8"/>
      <c r="W2118" s="8"/>
      <c r="X2118" s="8"/>
      <c r="Y2118" s="8"/>
      <c r="Z2118" s="8"/>
      <c r="AA2118" s="8"/>
      <c r="AB2118" s="8"/>
      <c r="AC2118" s="8"/>
      <c r="AD2118" s="8"/>
      <c r="AE2118" s="8"/>
      <c r="AF2118" s="8"/>
      <c r="AG2118" s="8"/>
      <c r="AH2118" s="8"/>
      <c r="AI2118" s="8"/>
      <c r="AJ2118" s="8"/>
      <c r="AK2118" s="8"/>
      <c r="AL2118" s="8"/>
      <c r="AM2118" s="8"/>
      <c r="AN2118" s="8"/>
      <c r="AO2118" s="8"/>
      <c r="AP2118" s="8"/>
      <c r="AQ2118" s="8"/>
      <c r="AR2118" s="8"/>
      <c r="AS2118" s="8"/>
      <c r="AT2118" s="8"/>
      <c r="AU2118" s="8"/>
      <c r="AV2118" s="8"/>
      <c r="AW2118" s="8"/>
      <c r="AX2118" s="4" t="s">
        <v>38</v>
      </c>
      <c r="AY2118" s="5" t="s">
        <v>9186</v>
      </c>
      <c r="AZ2118" s="5" t="s">
        <v>38</v>
      </c>
      <c r="BA2118" s="12"/>
      <c r="BB2118" s="12"/>
      <c r="BC2118" s="12"/>
      <c r="BD2118" s="11">
        <v>0</v>
      </c>
      <c r="BE2118" s="11">
        <v>0</v>
      </c>
    </row>
    <row x14ac:dyDescent="0.25" r="2119" customHeight="1" ht="17.25">
      <c r="A2119" s="11">
        <v>380994</v>
      </c>
      <c r="B2119" s="4" t="s">
        <v>9187</v>
      </c>
      <c r="C2119" s="5" t="s">
        <v>4157</v>
      </c>
      <c r="D2119" s="5" t="s">
        <v>4158</v>
      </c>
      <c r="E2119" s="5" t="s">
        <v>1699</v>
      </c>
      <c r="F2119" s="13">
        <f>"0374521611"</f>
      </c>
      <c r="G2119" s="13">
        <f>"9780374521615"</f>
      </c>
      <c r="H2119" s="11">
        <v>0</v>
      </c>
      <c r="I2119" s="14">
        <v>4.36</v>
      </c>
      <c r="J2119" s="7" t="s">
        <v>9188</v>
      </c>
      <c r="K2119" s="5" t="s">
        <v>60</v>
      </c>
      <c r="L2119" s="11">
        <v>234</v>
      </c>
      <c r="M2119" s="11">
        <v>1979</v>
      </c>
      <c r="N2119" s="11">
        <v>1977</v>
      </c>
      <c r="O2119" s="15"/>
      <c r="P2119" s="8">
        <v>42847</v>
      </c>
      <c r="Q2119" s="8"/>
      <c r="R2119" s="8"/>
      <c r="S2119" s="8"/>
      <c r="T2119" s="8"/>
      <c r="U2119" s="8"/>
      <c r="V2119" s="8"/>
      <c r="W2119" s="8"/>
      <c r="X2119" s="8"/>
      <c r="Y2119" s="8"/>
      <c r="Z2119" s="8"/>
      <c r="AA2119" s="8"/>
      <c r="AB2119" s="8"/>
      <c r="AC2119" s="8"/>
      <c r="AD2119" s="8"/>
      <c r="AE2119" s="8"/>
      <c r="AF2119" s="8"/>
      <c r="AG2119" s="8"/>
      <c r="AH2119" s="8"/>
      <c r="AI2119" s="8"/>
      <c r="AJ2119" s="8"/>
      <c r="AK2119" s="8"/>
      <c r="AL2119" s="8"/>
      <c r="AM2119" s="8"/>
      <c r="AN2119" s="8"/>
      <c r="AO2119" s="8"/>
      <c r="AP2119" s="8"/>
      <c r="AQ2119" s="8"/>
      <c r="AR2119" s="8"/>
      <c r="AS2119" s="8"/>
      <c r="AT2119" s="8"/>
      <c r="AU2119" s="8"/>
      <c r="AV2119" s="8"/>
      <c r="AW2119" s="8"/>
      <c r="AX2119" s="4" t="s">
        <v>38</v>
      </c>
      <c r="AY2119" s="5" t="s">
        <v>9189</v>
      </c>
      <c r="AZ2119" s="5" t="s">
        <v>38</v>
      </c>
      <c r="BA2119" s="12"/>
      <c r="BB2119" s="12"/>
      <c r="BC2119" s="12"/>
      <c r="BD2119" s="11">
        <v>0</v>
      </c>
      <c r="BE2119" s="11">
        <v>0</v>
      </c>
    </row>
    <row x14ac:dyDescent="0.25" r="2120" customHeight="1" ht="17.25">
      <c r="A2120" s="11">
        <v>100021</v>
      </c>
      <c r="B2120" s="4" t="s">
        <v>9190</v>
      </c>
      <c r="C2120" s="5" t="s">
        <v>7357</v>
      </c>
      <c r="D2120" s="5" t="s">
        <v>7358</v>
      </c>
      <c r="E2120" s="12"/>
      <c r="F2120" s="13">
        <f>"0195052161"</f>
      </c>
      <c r="G2120" s="13">
        <f>"9780195052169"</f>
      </c>
      <c r="H2120" s="11">
        <v>0</v>
      </c>
      <c r="I2120" s="14">
        <v>3.63</v>
      </c>
      <c r="J2120" s="7" t="s">
        <v>245</v>
      </c>
      <c r="K2120" s="5" t="s">
        <v>60</v>
      </c>
      <c r="L2120" s="11">
        <v>112</v>
      </c>
      <c r="M2120" s="11">
        <v>1987</v>
      </c>
      <c r="N2120" s="11">
        <v>1987</v>
      </c>
      <c r="O2120" s="15"/>
      <c r="P2120" s="8">
        <v>42786</v>
      </c>
      <c r="Q2120" s="8"/>
      <c r="R2120" s="8"/>
      <c r="S2120" s="8"/>
      <c r="T2120" s="8"/>
      <c r="U2120" s="8"/>
      <c r="V2120" s="8"/>
      <c r="W2120" s="8"/>
      <c r="X2120" s="8"/>
      <c r="Y2120" s="8"/>
      <c r="Z2120" s="8"/>
      <c r="AA2120" s="8"/>
      <c r="AB2120" s="8"/>
      <c r="AC2120" s="8"/>
      <c r="AD2120" s="8"/>
      <c r="AE2120" s="8"/>
      <c r="AF2120" s="8"/>
      <c r="AG2120" s="8"/>
      <c r="AH2120" s="8"/>
      <c r="AI2120" s="8"/>
      <c r="AJ2120" s="8"/>
      <c r="AK2120" s="8"/>
      <c r="AL2120" s="8"/>
      <c r="AM2120" s="8"/>
      <c r="AN2120" s="8"/>
      <c r="AO2120" s="8"/>
      <c r="AP2120" s="8"/>
      <c r="AQ2120" s="8"/>
      <c r="AR2120" s="8"/>
      <c r="AS2120" s="8"/>
      <c r="AT2120" s="8"/>
      <c r="AU2120" s="8"/>
      <c r="AV2120" s="8"/>
      <c r="AW2120" s="8"/>
      <c r="AX2120" s="4" t="s">
        <v>38</v>
      </c>
      <c r="AY2120" s="5" t="s">
        <v>9191</v>
      </c>
      <c r="AZ2120" s="5" t="s">
        <v>38</v>
      </c>
      <c r="BA2120" s="12"/>
      <c r="BB2120" s="12"/>
      <c r="BC2120" s="12"/>
      <c r="BD2120" s="11">
        <v>1</v>
      </c>
      <c r="BE2120" s="11">
        <v>0</v>
      </c>
    </row>
    <row x14ac:dyDescent="0.25" r="2121" customHeight="1" ht="17.25">
      <c r="A2121" s="11">
        <v>95833</v>
      </c>
      <c r="B2121" s="4" t="s">
        <v>9192</v>
      </c>
      <c r="C2121" s="5" t="s">
        <v>9193</v>
      </c>
      <c r="D2121" s="5" t="s">
        <v>9194</v>
      </c>
      <c r="E2121" s="12"/>
      <c r="F2121" s="13">
        <f>"0822207125"</f>
      </c>
      <c r="G2121" s="13">
        <f>"9780822207122"</f>
      </c>
      <c r="H2121" s="11">
        <v>5</v>
      </c>
      <c r="I2121" s="14">
        <v>3.93</v>
      </c>
      <c r="J2121" s="7" t="s">
        <v>9195</v>
      </c>
      <c r="K2121" s="5" t="s">
        <v>60</v>
      </c>
      <c r="L2121" s="11">
        <v>72</v>
      </c>
      <c r="M2121" s="11">
        <v>1998</v>
      </c>
      <c r="N2121" s="11">
        <v>1988</v>
      </c>
      <c r="O2121" s="15"/>
      <c r="P2121" s="8">
        <v>42843</v>
      </c>
      <c r="Q2121" s="8"/>
      <c r="R2121" s="8"/>
      <c r="S2121" s="8"/>
      <c r="T2121" s="8"/>
      <c r="U2121" s="8"/>
      <c r="V2121" s="8"/>
      <c r="W2121" s="8"/>
      <c r="X2121" s="8"/>
      <c r="Y2121" s="8"/>
      <c r="Z2121" s="8"/>
      <c r="AA2121" s="8"/>
      <c r="AB2121" s="8"/>
      <c r="AC2121" s="8"/>
      <c r="AD2121" s="8"/>
      <c r="AE2121" s="8"/>
      <c r="AF2121" s="8"/>
      <c r="AG2121" s="8"/>
      <c r="AH2121" s="8"/>
      <c r="AI2121" s="8"/>
      <c r="AJ2121" s="8"/>
      <c r="AK2121" s="8"/>
      <c r="AL2121" s="8"/>
      <c r="AM2121" s="8"/>
      <c r="AN2121" s="8"/>
      <c r="AO2121" s="8"/>
      <c r="AP2121" s="8"/>
      <c r="AQ2121" s="8"/>
      <c r="AR2121" s="8"/>
      <c r="AS2121" s="8"/>
      <c r="AT2121" s="8"/>
      <c r="AU2121" s="8"/>
      <c r="AV2121" s="8"/>
      <c r="AW2121" s="8"/>
      <c r="AX2121" s="16"/>
      <c r="AY2121" s="12"/>
      <c r="AZ2121" s="5" t="s">
        <v>158</v>
      </c>
      <c r="BA2121" s="12"/>
      <c r="BB2121" s="12"/>
      <c r="BC2121" s="12"/>
      <c r="BD2121" s="11">
        <v>1</v>
      </c>
      <c r="BE2121" s="11">
        <v>0</v>
      </c>
    </row>
    <row x14ac:dyDescent="0.25" r="2122" customHeight="1" ht="17.25">
      <c r="A2122" s="11">
        <v>23066</v>
      </c>
      <c r="B2122" s="4" t="s">
        <v>9196</v>
      </c>
      <c r="C2122" s="5" t="s">
        <v>3076</v>
      </c>
      <c r="D2122" s="5" t="s">
        <v>3077</v>
      </c>
      <c r="E2122" s="5" t="s">
        <v>3606</v>
      </c>
      <c r="F2122" s="13">
        <f>"0151001367"</f>
      </c>
      <c r="G2122" s="13">
        <f>"9780151001361"</f>
      </c>
      <c r="H2122" s="11">
        <v>0</v>
      </c>
      <c r="I2122" s="14">
        <v>3.84</v>
      </c>
      <c r="J2122" s="7" t="s">
        <v>2712</v>
      </c>
      <c r="K2122" s="5" t="s">
        <v>72</v>
      </c>
      <c r="L2122" s="11">
        <v>248</v>
      </c>
      <c r="M2122" s="11">
        <v>1994</v>
      </c>
      <c r="N2122" s="11">
        <v>1992</v>
      </c>
      <c r="O2122" s="15"/>
      <c r="P2122" s="8">
        <v>42822</v>
      </c>
      <c r="Q2122" s="8"/>
      <c r="R2122" s="8"/>
      <c r="S2122" s="8"/>
      <c r="T2122" s="8"/>
      <c r="U2122" s="8"/>
      <c r="V2122" s="8"/>
      <c r="W2122" s="8"/>
      <c r="X2122" s="8"/>
      <c r="Y2122" s="8"/>
      <c r="Z2122" s="8"/>
      <c r="AA2122" s="8"/>
      <c r="AB2122" s="8"/>
      <c r="AC2122" s="8"/>
      <c r="AD2122" s="8"/>
      <c r="AE2122" s="8"/>
      <c r="AF2122" s="8"/>
      <c r="AG2122" s="8"/>
      <c r="AH2122" s="8"/>
      <c r="AI2122" s="8"/>
      <c r="AJ2122" s="8"/>
      <c r="AK2122" s="8"/>
      <c r="AL2122" s="8"/>
      <c r="AM2122" s="8"/>
      <c r="AN2122" s="8"/>
      <c r="AO2122" s="8"/>
      <c r="AP2122" s="8"/>
      <c r="AQ2122" s="8"/>
      <c r="AR2122" s="8"/>
      <c r="AS2122" s="8"/>
      <c r="AT2122" s="8"/>
      <c r="AU2122" s="8"/>
      <c r="AV2122" s="8"/>
      <c r="AW2122" s="8"/>
      <c r="AX2122" s="4" t="s">
        <v>38</v>
      </c>
      <c r="AY2122" s="5" t="s">
        <v>9197</v>
      </c>
      <c r="AZ2122" s="5" t="s">
        <v>38</v>
      </c>
      <c r="BA2122" s="12"/>
      <c r="BB2122" s="12"/>
      <c r="BC2122" s="12"/>
      <c r="BD2122" s="11">
        <v>0</v>
      </c>
      <c r="BE2122" s="11">
        <v>0</v>
      </c>
    </row>
    <row x14ac:dyDescent="0.25" r="2123" customHeight="1" ht="17.25">
      <c r="A2123" s="11">
        <v>449934</v>
      </c>
      <c r="B2123" s="4" t="s">
        <v>9198</v>
      </c>
      <c r="C2123" s="5" t="s">
        <v>9199</v>
      </c>
      <c r="D2123" s="5" t="s">
        <v>9200</v>
      </c>
      <c r="E2123" s="12"/>
      <c r="F2123" s="13">
        <f>"0385313527"</f>
      </c>
      <c r="G2123" s="13">
        <f>"9780385313520"</f>
      </c>
      <c r="H2123" s="11">
        <v>0</v>
      </c>
      <c r="I2123" s="14">
        <v>3.92</v>
      </c>
      <c r="J2123" s="7" t="s">
        <v>9201</v>
      </c>
      <c r="K2123" s="5" t="s">
        <v>72</v>
      </c>
      <c r="L2123" s="11">
        <v>211</v>
      </c>
      <c r="M2123" s="11">
        <v>1995</v>
      </c>
      <c r="N2123" s="11">
        <v>1995</v>
      </c>
      <c r="O2123" s="15"/>
      <c r="P2123" s="8">
        <v>42811</v>
      </c>
      <c r="Q2123" s="8"/>
      <c r="R2123" s="8"/>
      <c r="S2123" s="8"/>
      <c r="T2123" s="8"/>
      <c r="U2123" s="8"/>
      <c r="V2123" s="8"/>
      <c r="W2123" s="8"/>
      <c r="X2123" s="8"/>
      <c r="Y2123" s="8"/>
      <c r="Z2123" s="8"/>
      <c r="AA2123" s="8"/>
      <c r="AB2123" s="8"/>
      <c r="AC2123" s="8"/>
      <c r="AD2123" s="8"/>
      <c r="AE2123" s="8"/>
      <c r="AF2123" s="8"/>
      <c r="AG2123" s="8"/>
      <c r="AH2123" s="8"/>
      <c r="AI2123" s="8"/>
      <c r="AJ2123" s="8"/>
      <c r="AK2123" s="8"/>
      <c r="AL2123" s="8"/>
      <c r="AM2123" s="8"/>
      <c r="AN2123" s="8"/>
      <c r="AO2123" s="8"/>
      <c r="AP2123" s="8"/>
      <c r="AQ2123" s="8"/>
      <c r="AR2123" s="8"/>
      <c r="AS2123" s="8"/>
      <c r="AT2123" s="8"/>
      <c r="AU2123" s="8"/>
      <c r="AV2123" s="8"/>
      <c r="AW2123" s="8"/>
      <c r="AX2123" s="4" t="s">
        <v>38</v>
      </c>
      <c r="AY2123" s="5" t="s">
        <v>9202</v>
      </c>
      <c r="AZ2123" s="5" t="s">
        <v>38</v>
      </c>
      <c r="BA2123" s="12"/>
      <c r="BB2123" s="12"/>
      <c r="BC2123" s="12"/>
      <c r="BD2123" s="11">
        <v>0</v>
      </c>
      <c r="BE2123" s="11">
        <v>0</v>
      </c>
    </row>
    <row x14ac:dyDescent="0.25" r="2124" customHeight="1" ht="17.25">
      <c r="A2124" s="11">
        <v>25566111</v>
      </c>
      <c r="B2124" s="4" t="s">
        <v>9203</v>
      </c>
      <c r="C2124" s="5" t="s">
        <v>9204</v>
      </c>
      <c r="D2124" s="5" t="s">
        <v>9205</v>
      </c>
      <c r="E2124" s="12"/>
      <c r="F2124" s="13">
        <f>"0986187615"</f>
      </c>
      <c r="G2124" s="13">
        <f>"9780986187612"</f>
      </c>
      <c r="H2124" s="11">
        <v>0</v>
      </c>
      <c r="I2124" s="14">
        <v>4.02</v>
      </c>
      <c r="J2124" s="7" t="s">
        <v>9206</v>
      </c>
      <c r="K2124" s="5" t="s">
        <v>60</v>
      </c>
      <c r="L2124" s="11">
        <v>63</v>
      </c>
      <c r="M2124" s="11">
        <v>2015</v>
      </c>
      <c r="N2124" s="11">
        <v>2015</v>
      </c>
      <c r="O2124" s="15"/>
      <c r="P2124" s="8">
        <v>42808</v>
      </c>
      <c r="Q2124" s="8"/>
      <c r="R2124" s="8"/>
      <c r="S2124" s="8"/>
      <c r="T2124" s="8"/>
      <c r="U2124" s="8"/>
      <c r="V2124" s="8"/>
      <c r="W2124" s="8"/>
      <c r="X2124" s="8"/>
      <c r="Y2124" s="8"/>
      <c r="Z2124" s="8"/>
      <c r="AA2124" s="8"/>
      <c r="AB2124" s="8"/>
      <c r="AC2124" s="8"/>
      <c r="AD2124" s="8"/>
      <c r="AE2124" s="8"/>
      <c r="AF2124" s="8"/>
      <c r="AG2124" s="8"/>
      <c r="AH2124" s="8"/>
      <c r="AI2124" s="8"/>
      <c r="AJ2124" s="8"/>
      <c r="AK2124" s="8"/>
      <c r="AL2124" s="8"/>
      <c r="AM2124" s="8"/>
      <c r="AN2124" s="8"/>
      <c r="AO2124" s="8"/>
      <c r="AP2124" s="8"/>
      <c r="AQ2124" s="8"/>
      <c r="AR2124" s="8"/>
      <c r="AS2124" s="8"/>
      <c r="AT2124" s="8"/>
      <c r="AU2124" s="8"/>
      <c r="AV2124" s="8"/>
      <c r="AW2124" s="8"/>
      <c r="AX2124" s="4" t="s">
        <v>38</v>
      </c>
      <c r="AY2124" s="5" t="s">
        <v>9207</v>
      </c>
      <c r="AZ2124" s="5" t="s">
        <v>38</v>
      </c>
      <c r="BA2124" s="12"/>
      <c r="BB2124" s="12"/>
      <c r="BC2124" s="12"/>
      <c r="BD2124" s="11">
        <v>0</v>
      </c>
      <c r="BE2124" s="11">
        <v>0</v>
      </c>
    </row>
    <row x14ac:dyDescent="0.25" r="2125" customHeight="1" ht="17.25">
      <c r="A2125" s="11">
        <v>34082935</v>
      </c>
      <c r="B2125" s="4" t="s">
        <v>9208</v>
      </c>
      <c r="C2125" s="5" t="s">
        <v>9209</v>
      </c>
      <c r="D2125" s="5" t="s">
        <v>9210</v>
      </c>
      <c r="E2125" s="5" t="s">
        <v>3293</v>
      </c>
      <c r="F2125" s="13">
        <f>"1938753232"</f>
      </c>
      <c r="G2125" s="13">
        <f>"9781938753237"</f>
      </c>
      <c r="H2125" s="11">
        <v>0</v>
      </c>
      <c r="I2125" s="14">
        <v>4.44</v>
      </c>
      <c r="J2125" s="7" t="s">
        <v>9211</v>
      </c>
      <c r="K2125" s="5" t="s">
        <v>60</v>
      </c>
      <c r="L2125" s="11">
        <v>188</v>
      </c>
      <c r="M2125" s="11">
        <v>2017</v>
      </c>
      <c r="N2125" s="11">
        <v>2017</v>
      </c>
      <c r="O2125" s="15"/>
      <c r="P2125" s="8">
        <v>42782</v>
      </c>
      <c r="Q2125" s="8"/>
      <c r="R2125" s="8"/>
      <c r="S2125" s="8"/>
      <c r="T2125" s="8"/>
      <c r="U2125" s="8"/>
      <c r="V2125" s="8"/>
      <c r="W2125" s="8"/>
      <c r="X2125" s="8"/>
      <c r="Y2125" s="8"/>
      <c r="Z2125" s="8"/>
      <c r="AA2125" s="8"/>
      <c r="AB2125" s="8"/>
      <c r="AC2125" s="8"/>
      <c r="AD2125" s="8"/>
      <c r="AE2125" s="8"/>
      <c r="AF2125" s="8"/>
      <c r="AG2125" s="8"/>
      <c r="AH2125" s="8"/>
      <c r="AI2125" s="8"/>
      <c r="AJ2125" s="8"/>
      <c r="AK2125" s="8"/>
      <c r="AL2125" s="8"/>
      <c r="AM2125" s="8"/>
      <c r="AN2125" s="8"/>
      <c r="AO2125" s="8"/>
      <c r="AP2125" s="8"/>
      <c r="AQ2125" s="8"/>
      <c r="AR2125" s="8"/>
      <c r="AS2125" s="8"/>
      <c r="AT2125" s="8"/>
      <c r="AU2125" s="8"/>
      <c r="AV2125" s="8"/>
      <c r="AW2125" s="8"/>
      <c r="AX2125" s="4" t="s">
        <v>38</v>
      </c>
      <c r="AY2125" s="5" t="s">
        <v>9212</v>
      </c>
      <c r="AZ2125" s="5" t="s">
        <v>38</v>
      </c>
      <c r="BA2125" s="12"/>
      <c r="BB2125" s="12"/>
      <c r="BC2125" s="12"/>
      <c r="BD2125" s="11">
        <v>0</v>
      </c>
      <c r="BE2125" s="11">
        <v>0</v>
      </c>
    </row>
    <row x14ac:dyDescent="0.25" r="2126" customHeight="1" ht="17.25">
      <c r="A2126" s="11">
        <v>7817557</v>
      </c>
      <c r="B2126" s="4" t="s">
        <v>9213</v>
      </c>
      <c r="C2126" s="5" t="s">
        <v>9214</v>
      </c>
      <c r="D2126" s="5" t="s">
        <v>9215</v>
      </c>
      <c r="E2126" s="12"/>
      <c r="F2126" s="13">
        <f>"0691140979"</f>
      </c>
      <c r="G2126" s="13">
        <f>"9780691140971"</f>
      </c>
      <c r="H2126" s="11">
        <v>0</v>
      </c>
      <c r="I2126" s="14">
        <v>3.73</v>
      </c>
      <c r="J2126" s="7" t="s">
        <v>172</v>
      </c>
      <c r="K2126" s="5" t="s">
        <v>60</v>
      </c>
      <c r="L2126" s="11">
        <v>320</v>
      </c>
      <c r="M2126" s="11">
        <v>2009</v>
      </c>
      <c r="N2126" s="11">
        <v>2006</v>
      </c>
      <c r="O2126" s="15"/>
      <c r="P2126" s="8">
        <v>42767</v>
      </c>
      <c r="Q2126" s="8"/>
      <c r="R2126" s="8"/>
      <c r="S2126" s="8"/>
      <c r="T2126" s="8"/>
      <c r="U2126" s="8"/>
      <c r="V2126" s="8"/>
      <c r="W2126" s="8"/>
      <c r="X2126" s="8"/>
      <c r="Y2126" s="8"/>
      <c r="Z2126" s="8"/>
      <c r="AA2126" s="8"/>
      <c r="AB2126" s="8"/>
      <c r="AC2126" s="8"/>
      <c r="AD2126" s="8"/>
      <c r="AE2126" s="8"/>
      <c r="AF2126" s="8"/>
      <c r="AG2126" s="8"/>
      <c r="AH2126" s="8"/>
      <c r="AI2126" s="8"/>
      <c r="AJ2126" s="8"/>
      <c r="AK2126" s="8"/>
      <c r="AL2126" s="8"/>
      <c r="AM2126" s="8"/>
      <c r="AN2126" s="8"/>
      <c r="AO2126" s="8"/>
      <c r="AP2126" s="8"/>
      <c r="AQ2126" s="8"/>
      <c r="AR2126" s="8"/>
      <c r="AS2126" s="8"/>
      <c r="AT2126" s="8"/>
      <c r="AU2126" s="8"/>
      <c r="AV2126" s="8"/>
      <c r="AW2126" s="8"/>
      <c r="AX2126" s="4" t="s">
        <v>38</v>
      </c>
      <c r="AY2126" s="5" t="s">
        <v>9216</v>
      </c>
      <c r="AZ2126" s="5" t="s">
        <v>38</v>
      </c>
      <c r="BA2126" s="12"/>
      <c r="BB2126" s="12"/>
      <c r="BC2126" s="12"/>
      <c r="BD2126" s="11">
        <v>0</v>
      </c>
      <c r="BE2126" s="11">
        <v>0</v>
      </c>
    </row>
    <row x14ac:dyDescent="0.25" r="2127" customHeight="1" ht="17.25">
      <c r="A2127" s="11">
        <v>342049</v>
      </c>
      <c r="B2127" s="4" t="s">
        <v>9217</v>
      </c>
      <c r="C2127" s="5" t="s">
        <v>9218</v>
      </c>
      <c r="D2127" s="5" t="s">
        <v>9219</v>
      </c>
      <c r="E2127" s="12"/>
      <c r="F2127" s="13">
        <f>"0394717813"</f>
      </c>
      <c r="G2127" s="13">
        <f>"9780394717814"</f>
      </c>
      <c r="H2127" s="11">
        <v>0</v>
      </c>
      <c r="I2127" s="14">
        <v>4.23</v>
      </c>
      <c r="J2127" s="7" t="s">
        <v>114</v>
      </c>
      <c r="K2127" s="5" t="s">
        <v>346</v>
      </c>
      <c r="L2127" s="11">
        <v>435</v>
      </c>
      <c r="M2127" s="11">
        <v>1972</v>
      </c>
      <c r="N2127" s="11">
        <v>1917</v>
      </c>
      <c r="O2127" s="15"/>
      <c r="P2127" s="8">
        <v>42764</v>
      </c>
      <c r="Q2127" s="8"/>
      <c r="R2127" s="8"/>
      <c r="S2127" s="8"/>
      <c r="T2127" s="8"/>
      <c r="U2127" s="8"/>
      <c r="V2127" s="8"/>
      <c r="W2127" s="8"/>
      <c r="X2127" s="8"/>
      <c r="Y2127" s="8"/>
      <c r="Z2127" s="8"/>
      <c r="AA2127" s="8"/>
      <c r="AB2127" s="8"/>
      <c r="AC2127" s="8"/>
      <c r="AD2127" s="8"/>
      <c r="AE2127" s="8"/>
      <c r="AF2127" s="8"/>
      <c r="AG2127" s="8"/>
      <c r="AH2127" s="8"/>
      <c r="AI2127" s="8"/>
      <c r="AJ2127" s="8"/>
      <c r="AK2127" s="8"/>
      <c r="AL2127" s="8"/>
      <c r="AM2127" s="8"/>
      <c r="AN2127" s="8"/>
      <c r="AO2127" s="8"/>
      <c r="AP2127" s="8"/>
      <c r="AQ2127" s="8"/>
      <c r="AR2127" s="8"/>
      <c r="AS2127" s="8"/>
      <c r="AT2127" s="8"/>
      <c r="AU2127" s="8"/>
      <c r="AV2127" s="8"/>
      <c r="AW2127" s="8"/>
      <c r="AX2127" s="4" t="s">
        <v>38</v>
      </c>
      <c r="AY2127" s="5" t="s">
        <v>9220</v>
      </c>
      <c r="AZ2127" s="5" t="s">
        <v>38</v>
      </c>
      <c r="BA2127" s="12"/>
      <c r="BB2127" s="12"/>
      <c r="BC2127" s="12"/>
      <c r="BD2127" s="11">
        <v>0</v>
      </c>
      <c r="BE2127" s="11">
        <v>0</v>
      </c>
    </row>
    <row x14ac:dyDescent="0.25" r="2128" customHeight="1" ht="17.25">
      <c r="A2128" s="11">
        <v>29430716</v>
      </c>
      <c r="B2128" s="4" t="s">
        <v>9221</v>
      </c>
      <c r="C2128" s="5" t="s">
        <v>9222</v>
      </c>
      <c r="D2128" s="5" t="s">
        <v>9223</v>
      </c>
      <c r="E2128" s="12"/>
      <c r="F2128" s="13">
        <f>"1501134574"</f>
      </c>
      <c r="G2128" s="13">
        <f>"9781501134579"</f>
      </c>
      <c r="H2128" s="11">
        <v>0</v>
      </c>
      <c r="I2128" s="14">
        <v>3.79</v>
      </c>
      <c r="J2128" s="7" t="s">
        <v>376</v>
      </c>
      <c r="K2128" s="5" t="s">
        <v>60</v>
      </c>
      <c r="L2128" s="11">
        <v>304</v>
      </c>
      <c r="M2128" s="11">
        <v>2017</v>
      </c>
      <c r="N2128" s="11">
        <v>2017</v>
      </c>
      <c r="O2128" s="15"/>
      <c r="P2128" s="8">
        <v>42740</v>
      </c>
      <c r="Q2128" s="8"/>
      <c r="R2128" s="8"/>
      <c r="S2128" s="8"/>
      <c r="T2128" s="8"/>
      <c r="U2128" s="8"/>
      <c r="V2128" s="8"/>
      <c r="W2128" s="8"/>
      <c r="X2128" s="8"/>
      <c r="Y2128" s="8"/>
      <c r="Z2128" s="8"/>
      <c r="AA2128" s="8"/>
      <c r="AB2128" s="8"/>
      <c r="AC2128" s="8"/>
      <c r="AD2128" s="8"/>
      <c r="AE2128" s="8"/>
      <c r="AF2128" s="8"/>
      <c r="AG2128" s="8"/>
      <c r="AH2128" s="8"/>
      <c r="AI2128" s="8"/>
      <c r="AJ2128" s="8"/>
      <c r="AK2128" s="8"/>
      <c r="AL2128" s="8"/>
      <c r="AM2128" s="8"/>
      <c r="AN2128" s="8"/>
      <c r="AO2128" s="8"/>
      <c r="AP2128" s="8"/>
      <c r="AQ2128" s="8"/>
      <c r="AR2128" s="8"/>
      <c r="AS2128" s="8"/>
      <c r="AT2128" s="8"/>
      <c r="AU2128" s="8"/>
      <c r="AV2128" s="8"/>
      <c r="AW2128" s="8"/>
      <c r="AX2128" s="4" t="s">
        <v>38</v>
      </c>
      <c r="AY2128" s="5" t="s">
        <v>9224</v>
      </c>
      <c r="AZ2128" s="5" t="s">
        <v>38</v>
      </c>
      <c r="BA2128" s="12"/>
      <c r="BB2128" s="12"/>
      <c r="BC2128" s="12"/>
      <c r="BD2128" s="11">
        <v>0</v>
      </c>
      <c r="BE2128" s="11">
        <v>0</v>
      </c>
    </row>
    <row x14ac:dyDescent="0.25" r="2129" customHeight="1" ht="17.25">
      <c r="A2129" s="11">
        <v>25489025</v>
      </c>
      <c r="B2129" s="4" t="s">
        <v>9225</v>
      </c>
      <c r="C2129" s="5" t="s">
        <v>9226</v>
      </c>
      <c r="D2129" s="5" t="s">
        <v>9227</v>
      </c>
      <c r="E2129" s="5" t="s">
        <v>9228</v>
      </c>
      <c r="F2129" s="13">
        <f>"0553448188"</f>
      </c>
      <c r="G2129" s="13">
        <f>"9780553448184"</f>
      </c>
      <c r="H2129" s="11">
        <v>0</v>
      </c>
      <c r="I2129" s="14">
        <v>3.59</v>
      </c>
      <c r="J2129" s="7" t="s">
        <v>9229</v>
      </c>
      <c r="K2129" s="5" t="s">
        <v>72</v>
      </c>
      <c r="L2129" s="11">
        <v>188</v>
      </c>
      <c r="M2129" s="11">
        <v>2016</v>
      </c>
      <c r="N2129" s="11">
        <v>2007</v>
      </c>
      <c r="O2129" s="15"/>
      <c r="P2129" s="8">
        <v>42740</v>
      </c>
      <c r="Q2129" s="8"/>
      <c r="R2129" s="8"/>
      <c r="S2129" s="8"/>
      <c r="T2129" s="8"/>
      <c r="U2129" s="8"/>
      <c r="V2129" s="8"/>
      <c r="W2129" s="8"/>
      <c r="X2129" s="8"/>
      <c r="Y2129" s="8"/>
      <c r="Z2129" s="8"/>
      <c r="AA2129" s="8"/>
      <c r="AB2129" s="8"/>
      <c r="AC2129" s="8"/>
      <c r="AD2129" s="8"/>
      <c r="AE2129" s="8"/>
      <c r="AF2129" s="8"/>
      <c r="AG2129" s="8"/>
      <c r="AH2129" s="8"/>
      <c r="AI2129" s="8"/>
      <c r="AJ2129" s="8"/>
      <c r="AK2129" s="8"/>
      <c r="AL2129" s="8"/>
      <c r="AM2129" s="8"/>
      <c r="AN2129" s="8"/>
      <c r="AO2129" s="8"/>
      <c r="AP2129" s="8"/>
      <c r="AQ2129" s="8"/>
      <c r="AR2129" s="8"/>
      <c r="AS2129" s="8"/>
      <c r="AT2129" s="8"/>
      <c r="AU2129" s="8"/>
      <c r="AV2129" s="8"/>
      <c r="AW2129" s="8"/>
      <c r="AX2129" s="4" t="s">
        <v>38</v>
      </c>
      <c r="AY2129" s="5" t="s">
        <v>9230</v>
      </c>
      <c r="AZ2129" s="5" t="s">
        <v>38</v>
      </c>
      <c r="BA2129" s="12"/>
      <c r="BB2129" s="12"/>
      <c r="BC2129" s="12"/>
      <c r="BD2129" s="11">
        <v>0</v>
      </c>
      <c r="BE2129" s="11">
        <v>0</v>
      </c>
    </row>
    <row x14ac:dyDescent="0.25" r="2130" customHeight="1" ht="17.25">
      <c r="A2130" s="11">
        <v>29430708</v>
      </c>
      <c r="B2130" s="4" t="s">
        <v>9231</v>
      </c>
      <c r="C2130" s="5" t="s">
        <v>9232</v>
      </c>
      <c r="D2130" s="5" t="s">
        <v>9233</v>
      </c>
      <c r="E2130" s="12"/>
      <c r="F2130" s="13">
        <f>"1501141090"</f>
      </c>
      <c r="G2130" s="13">
        <f>"9781501141096"</f>
      </c>
      <c r="H2130" s="11">
        <v>0</v>
      </c>
      <c r="I2130" s="14">
        <v>3.88</v>
      </c>
      <c r="J2130" s="7" t="s">
        <v>376</v>
      </c>
      <c r="K2130" s="5" t="s">
        <v>72</v>
      </c>
      <c r="L2130" s="11">
        <v>576</v>
      </c>
      <c r="M2130" s="11">
        <v>2016</v>
      </c>
      <c r="N2130" s="11">
        <v>2016</v>
      </c>
      <c r="O2130" s="15"/>
      <c r="P2130" s="9">
        <v>42725</v>
      </c>
      <c r="Q2130" s="9"/>
      <c r="R2130" s="9"/>
      <c r="S2130" s="9"/>
      <c r="T2130" s="9"/>
      <c r="U2130" s="9"/>
      <c r="V2130" s="9"/>
      <c r="W2130" s="9"/>
      <c r="X2130" s="9"/>
      <c r="Y2130" s="9"/>
      <c r="Z2130" s="9"/>
      <c r="AA2130" s="9"/>
      <c r="AB2130" s="9"/>
      <c r="AC2130" s="9"/>
      <c r="AD2130" s="9"/>
      <c r="AE2130" s="9"/>
      <c r="AF2130" s="9"/>
      <c r="AG2130" s="9"/>
      <c r="AH2130" s="9"/>
      <c r="AI2130" s="9"/>
      <c r="AJ2130" s="9"/>
      <c r="AK2130" s="9"/>
      <c r="AL2130" s="9"/>
      <c r="AM2130" s="9"/>
      <c r="AN2130" s="9"/>
      <c r="AO2130" s="9"/>
      <c r="AP2130" s="9"/>
      <c r="AQ2130" s="9"/>
      <c r="AR2130" s="9"/>
      <c r="AS2130" s="9"/>
      <c r="AT2130" s="9"/>
      <c r="AU2130" s="9"/>
      <c r="AV2130" s="9"/>
      <c r="AW2130" s="9"/>
      <c r="AX2130" s="4" t="s">
        <v>38</v>
      </c>
      <c r="AY2130" s="5" t="s">
        <v>9234</v>
      </c>
      <c r="AZ2130" s="5" t="s">
        <v>38</v>
      </c>
      <c r="BA2130" s="12"/>
      <c r="BB2130" s="12"/>
      <c r="BC2130" s="12"/>
      <c r="BD2130" s="11">
        <v>0</v>
      </c>
      <c r="BE2130" s="11">
        <v>0</v>
      </c>
    </row>
    <row x14ac:dyDescent="0.25" r="2131" customHeight="1" ht="17.25">
      <c r="A2131" s="11">
        <v>1799468</v>
      </c>
      <c r="B2131" s="4" t="s">
        <v>9235</v>
      </c>
      <c r="C2131" s="5" t="s">
        <v>8132</v>
      </c>
      <c r="D2131" s="5" t="s">
        <v>8133</v>
      </c>
      <c r="E2131" s="12"/>
      <c r="F2131" s="13">
        <f>"0586044876"</f>
      </c>
      <c r="G2131" s="13">
        <f>"9780586044872"</f>
      </c>
      <c r="H2131" s="11">
        <v>0</v>
      </c>
      <c r="I2131" s="14">
        <v>3.94</v>
      </c>
      <c r="J2131" s="7" t="s">
        <v>9236</v>
      </c>
      <c r="K2131" s="5" t="s">
        <v>60</v>
      </c>
      <c r="L2131" s="11">
        <v>394</v>
      </c>
      <c r="M2131" s="11">
        <v>1978</v>
      </c>
      <c r="N2131" s="11">
        <v>1957</v>
      </c>
      <c r="O2131" s="15"/>
      <c r="P2131" s="8">
        <v>42620</v>
      </c>
      <c r="Q2131" s="8"/>
      <c r="R2131" s="8"/>
      <c r="S2131" s="8"/>
      <c r="T2131" s="8"/>
      <c r="U2131" s="8"/>
      <c r="V2131" s="8"/>
      <c r="W2131" s="8"/>
      <c r="X2131" s="8"/>
      <c r="Y2131" s="8"/>
      <c r="Z2131" s="8"/>
      <c r="AA2131" s="8"/>
      <c r="AB2131" s="8"/>
      <c r="AC2131" s="8"/>
      <c r="AD2131" s="8"/>
      <c r="AE2131" s="8"/>
      <c r="AF2131" s="8"/>
      <c r="AG2131" s="8"/>
      <c r="AH2131" s="8"/>
      <c r="AI2131" s="8"/>
      <c r="AJ2131" s="8"/>
      <c r="AK2131" s="8"/>
      <c r="AL2131" s="8"/>
      <c r="AM2131" s="8"/>
      <c r="AN2131" s="8"/>
      <c r="AO2131" s="8"/>
      <c r="AP2131" s="8"/>
      <c r="AQ2131" s="8"/>
      <c r="AR2131" s="8"/>
      <c r="AS2131" s="8"/>
      <c r="AT2131" s="8"/>
      <c r="AU2131" s="8"/>
      <c r="AV2131" s="8"/>
      <c r="AW2131" s="8"/>
      <c r="AX2131" s="4" t="s">
        <v>38</v>
      </c>
      <c r="AY2131" s="5" t="s">
        <v>9237</v>
      </c>
      <c r="AZ2131" s="5" t="s">
        <v>38</v>
      </c>
      <c r="BA2131" s="12"/>
      <c r="BB2131" s="12"/>
      <c r="BC2131" s="12"/>
      <c r="BD2131" s="11">
        <v>0</v>
      </c>
      <c r="BE2131" s="11">
        <v>0</v>
      </c>
    </row>
    <row x14ac:dyDescent="0.25" r="2132" customHeight="1" ht="17.25">
      <c r="A2132" s="11">
        <v>19288788</v>
      </c>
      <c r="B2132" s="4" t="s">
        <v>9238</v>
      </c>
      <c r="C2132" s="5" t="s">
        <v>9239</v>
      </c>
      <c r="D2132" s="5" t="s">
        <v>9240</v>
      </c>
      <c r="E2132" s="12"/>
      <c r="F2132" s="13">
        <f>"1612193765"</f>
      </c>
      <c r="G2132" s="13">
        <f>"9781612193762"</f>
      </c>
      <c r="H2132" s="11">
        <v>0</v>
      </c>
      <c r="I2132" s="14">
        <v>3.11</v>
      </c>
      <c r="J2132" s="7" t="s">
        <v>1737</v>
      </c>
      <c r="K2132" s="5" t="s">
        <v>72</v>
      </c>
      <c r="L2132" s="11">
        <v>192</v>
      </c>
      <c r="M2132" s="11">
        <v>2014</v>
      </c>
      <c r="N2132" s="11">
        <v>2014</v>
      </c>
      <c r="O2132" s="15"/>
      <c r="P2132" s="8">
        <v>42617</v>
      </c>
      <c r="Q2132" s="8"/>
      <c r="R2132" s="8"/>
      <c r="S2132" s="8"/>
      <c r="T2132" s="8"/>
      <c r="U2132" s="8"/>
      <c r="V2132" s="8"/>
      <c r="W2132" s="8"/>
      <c r="X2132" s="8"/>
      <c r="Y2132" s="8"/>
      <c r="Z2132" s="8"/>
      <c r="AA2132" s="8"/>
      <c r="AB2132" s="8"/>
      <c r="AC2132" s="8"/>
      <c r="AD2132" s="8"/>
      <c r="AE2132" s="8"/>
      <c r="AF2132" s="8"/>
      <c r="AG2132" s="8"/>
      <c r="AH2132" s="8"/>
      <c r="AI2132" s="8"/>
      <c r="AJ2132" s="8"/>
      <c r="AK2132" s="8"/>
      <c r="AL2132" s="8"/>
      <c r="AM2132" s="8"/>
      <c r="AN2132" s="8"/>
      <c r="AO2132" s="8"/>
      <c r="AP2132" s="8"/>
      <c r="AQ2132" s="8"/>
      <c r="AR2132" s="8"/>
      <c r="AS2132" s="8"/>
      <c r="AT2132" s="8"/>
      <c r="AU2132" s="8"/>
      <c r="AV2132" s="8"/>
      <c r="AW2132" s="8"/>
      <c r="AX2132" s="4" t="s">
        <v>38</v>
      </c>
      <c r="AY2132" s="5" t="s">
        <v>9241</v>
      </c>
      <c r="AZ2132" s="5" t="s">
        <v>38</v>
      </c>
      <c r="BA2132" s="12"/>
      <c r="BB2132" s="12"/>
      <c r="BC2132" s="12"/>
      <c r="BD2132" s="11">
        <v>0</v>
      </c>
      <c r="BE2132" s="11">
        <v>0</v>
      </c>
    </row>
    <row x14ac:dyDescent="0.25" r="2133" customHeight="1" ht="17.25">
      <c r="A2133" s="11">
        <v>44038</v>
      </c>
      <c r="B2133" s="4" t="s">
        <v>9242</v>
      </c>
      <c r="C2133" s="5" t="s">
        <v>552</v>
      </c>
      <c r="D2133" s="5" t="s">
        <v>5004</v>
      </c>
      <c r="E2133" s="12"/>
      <c r="F2133" s="13">
        <f>"1846590051"</f>
      </c>
      <c r="G2133" s="13">
        <f>"9781846590054"</f>
      </c>
      <c r="H2133" s="11">
        <v>0</v>
      </c>
      <c r="I2133" s="14">
        <v>3.67</v>
      </c>
      <c r="J2133" s="7" t="s">
        <v>9243</v>
      </c>
      <c r="K2133" s="5" t="s">
        <v>60</v>
      </c>
      <c r="L2133" s="11">
        <v>104</v>
      </c>
      <c r="M2133" s="11">
        <v>2006</v>
      </c>
      <c r="N2133" s="11">
        <v>2002</v>
      </c>
      <c r="O2133" s="15"/>
      <c r="P2133" s="8">
        <v>42603</v>
      </c>
      <c r="Q2133" s="8"/>
      <c r="R2133" s="8"/>
      <c r="S2133" s="8"/>
      <c r="T2133" s="8"/>
      <c r="U2133" s="8"/>
      <c r="V2133" s="8"/>
      <c r="W2133" s="8"/>
      <c r="X2133" s="8"/>
      <c r="Y2133" s="8"/>
      <c r="Z2133" s="8"/>
      <c r="AA2133" s="8"/>
      <c r="AB2133" s="8"/>
      <c r="AC2133" s="8"/>
      <c r="AD2133" s="8"/>
      <c r="AE2133" s="8"/>
      <c r="AF2133" s="8"/>
      <c r="AG2133" s="8"/>
      <c r="AH2133" s="8"/>
      <c r="AI2133" s="8"/>
      <c r="AJ2133" s="8"/>
      <c r="AK2133" s="8"/>
      <c r="AL2133" s="8"/>
      <c r="AM2133" s="8"/>
      <c r="AN2133" s="8"/>
      <c r="AO2133" s="8"/>
      <c r="AP2133" s="8"/>
      <c r="AQ2133" s="8"/>
      <c r="AR2133" s="8"/>
      <c r="AS2133" s="8"/>
      <c r="AT2133" s="8"/>
      <c r="AU2133" s="8"/>
      <c r="AV2133" s="8"/>
      <c r="AW2133" s="8"/>
      <c r="AX2133" s="4" t="s">
        <v>38</v>
      </c>
      <c r="AY2133" s="5" t="s">
        <v>9244</v>
      </c>
      <c r="AZ2133" s="5" t="s">
        <v>38</v>
      </c>
      <c r="BA2133" s="12"/>
      <c r="BB2133" s="12"/>
      <c r="BC2133" s="12"/>
      <c r="BD2133" s="11">
        <v>0</v>
      </c>
      <c r="BE2133" s="11">
        <v>0</v>
      </c>
    </row>
    <row x14ac:dyDescent="0.25" r="2134" customHeight="1" ht="17.25">
      <c r="A2134" s="11">
        <v>210257</v>
      </c>
      <c r="B2134" s="4" t="s">
        <v>9245</v>
      </c>
      <c r="C2134" s="5" t="s">
        <v>9246</v>
      </c>
      <c r="D2134" s="5" t="s">
        <v>9247</v>
      </c>
      <c r="E2134" s="5" t="s">
        <v>9248</v>
      </c>
      <c r="F2134" s="13">
        <f>"0140447679"</f>
      </c>
      <c r="G2134" s="13">
        <f>"9780140447675"</f>
      </c>
      <c r="H2134" s="11">
        <v>0</v>
      </c>
      <c r="I2134" s="14">
        <v>3.96</v>
      </c>
      <c r="J2134" s="7" t="s">
        <v>263</v>
      </c>
      <c r="K2134" s="5" t="s">
        <v>60</v>
      </c>
      <c r="L2134" s="11">
        <v>320</v>
      </c>
      <c r="M2134" s="11">
        <v>2002</v>
      </c>
      <c r="N2134" s="11">
        <v>1891</v>
      </c>
      <c r="O2134" s="15"/>
      <c r="P2134" s="8">
        <v>42603</v>
      </c>
      <c r="Q2134" s="8"/>
      <c r="R2134" s="8"/>
      <c r="S2134" s="8"/>
      <c r="T2134" s="8"/>
      <c r="U2134" s="8"/>
      <c r="V2134" s="8"/>
      <c r="W2134" s="8"/>
      <c r="X2134" s="8"/>
      <c r="Y2134" s="8"/>
      <c r="Z2134" s="8"/>
      <c r="AA2134" s="8"/>
      <c r="AB2134" s="8"/>
      <c r="AC2134" s="8"/>
      <c r="AD2134" s="8"/>
      <c r="AE2134" s="8"/>
      <c r="AF2134" s="8"/>
      <c r="AG2134" s="8"/>
      <c r="AH2134" s="8"/>
      <c r="AI2134" s="8"/>
      <c r="AJ2134" s="8"/>
      <c r="AK2134" s="8"/>
      <c r="AL2134" s="8"/>
      <c r="AM2134" s="8"/>
      <c r="AN2134" s="8"/>
      <c r="AO2134" s="8"/>
      <c r="AP2134" s="8"/>
      <c r="AQ2134" s="8"/>
      <c r="AR2134" s="8"/>
      <c r="AS2134" s="8"/>
      <c r="AT2134" s="8"/>
      <c r="AU2134" s="8"/>
      <c r="AV2134" s="8"/>
      <c r="AW2134" s="8"/>
      <c r="AX2134" s="4" t="s">
        <v>38</v>
      </c>
      <c r="AY2134" s="5" t="s">
        <v>9249</v>
      </c>
      <c r="AZ2134" s="5" t="s">
        <v>38</v>
      </c>
      <c r="BA2134" s="12"/>
      <c r="BB2134" s="12"/>
      <c r="BC2134" s="12"/>
      <c r="BD2134" s="11">
        <v>0</v>
      </c>
      <c r="BE2134" s="11">
        <v>0</v>
      </c>
    </row>
    <row x14ac:dyDescent="0.25" r="2135" customHeight="1" ht="17.25">
      <c r="A2135" s="11">
        <v>15799151</v>
      </c>
      <c r="B2135" s="4" t="s">
        <v>9250</v>
      </c>
      <c r="C2135" s="5" t="s">
        <v>9251</v>
      </c>
      <c r="D2135" s="5" t="s">
        <v>9252</v>
      </c>
      <c r="E2135" s="12"/>
      <c r="F2135" s="13">
        <f>"0307273601"</f>
      </c>
      <c r="G2135" s="13">
        <f>"9780307273604"</f>
      </c>
      <c r="H2135" s="11">
        <v>0</v>
      </c>
      <c r="I2135" s="14">
        <v>3.65</v>
      </c>
      <c r="J2135" s="7" t="s">
        <v>665</v>
      </c>
      <c r="K2135" s="5" t="s">
        <v>72</v>
      </c>
      <c r="L2135" s="11">
        <v>278</v>
      </c>
      <c r="M2135" s="11">
        <v>2013</v>
      </c>
      <c r="N2135" s="11">
        <v>2013</v>
      </c>
      <c r="O2135" s="15"/>
      <c r="P2135" s="8">
        <v>42599</v>
      </c>
      <c r="Q2135" s="8"/>
      <c r="R2135" s="8"/>
      <c r="S2135" s="8"/>
      <c r="T2135" s="8"/>
      <c r="U2135" s="8"/>
      <c r="V2135" s="8"/>
      <c r="W2135" s="8"/>
      <c r="X2135" s="8"/>
      <c r="Y2135" s="8"/>
      <c r="Z2135" s="8"/>
      <c r="AA2135" s="8"/>
      <c r="AB2135" s="8"/>
      <c r="AC2135" s="8"/>
      <c r="AD2135" s="8"/>
      <c r="AE2135" s="8"/>
      <c r="AF2135" s="8"/>
      <c r="AG2135" s="8"/>
      <c r="AH2135" s="8"/>
      <c r="AI2135" s="8"/>
      <c r="AJ2135" s="8"/>
      <c r="AK2135" s="8"/>
      <c r="AL2135" s="8"/>
      <c r="AM2135" s="8"/>
      <c r="AN2135" s="8"/>
      <c r="AO2135" s="8"/>
      <c r="AP2135" s="8"/>
      <c r="AQ2135" s="8"/>
      <c r="AR2135" s="8"/>
      <c r="AS2135" s="8"/>
      <c r="AT2135" s="8"/>
      <c r="AU2135" s="8"/>
      <c r="AV2135" s="8"/>
      <c r="AW2135" s="8"/>
      <c r="AX2135" s="4" t="s">
        <v>38</v>
      </c>
      <c r="AY2135" s="5" t="s">
        <v>9253</v>
      </c>
      <c r="AZ2135" s="5" t="s">
        <v>38</v>
      </c>
      <c r="BA2135" s="12"/>
      <c r="BB2135" s="12"/>
      <c r="BC2135" s="12"/>
      <c r="BD2135" s="11">
        <v>0</v>
      </c>
      <c r="BE2135" s="11">
        <v>0</v>
      </c>
    </row>
    <row x14ac:dyDescent="0.25" r="2136" customHeight="1" ht="17.25">
      <c r="A2136" s="11">
        <v>13410837</v>
      </c>
      <c r="B2136" s="4" t="s">
        <v>9254</v>
      </c>
      <c r="C2136" s="5" t="s">
        <v>9255</v>
      </c>
      <c r="D2136" s="5" t="s">
        <v>9256</v>
      </c>
      <c r="E2136" s="12"/>
      <c r="F2136" s="13">
        <f>"1892061422"</f>
      </c>
      <c r="G2136" s="13">
        <f>"9781892061423"</f>
      </c>
      <c r="H2136" s="11">
        <v>0</v>
      </c>
      <c r="I2136" s="14">
        <v>3.94</v>
      </c>
      <c r="J2136" s="7" t="s">
        <v>9257</v>
      </c>
      <c r="K2136" s="5" t="s">
        <v>60</v>
      </c>
      <c r="L2136" s="11">
        <v>164</v>
      </c>
      <c r="M2136" s="11">
        <v>2011</v>
      </c>
      <c r="N2136" s="11">
        <v>2011</v>
      </c>
      <c r="O2136" s="15"/>
      <c r="P2136" s="8">
        <v>42346</v>
      </c>
      <c r="Q2136" s="8"/>
      <c r="R2136" s="8"/>
      <c r="S2136" s="8"/>
      <c r="T2136" s="8"/>
      <c r="U2136" s="8"/>
      <c r="V2136" s="8"/>
      <c r="W2136" s="8"/>
      <c r="X2136" s="8"/>
      <c r="Y2136" s="8"/>
      <c r="Z2136" s="8"/>
      <c r="AA2136" s="8"/>
      <c r="AB2136" s="8"/>
      <c r="AC2136" s="8"/>
      <c r="AD2136" s="8"/>
      <c r="AE2136" s="8"/>
      <c r="AF2136" s="8"/>
      <c r="AG2136" s="8"/>
      <c r="AH2136" s="8"/>
      <c r="AI2136" s="8"/>
      <c r="AJ2136" s="8"/>
      <c r="AK2136" s="8"/>
      <c r="AL2136" s="8"/>
      <c r="AM2136" s="8"/>
      <c r="AN2136" s="8"/>
      <c r="AO2136" s="8"/>
      <c r="AP2136" s="8"/>
      <c r="AQ2136" s="8"/>
      <c r="AR2136" s="8"/>
      <c r="AS2136" s="8"/>
      <c r="AT2136" s="8"/>
      <c r="AU2136" s="8"/>
      <c r="AV2136" s="8"/>
      <c r="AW2136" s="8"/>
      <c r="AX2136" s="4" t="s">
        <v>38</v>
      </c>
      <c r="AY2136" s="5" t="s">
        <v>9258</v>
      </c>
      <c r="AZ2136" s="5" t="s">
        <v>38</v>
      </c>
      <c r="BA2136" s="12"/>
      <c r="BB2136" s="12"/>
      <c r="BC2136" s="12"/>
      <c r="BD2136" s="11">
        <v>0</v>
      </c>
      <c r="BE2136" s="11">
        <v>0</v>
      </c>
    </row>
    <row x14ac:dyDescent="0.25" r="2137" customHeight="1" ht="17.25">
      <c r="A2137" s="11">
        <v>13166631</v>
      </c>
      <c r="B2137" s="4" t="s">
        <v>9259</v>
      </c>
      <c r="C2137" s="5" t="s">
        <v>9260</v>
      </c>
      <c r="D2137" s="5" t="s">
        <v>9261</v>
      </c>
      <c r="E2137" s="12"/>
      <c r="F2137" s="13">
        <f>"0374532923"</f>
      </c>
      <c r="G2137" s="13">
        <f>"9780374532925"</f>
      </c>
      <c r="H2137" s="11">
        <v>0</v>
      </c>
      <c r="I2137" s="14">
        <v>3.72</v>
      </c>
      <c r="J2137" s="7" t="s">
        <v>9262</v>
      </c>
      <c r="K2137" s="5" t="s">
        <v>60</v>
      </c>
      <c r="L2137" s="11">
        <v>320</v>
      </c>
      <c r="M2137" s="11">
        <v>2012</v>
      </c>
      <c r="N2137" s="11">
        <v>2010</v>
      </c>
      <c r="O2137" s="15"/>
      <c r="P2137" s="8">
        <v>42392</v>
      </c>
      <c r="Q2137" s="8"/>
      <c r="R2137" s="8"/>
      <c r="S2137" s="8"/>
      <c r="T2137" s="8"/>
      <c r="U2137" s="8"/>
      <c r="V2137" s="8"/>
      <c r="W2137" s="8"/>
      <c r="X2137" s="8"/>
      <c r="Y2137" s="8"/>
      <c r="Z2137" s="8"/>
      <c r="AA2137" s="8"/>
      <c r="AB2137" s="8"/>
      <c r="AC2137" s="8"/>
      <c r="AD2137" s="8"/>
      <c r="AE2137" s="8"/>
      <c r="AF2137" s="8"/>
      <c r="AG2137" s="8"/>
      <c r="AH2137" s="8"/>
      <c r="AI2137" s="8"/>
      <c r="AJ2137" s="8"/>
      <c r="AK2137" s="8"/>
      <c r="AL2137" s="8"/>
      <c r="AM2137" s="8"/>
      <c r="AN2137" s="8"/>
      <c r="AO2137" s="8"/>
      <c r="AP2137" s="8"/>
      <c r="AQ2137" s="8"/>
      <c r="AR2137" s="8"/>
      <c r="AS2137" s="8"/>
      <c r="AT2137" s="8"/>
      <c r="AU2137" s="8"/>
      <c r="AV2137" s="8"/>
      <c r="AW2137" s="8"/>
      <c r="AX2137" s="4" t="s">
        <v>38</v>
      </c>
      <c r="AY2137" s="5" t="s">
        <v>9263</v>
      </c>
      <c r="AZ2137" s="5" t="s">
        <v>38</v>
      </c>
      <c r="BA2137" s="12"/>
      <c r="BB2137" s="12"/>
      <c r="BC2137" s="12"/>
      <c r="BD2137" s="11">
        <v>0</v>
      </c>
      <c r="BE2137" s="11">
        <v>0</v>
      </c>
    </row>
    <row x14ac:dyDescent="0.25" r="2138" customHeight="1" ht="17.25">
      <c r="A2138" s="11">
        <v>7170963</v>
      </c>
      <c r="B2138" s="4" t="s">
        <v>9264</v>
      </c>
      <c r="C2138" s="5" t="s">
        <v>9265</v>
      </c>
      <c r="D2138" s="5" t="s">
        <v>9266</v>
      </c>
      <c r="E2138" s="12"/>
      <c r="F2138" s="13">
        <f>"0743291417"</f>
      </c>
      <c r="G2138" s="13">
        <f>"9780743291415"</f>
      </c>
      <c r="H2138" s="11">
        <v>0</v>
      </c>
      <c r="I2138" s="14">
        <v>4.12</v>
      </c>
      <c r="J2138" s="7" t="s">
        <v>376</v>
      </c>
      <c r="K2138" s="5" t="s">
        <v>72</v>
      </c>
      <c r="L2138" s="11">
        <v>384</v>
      </c>
      <c r="M2138" s="11">
        <v>2009</v>
      </c>
      <c r="N2138" s="11">
        <v>2008</v>
      </c>
      <c r="O2138" s="15"/>
      <c r="P2138" s="8">
        <v>42556</v>
      </c>
      <c r="Q2138" s="8"/>
      <c r="R2138" s="8"/>
      <c r="S2138" s="8"/>
      <c r="T2138" s="8"/>
      <c r="U2138" s="8"/>
      <c r="V2138" s="8"/>
      <c r="W2138" s="8"/>
      <c r="X2138" s="8"/>
      <c r="Y2138" s="8"/>
      <c r="Z2138" s="8"/>
      <c r="AA2138" s="8"/>
      <c r="AB2138" s="8"/>
      <c r="AC2138" s="8"/>
      <c r="AD2138" s="8"/>
      <c r="AE2138" s="8"/>
      <c r="AF2138" s="8"/>
      <c r="AG2138" s="8"/>
      <c r="AH2138" s="8"/>
      <c r="AI2138" s="8"/>
      <c r="AJ2138" s="8"/>
      <c r="AK2138" s="8"/>
      <c r="AL2138" s="8"/>
      <c r="AM2138" s="8"/>
      <c r="AN2138" s="8"/>
      <c r="AO2138" s="8"/>
      <c r="AP2138" s="8"/>
      <c r="AQ2138" s="8"/>
      <c r="AR2138" s="8"/>
      <c r="AS2138" s="8"/>
      <c r="AT2138" s="8"/>
      <c r="AU2138" s="8"/>
      <c r="AV2138" s="8"/>
      <c r="AW2138" s="8"/>
      <c r="AX2138" s="4" t="s">
        <v>38</v>
      </c>
      <c r="AY2138" s="5" t="s">
        <v>9267</v>
      </c>
      <c r="AZ2138" s="5" t="s">
        <v>38</v>
      </c>
      <c r="BA2138" s="12"/>
      <c r="BB2138" s="12"/>
      <c r="BC2138" s="12"/>
      <c r="BD2138" s="11">
        <v>0</v>
      </c>
      <c r="BE2138" s="11">
        <v>0</v>
      </c>
    </row>
    <row x14ac:dyDescent="0.25" r="2139" customHeight="1" ht="17.25">
      <c r="A2139" s="11">
        <v>6955186</v>
      </c>
      <c r="B2139" s="4" t="s">
        <v>9268</v>
      </c>
      <c r="C2139" s="5" t="s">
        <v>9269</v>
      </c>
      <c r="D2139" s="5" t="s">
        <v>9270</v>
      </c>
      <c r="E2139" s="12"/>
      <c r="F2139" s="13">
        <f>"0807085928"</f>
      </c>
      <c r="G2139" s="13">
        <f>"9780807085929"</f>
      </c>
      <c r="H2139" s="11">
        <v>0</v>
      </c>
      <c r="I2139" s="14">
        <v>4.17</v>
      </c>
      <c r="J2139" s="7" t="s">
        <v>861</v>
      </c>
      <c r="K2139" s="5" t="s">
        <v>72</v>
      </c>
      <c r="L2139" s="11">
        <v>246</v>
      </c>
      <c r="M2139" s="11">
        <v>2010</v>
      </c>
      <c r="N2139" s="11">
        <v>2010</v>
      </c>
      <c r="O2139" s="15"/>
      <c r="P2139" s="8">
        <v>42556</v>
      </c>
      <c r="Q2139" s="8"/>
      <c r="R2139" s="8"/>
      <c r="S2139" s="8"/>
      <c r="T2139" s="8"/>
      <c r="U2139" s="8"/>
      <c r="V2139" s="8"/>
      <c r="W2139" s="8"/>
      <c r="X2139" s="8"/>
      <c r="Y2139" s="8"/>
      <c r="Z2139" s="8"/>
      <c r="AA2139" s="8"/>
      <c r="AB2139" s="8"/>
      <c r="AC2139" s="8"/>
      <c r="AD2139" s="8"/>
      <c r="AE2139" s="8"/>
      <c r="AF2139" s="8"/>
      <c r="AG2139" s="8"/>
      <c r="AH2139" s="8"/>
      <c r="AI2139" s="8"/>
      <c r="AJ2139" s="8"/>
      <c r="AK2139" s="8"/>
      <c r="AL2139" s="8"/>
      <c r="AM2139" s="8"/>
      <c r="AN2139" s="8"/>
      <c r="AO2139" s="8"/>
      <c r="AP2139" s="8"/>
      <c r="AQ2139" s="8"/>
      <c r="AR2139" s="8"/>
      <c r="AS2139" s="8"/>
      <c r="AT2139" s="8"/>
      <c r="AU2139" s="8"/>
      <c r="AV2139" s="8"/>
      <c r="AW2139" s="8"/>
      <c r="AX2139" s="4" t="s">
        <v>38</v>
      </c>
      <c r="AY2139" s="5" t="s">
        <v>9271</v>
      </c>
      <c r="AZ2139" s="5" t="s">
        <v>38</v>
      </c>
      <c r="BA2139" s="12"/>
      <c r="BB2139" s="12"/>
      <c r="BC2139" s="12"/>
      <c r="BD2139" s="11">
        <v>0</v>
      </c>
      <c r="BE2139" s="11">
        <v>0</v>
      </c>
    </row>
    <row x14ac:dyDescent="0.25" r="2140" customHeight="1" ht="17.25">
      <c r="A2140" s="11">
        <v>608001</v>
      </c>
      <c r="B2140" s="4" t="s">
        <v>9272</v>
      </c>
      <c r="C2140" s="5" t="s">
        <v>9273</v>
      </c>
      <c r="D2140" s="5" t="s">
        <v>9274</v>
      </c>
      <c r="E2140" s="5" t="s">
        <v>9275</v>
      </c>
      <c r="F2140" s="13">
        <f>"0520240790"</f>
      </c>
      <c r="G2140" s="13">
        <f>"9780520240797"</f>
      </c>
      <c r="H2140" s="11">
        <v>0</v>
      </c>
      <c r="I2140" s="14">
        <v>4.27</v>
      </c>
      <c r="J2140" s="7" t="s">
        <v>1335</v>
      </c>
      <c r="K2140" s="5" t="s">
        <v>60</v>
      </c>
      <c r="L2140" s="11">
        <v>297</v>
      </c>
      <c r="M2140" s="11">
        <v>2003</v>
      </c>
      <c r="N2140" s="11">
        <v>1993</v>
      </c>
      <c r="O2140" s="15"/>
      <c r="P2140" s="8">
        <v>42160</v>
      </c>
      <c r="Q2140" s="8"/>
      <c r="R2140" s="8"/>
      <c r="S2140" s="8"/>
      <c r="T2140" s="8"/>
      <c r="U2140" s="8"/>
      <c r="V2140" s="8"/>
      <c r="W2140" s="8"/>
      <c r="X2140" s="8"/>
      <c r="Y2140" s="8"/>
      <c r="Z2140" s="8"/>
      <c r="AA2140" s="8"/>
      <c r="AB2140" s="8"/>
      <c r="AC2140" s="8"/>
      <c r="AD2140" s="8"/>
      <c r="AE2140" s="8"/>
      <c r="AF2140" s="8"/>
      <c r="AG2140" s="8"/>
      <c r="AH2140" s="8"/>
      <c r="AI2140" s="8"/>
      <c r="AJ2140" s="8"/>
      <c r="AK2140" s="8"/>
      <c r="AL2140" s="8"/>
      <c r="AM2140" s="8"/>
      <c r="AN2140" s="8"/>
      <c r="AO2140" s="8"/>
      <c r="AP2140" s="8"/>
      <c r="AQ2140" s="8"/>
      <c r="AR2140" s="8"/>
      <c r="AS2140" s="8"/>
      <c r="AT2140" s="8"/>
      <c r="AU2140" s="8"/>
      <c r="AV2140" s="8"/>
      <c r="AW2140" s="8"/>
      <c r="AX2140" s="4" t="s">
        <v>38</v>
      </c>
      <c r="AY2140" s="5" t="s">
        <v>9276</v>
      </c>
      <c r="AZ2140" s="5" t="s">
        <v>38</v>
      </c>
      <c r="BA2140" s="12"/>
      <c r="BB2140" s="12"/>
      <c r="BC2140" s="12"/>
      <c r="BD2140" s="11">
        <v>0</v>
      </c>
      <c r="BE2140" s="11">
        <v>0</v>
      </c>
    </row>
    <row x14ac:dyDescent="0.25" r="2141" customHeight="1" ht="17.25">
      <c r="A2141" s="11">
        <v>842450</v>
      </c>
      <c r="B2141" s="4" t="s">
        <v>9277</v>
      </c>
      <c r="C2141" s="5" t="s">
        <v>9278</v>
      </c>
      <c r="D2141" s="5" t="s">
        <v>9279</v>
      </c>
      <c r="E2141" s="5" t="s">
        <v>9280</v>
      </c>
      <c r="F2141" s="13">
        <f>"0679450149"</f>
      </c>
      <c r="G2141" s="13">
        <f>"9780679450146"</f>
      </c>
      <c r="H2141" s="11">
        <v>0</v>
      </c>
      <c r="I2141" s="14">
        <v>4.17</v>
      </c>
      <c r="J2141" s="7" t="s">
        <v>1018</v>
      </c>
      <c r="K2141" s="5" t="s">
        <v>72</v>
      </c>
      <c r="L2141" s="11">
        <v>110</v>
      </c>
      <c r="M2141" s="11">
        <v>1996</v>
      </c>
      <c r="N2141" s="11">
        <v>1996</v>
      </c>
      <c r="O2141" s="15"/>
      <c r="P2141" s="8">
        <v>41836</v>
      </c>
      <c r="Q2141" s="8"/>
      <c r="R2141" s="8"/>
      <c r="S2141" s="8"/>
      <c r="T2141" s="8"/>
      <c r="U2141" s="8"/>
      <c r="V2141" s="8"/>
      <c r="W2141" s="8"/>
      <c r="X2141" s="8"/>
      <c r="Y2141" s="8"/>
      <c r="Z2141" s="8"/>
      <c r="AA2141" s="8"/>
      <c r="AB2141" s="8"/>
      <c r="AC2141" s="8"/>
      <c r="AD2141" s="8"/>
      <c r="AE2141" s="8"/>
      <c r="AF2141" s="8"/>
      <c r="AG2141" s="8"/>
      <c r="AH2141" s="8"/>
      <c r="AI2141" s="8"/>
      <c r="AJ2141" s="8"/>
      <c r="AK2141" s="8"/>
      <c r="AL2141" s="8"/>
      <c r="AM2141" s="8"/>
      <c r="AN2141" s="8"/>
      <c r="AO2141" s="8"/>
      <c r="AP2141" s="8"/>
      <c r="AQ2141" s="8"/>
      <c r="AR2141" s="8"/>
      <c r="AS2141" s="8"/>
      <c r="AT2141" s="8"/>
      <c r="AU2141" s="8"/>
      <c r="AV2141" s="8"/>
      <c r="AW2141" s="8"/>
      <c r="AX2141" s="4" t="s">
        <v>38</v>
      </c>
      <c r="AY2141" s="5" t="s">
        <v>9281</v>
      </c>
      <c r="AZ2141" s="5" t="s">
        <v>38</v>
      </c>
      <c r="BA2141" s="12"/>
      <c r="BB2141" s="12"/>
      <c r="BC2141" s="12"/>
      <c r="BD2141" s="11">
        <v>0</v>
      </c>
      <c r="BE2141" s="11">
        <v>0</v>
      </c>
    </row>
    <row x14ac:dyDescent="0.25" r="2142" customHeight="1" ht="17.25">
      <c r="A2142" s="11">
        <v>118317</v>
      </c>
      <c r="B2142" s="4" t="s">
        <v>9282</v>
      </c>
      <c r="C2142" s="5" t="s">
        <v>9283</v>
      </c>
      <c r="D2142" s="5" t="s">
        <v>9284</v>
      </c>
      <c r="E2142" s="5" t="s">
        <v>9285</v>
      </c>
      <c r="F2142" s="13">
        <f>"0816612250"</f>
      </c>
      <c r="G2142" s="13">
        <f>"9780816612253"</f>
      </c>
      <c r="H2142" s="11">
        <v>0</v>
      </c>
      <c r="I2142" s="14">
        <v>4.16</v>
      </c>
      <c r="J2142" s="7" t="s">
        <v>983</v>
      </c>
      <c r="K2142" s="5" t="s">
        <v>60</v>
      </c>
      <c r="L2142" s="11">
        <v>400</v>
      </c>
      <c r="M2142" s="11">
        <v>1983</v>
      </c>
      <c r="N2142" s="11">
        <v>1972</v>
      </c>
      <c r="O2142" s="15"/>
      <c r="P2142" s="8">
        <v>42556</v>
      </c>
      <c r="Q2142" s="8"/>
      <c r="R2142" s="8"/>
      <c r="S2142" s="8"/>
      <c r="T2142" s="8"/>
      <c r="U2142" s="8"/>
      <c r="V2142" s="8"/>
      <c r="W2142" s="8"/>
      <c r="X2142" s="8"/>
      <c r="Y2142" s="8"/>
      <c r="Z2142" s="8"/>
      <c r="AA2142" s="8"/>
      <c r="AB2142" s="8"/>
      <c r="AC2142" s="8"/>
      <c r="AD2142" s="8"/>
      <c r="AE2142" s="8"/>
      <c r="AF2142" s="8"/>
      <c r="AG2142" s="8"/>
      <c r="AH2142" s="8"/>
      <c r="AI2142" s="8"/>
      <c r="AJ2142" s="8"/>
      <c r="AK2142" s="8"/>
      <c r="AL2142" s="8"/>
      <c r="AM2142" s="8"/>
      <c r="AN2142" s="8"/>
      <c r="AO2142" s="8"/>
      <c r="AP2142" s="8"/>
      <c r="AQ2142" s="8"/>
      <c r="AR2142" s="8"/>
      <c r="AS2142" s="8"/>
      <c r="AT2142" s="8"/>
      <c r="AU2142" s="8"/>
      <c r="AV2142" s="8"/>
      <c r="AW2142" s="8"/>
      <c r="AX2142" s="4" t="s">
        <v>38</v>
      </c>
      <c r="AY2142" s="5" t="s">
        <v>9286</v>
      </c>
      <c r="AZ2142" s="5" t="s">
        <v>38</v>
      </c>
      <c r="BA2142" s="12"/>
      <c r="BB2142" s="12"/>
      <c r="BC2142" s="12"/>
      <c r="BD2142" s="11">
        <v>0</v>
      </c>
      <c r="BE2142" s="11">
        <v>0</v>
      </c>
    </row>
    <row x14ac:dyDescent="0.25" r="2143" customHeight="1" ht="17.25">
      <c r="A2143" s="11">
        <v>13239419</v>
      </c>
      <c r="B2143" s="4" t="s">
        <v>9287</v>
      </c>
      <c r="C2143" s="5" t="s">
        <v>9288</v>
      </c>
      <c r="D2143" s="5" t="s">
        <v>9289</v>
      </c>
      <c r="E2143" s="12"/>
      <c r="F2143" s="13">
        <f>"1936365812"</f>
      </c>
      <c r="G2143" s="13">
        <f>"9781936365814"</f>
      </c>
      <c r="H2143" s="11">
        <v>0</v>
      </c>
      <c r="I2143" s="14">
        <v>3.88</v>
      </c>
      <c r="J2143" s="7" t="s">
        <v>3626</v>
      </c>
      <c r="K2143" s="5" t="s">
        <v>72</v>
      </c>
      <c r="L2143" s="11">
        <v>344</v>
      </c>
      <c r="M2143" s="11">
        <v>2013</v>
      </c>
      <c r="N2143" s="11">
        <v>2013</v>
      </c>
      <c r="O2143" s="15"/>
      <c r="P2143" s="8">
        <v>42574</v>
      </c>
      <c r="Q2143" s="8"/>
      <c r="R2143" s="8"/>
      <c r="S2143" s="8"/>
      <c r="T2143" s="8"/>
      <c r="U2143" s="8"/>
      <c r="V2143" s="8"/>
      <c r="W2143" s="8"/>
      <c r="X2143" s="8"/>
      <c r="Y2143" s="8"/>
      <c r="Z2143" s="8"/>
      <c r="AA2143" s="8"/>
      <c r="AB2143" s="8"/>
      <c r="AC2143" s="8"/>
      <c r="AD2143" s="8"/>
      <c r="AE2143" s="8"/>
      <c r="AF2143" s="8"/>
      <c r="AG2143" s="8"/>
      <c r="AH2143" s="8"/>
      <c r="AI2143" s="8"/>
      <c r="AJ2143" s="8"/>
      <c r="AK2143" s="8"/>
      <c r="AL2143" s="8"/>
      <c r="AM2143" s="8"/>
      <c r="AN2143" s="8"/>
      <c r="AO2143" s="8"/>
      <c r="AP2143" s="8"/>
      <c r="AQ2143" s="8"/>
      <c r="AR2143" s="8"/>
      <c r="AS2143" s="8"/>
      <c r="AT2143" s="8"/>
      <c r="AU2143" s="8"/>
      <c r="AV2143" s="8"/>
      <c r="AW2143" s="8"/>
      <c r="AX2143" s="4" t="s">
        <v>38</v>
      </c>
      <c r="AY2143" s="5" t="s">
        <v>9290</v>
      </c>
      <c r="AZ2143" s="5" t="s">
        <v>38</v>
      </c>
      <c r="BA2143" s="12"/>
      <c r="BB2143" s="12"/>
      <c r="BC2143" s="12"/>
      <c r="BD2143" s="11">
        <v>0</v>
      </c>
      <c r="BE2143" s="11">
        <v>0</v>
      </c>
    </row>
    <row x14ac:dyDescent="0.25" r="2144" customHeight="1" ht="17.25">
      <c r="A2144" s="11">
        <v>15999702</v>
      </c>
      <c r="B2144" s="4" t="s">
        <v>9291</v>
      </c>
      <c r="C2144" s="5" t="s">
        <v>9292</v>
      </c>
      <c r="D2144" s="5" t="s">
        <v>9293</v>
      </c>
      <c r="E2144" s="12"/>
      <c r="F2144" s="13">
        <f>"022604002X"</f>
      </c>
      <c r="G2144" s="13">
        <f>"9780226040028"</f>
      </c>
      <c r="H2144" s="11">
        <v>0</v>
      </c>
      <c r="I2144" s="14">
        <v>3.2</v>
      </c>
      <c r="J2144" s="7" t="s">
        <v>255</v>
      </c>
      <c r="K2144" s="5" t="s">
        <v>72</v>
      </c>
      <c r="L2144" s="11">
        <v>344</v>
      </c>
      <c r="M2144" s="11">
        <v>2013</v>
      </c>
      <c r="N2144" s="11">
        <v>2013</v>
      </c>
      <c r="O2144" s="15"/>
      <c r="P2144" s="8">
        <v>42573</v>
      </c>
      <c r="Q2144" s="8"/>
      <c r="R2144" s="8"/>
      <c r="S2144" s="8"/>
      <c r="T2144" s="8"/>
      <c r="U2144" s="8"/>
      <c r="V2144" s="8"/>
      <c r="W2144" s="8"/>
      <c r="X2144" s="8"/>
      <c r="Y2144" s="8"/>
      <c r="Z2144" s="8"/>
      <c r="AA2144" s="8"/>
      <c r="AB2144" s="8"/>
      <c r="AC2144" s="8"/>
      <c r="AD2144" s="8"/>
      <c r="AE2144" s="8"/>
      <c r="AF2144" s="8"/>
      <c r="AG2144" s="8"/>
      <c r="AH2144" s="8"/>
      <c r="AI2144" s="8"/>
      <c r="AJ2144" s="8"/>
      <c r="AK2144" s="8"/>
      <c r="AL2144" s="8"/>
      <c r="AM2144" s="8"/>
      <c r="AN2144" s="8"/>
      <c r="AO2144" s="8"/>
      <c r="AP2144" s="8"/>
      <c r="AQ2144" s="8"/>
      <c r="AR2144" s="8"/>
      <c r="AS2144" s="8"/>
      <c r="AT2144" s="8"/>
      <c r="AU2144" s="8"/>
      <c r="AV2144" s="8"/>
      <c r="AW2144" s="8"/>
      <c r="AX2144" s="4" t="s">
        <v>38</v>
      </c>
      <c r="AY2144" s="5" t="s">
        <v>9294</v>
      </c>
      <c r="AZ2144" s="5" t="s">
        <v>38</v>
      </c>
      <c r="BA2144" s="12"/>
      <c r="BB2144" s="12"/>
      <c r="BC2144" s="12"/>
      <c r="BD2144" s="11">
        <v>0</v>
      </c>
      <c r="BE2144" s="11">
        <v>0</v>
      </c>
    </row>
    <row x14ac:dyDescent="0.25" r="2145" customHeight="1" ht="17.25">
      <c r="A2145" s="11">
        <v>1098486</v>
      </c>
      <c r="B2145" s="4" t="s">
        <v>9295</v>
      </c>
      <c r="C2145" s="5" t="s">
        <v>9296</v>
      </c>
      <c r="D2145" s="5" t="s">
        <v>9297</v>
      </c>
      <c r="E2145" s="12"/>
      <c r="F2145" s="13">
        <f>"140130138X"</f>
      </c>
      <c r="G2145" s="13">
        <f>"9781401301385"</f>
      </c>
      <c r="H2145" s="11">
        <v>0</v>
      </c>
      <c r="I2145" s="14">
        <v>4.29</v>
      </c>
      <c r="J2145" s="7" t="s">
        <v>7171</v>
      </c>
      <c r="K2145" s="5" t="s">
        <v>72</v>
      </c>
      <c r="L2145" s="11">
        <v>340</v>
      </c>
      <c r="M2145" s="11">
        <v>2007</v>
      </c>
      <c r="N2145" s="11">
        <v>2007</v>
      </c>
      <c r="O2145" s="15"/>
      <c r="P2145" s="8">
        <v>41650</v>
      </c>
      <c r="Q2145" s="8"/>
      <c r="R2145" s="8"/>
      <c r="S2145" s="8"/>
      <c r="T2145" s="8"/>
      <c r="U2145" s="8"/>
      <c r="V2145" s="8"/>
      <c r="W2145" s="8"/>
      <c r="X2145" s="8"/>
      <c r="Y2145" s="8"/>
      <c r="Z2145" s="8"/>
      <c r="AA2145" s="8"/>
      <c r="AB2145" s="8"/>
      <c r="AC2145" s="8"/>
      <c r="AD2145" s="8"/>
      <c r="AE2145" s="8"/>
      <c r="AF2145" s="8"/>
      <c r="AG2145" s="8"/>
      <c r="AH2145" s="8"/>
      <c r="AI2145" s="8"/>
      <c r="AJ2145" s="8"/>
      <c r="AK2145" s="8"/>
      <c r="AL2145" s="8"/>
      <c r="AM2145" s="8"/>
      <c r="AN2145" s="8"/>
      <c r="AO2145" s="8"/>
      <c r="AP2145" s="8"/>
      <c r="AQ2145" s="8"/>
      <c r="AR2145" s="8"/>
      <c r="AS2145" s="8"/>
      <c r="AT2145" s="8"/>
      <c r="AU2145" s="8"/>
      <c r="AV2145" s="8"/>
      <c r="AW2145" s="8"/>
      <c r="AX2145" s="4" t="s">
        <v>38</v>
      </c>
      <c r="AY2145" s="5" t="s">
        <v>9298</v>
      </c>
      <c r="AZ2145" s="5" t="s">
        <v>38</v>
      </c>
      <c r="BA2145" s="12"/>
      <c r="BB2145" s="12"/>
      <c r="BC2145" s="12"/>
      <c r="BD2145" s="11">
        <v>0</v>
      </c>
      <c r="BE2145" s="11">
        <v>0</v>
      </c>
    </row>
    <row x14ac:dyDescent="0.25" r="2146" customHeight="1" ht="17.25">
      <c r="A2146" s="11">
        <v>96647</v>
      </c>
      <c r="B2146" s="4" t="s">
        <v>9299</v>
      </c>
      <c r="C2146" s="5" t="s">
        <v>9300</v>
      </c>
      <c r="D2146" s="5" t="s">
        <v>9301</v>
      </c>
      <c r="E2146" s="5" t="s">
        <v>9302</v>
      </c>
      <c r="F2146" s="13">
        <f>"1401307450"</f>
      </c>
      <c r="G2146" s="13">
        <f>"9781401307455"</f>
      </c>
      <c r="H2146" s="11">
        <v>0</v>
      </c>
      <c r="I2146" s="14">
        <v>4.11</v>
      </c>
      <c r="J2146" s="7" t="s">
        <v>7171</v>
      </c>
      <c r="K2146" s="5" t="s">
        <v>60</v>
      </c>
      <c r="L2146" s="11">
        <v>465</v>
      </c>
      <c r="M2146" s="11">
        <v>2005</v>
      </c>
      <c r="N2146" s="11">
        <v>2004</v>
      </c>
      <c r="O2146" s="8">
        <v>41172</v>
      </c>
      <c r="P2146" s="8">
        <v>41035</v>
      </c>
      <c r="Q2146" s="8"/>
      <c r="R2146" s="8"/>
      <c r="S2146" s="8"/>
      <c r="T2146" s="8"/>
      <c r="U2146" s="8"/>
      <c r="V2146" s="8"/>
      <c r="W2146" s="8"/>
      <c r="X2146" s="8"/>
      <c r="Y2146" s="8"/>
      <c r="Z2146" s="8"/>
      <c r="AA2146" s="8"/>
      <c r="AB2146" s="8"/>
      <c r="AC2146" s="8"/>
      <c r="AD2146" s="8"/>
      <c r="AE2146" s="8"/>
      <c r="AF2146" s="8"/>
      <c r="AG2146" s="8"/>
      <c r="AH2146" s="8"/>
      <c r="AI2146" s="8"/>
      <c r="AJ2146" s="8"/>
      <c r="AK2146" s="8"/>
      <c r="AL2146" s="8"/>
      <c r="AM2146" s="8"/>
      <c r="AN2146" s="8"/>
      <c r="AO2146" s="8"/>
      <c r="AP2146" s="8"/>
      <c r="AQ2146" s="8"/>
      <c r="AR2146" s="8"/>
      <c r="AS2146" s="8"/>
      <c r="AT2146" s="8"/>
      <c r="AU2146" s="8"/>
      <c r="AV2146" s="8"/>
      <c r="AW2146" s="8"/>
      <c r="AX2146" s="16"/>
      <c r="AY2146" s="12"/>
      <c r="AZ2146" s="5" t="s">
        <v>158</v>
      </c>
      <c r="BA2146" s="12"/>
      <c r="BB2146" s="12"/>
      <c r="BC2146" s="12"/>
      <c r="BD2146" s="11">
        <v>1</v>
      </c>
      <c r="BE2146" s="11">
        <v>0</v>
      </c>
    </row>
    <row x14ac:dyDescent="0.25" r="2147" customHeight="1" ht="17.25">
      <c r="A2147" s="11">
        <v>260785</v>
      </c>
      <c r="B2147" s="4" t="s">
        <v>9303</v>
      </c>
      <c r="C2147" s="5" t="s">
        <v>9304</v>
      </c>
      <c r="D2147" s="5" t="s">
        <v>9305</v>
      </c>
      <c r="E2147" s="12"/>
      <c r="F2147" s="13">
        <f>"0141188391"</f>
      </c>
      <c r="G2147" s="13">
        <f>"9780141188393"</f>
      </c>
      <c r="H2147" s="11">
        <v>0</v>
      </c>
      <c r="I2147" s="14">
        <v>3.8</v>
      </c>
      <c r="J2147" s="7" t="s">
        <v>9306</v>
      </c>
      <c r="K2147" s="5" t="s">
        <v>60</v>
      </c>
      <c r="L2147" s="11">
        <v>352</v>
      </c>
      <c r="M2147" s="11">
        <v>2006</v>
      </c>
      <c r="N2147" s="11">
        <v>1952</v>
      </c>
      <c r="O2147" s="15"/>
      <c r="P2147" s="8">
        <v>41364</v>
      </c>
      <c r="Q2147" s="8"/>
      <c r="R2147" s="8"/>
      <c r="S2147" s="8"/>
      <c r="T2147" s="8"/>
      <c r="U2147" s="8"/>
      <c r="V2147" s="8"/>
      <c r="W2147" s="8"/>
      <c r="X2147" s="8"/>
      <c r="Y2147" s="8"/>
      <c r="Z2147" s="8"/>
      <c r="AA2147" s="8"/>
      <c r="AB2147" s="8"/>
      <c r="AC2147" s="8"/>
      <c r="AD2147" s="8"/>
      <c r="AE2147" s="8"/>
      <c r="AF2147" s="8"/>
      <c r="AG2147" s="8"/>
      <c r="AH2147" s="8"/>
      <c r="AI2147" s="8"/>
      <c r="AJ2147" s="8"/>
      <c r="AK2147" s="8"/>
      <c r="AL2147" s="8"/>
      <c r="AM2147" s="8"/>
      <c r="AN2147" s="8"/>
      <c r="AO2147" s="8"/>
      <c r="AP2147" s="8"/>
      <c r="AQ2147" s="8"/>
      <c r="AR2147" s="8"/>
      <c r="AS2147" s="8"/>
      <c r="AT2147" s="8"/>
      <c r="AU2147" s="8"/>
      <c r="AV2147" s="8"/>
      <c r="AW2147" s="8"/>
      <c r="AX2147" s="4" t="s">
        <v>38</v>
      </c>
      <c r="AY2147" s="5" t="s">
        <v>9307</v>
      </c>
      <c r="AZ2147" s="5" t="s">
        <v>38</v>
      </c>
      <c r="BA2147" s="12"/>
      <c r="BB2147" s="12"/>
      <c r="BC2147" s="12"/>
      <c r="BD2147" s="11">
        <v>0</v>
      </c>
      <c r="BE2147" s="11">
        <v>0</v>
      </c>
    </row>
    <row x14ac:dyDescent="0.25" r="2148" customHeight="1" ht="17.25">
      <c r="A2148" s="11">
        <v>451565</v>
      </c>
      <c r="B2148" s="4" t="s">
        <v>9308</v>
      </c>
      <c r="C2148" s="5" t="s">
        <v>2120</v>
      </c>
      <c r="D2148" s="5" t="s">
        <v>9309</v>
      </c>
      <c r="E2148" s="5" t="s">
        <v>9310</v>
      </c>
      <c r="F2148" s="13">
        <f>"0521567041"</f>
      </c>
      <c r="G2148" s="13">
        <f>"9780521567046"</f>
      </c>
      <c r="H2148" s="11">
        <v>0</v>
      </c>
      <c r="I2148" s="14">
        <v>4.19</v>
      </c>
      <c r="J2148" s="7" t="s">
        <v>636</v>
      </c>
      <c r="K2148" s="5" t="s">
        <v>60</v>
      </c>
      <c r="L2148" s="11">
        <v>428</v>
      </c>
      <c r="M2148" s="11">
        <v>1996</v>
      </c>
      <c r="N2148" s="11">
        <v>1878</v>
      </c>
      <c r="O2148" s="15"/>
      <c r="P2148" s="8">
        <v>41020</v>
      </c>
      <c r="Q2148" s="8"/>
      <c r="R2148" s="8"/>
      <c r="S2148" s="8"/>
      <c r="T2148" s="8"/>
      <c r="U2148" s="8"/>
      <c r="V2148" s="8"/>
      <c r="W2148" s="8"/>
      <c r="X2148" s="8"/>
      <c r="Y2148" s="8"/>
      <c r="Z2148" s="8"/>
      <c r="AA2148" s="8"/>
      <c r="AB2148" s="8"/>
      <c r="AC2148" s="8"/>
      <c r="AD2148" s="8"/>
      <c r="AE2148" s="8"/>
      <c r="AF2148" s="8"/>
      <c r="AG2148" s="8"/>
      <c r="AH2148" s="8"/>
      <c r="AI2148" s="8"/>
      <c r="AJ2148" s="8"/>
      <c r="AK2148" s="8"/>
      <c r="AL2148" s="8"/>
      <c r="AM2148" s="8"/>
      <c r="AN2148" s="8"/>
      <c r="AO2148" s="8"/>
      <c r="AP2148" s="8"/>
      <c r="AQ2148" s="8"/>
      <c r="AR2148" s="8"/>
      <c r="AS2148" s="8"/>
      <c r="AT2148" s="8"/>
      <c r="AU2148" s="8"/>
      <c r="AV2148" s="8"/>
      <c r="AW2148" s="8"/>
      <c r="AX2148" s="4" t="s">
        <v>38</v>
      </c>
      <c r="AY2148" s="5" t="s">
        <v>9311</v>
      </c>
      <c r="AZ2148" s="5" t="s">
        <v>38</v>
      </c>
      <c r="BA2148" s="12"/>
      <c r="BB2148" s="12"/>
      <c r="BC2148" s="12"/>
      <c r="BD2148" s="11">
        <v>0</v>
      </c>
      <c r="BE2148" s="11">
        <v>0</v>
      </c>
    </row>
    <row x14ac:dyDescent="0.25" r="2149" customHeight="1" ht="17.25">
      <c r="A2149" s="11">
        <v>452151</v>
      </c>
      <c r="B2149" s="4" t="s">
        <v>9312</v>
      </c>
      <c r="C2149" s="5" t="s">
        <v>2765</v>
      </c>
      <c r="D2149" s="5" t="s">
        <v>2766</v>
      </c>
      <c r="E2149" s="5" t="s">
        <v>9313</v>
      </c>
      <c r="F2149" s="13">
        <f>"0192802216"</f>
      </c>
      <c r="G2149" s="13">
        <f>"9780192802217"</f>
      </c>
      <c r="H2149" s="11">
        <v>0</v>
      </c>
      <c r="I2149" s="14">
        <v>3.67</v>
      </c>
      <c r="J2149" s="7" t="s">
        <v>245</v>
      </c>
      <c r="K2149" s="5" t="s">
        <v>60</v>
      </c>
      <c r="L2149" s="11">
        <v>216</v>
      </c>
      <c r="M2149" s="11">
        <v>2003</v>
      </c>
      <c r="N2149" s="11">
        <v>2003</v>
      </c>
      <c r="O2149" s="15"/>
      <c r="P2149" s="8">
        <v>42556</v>
      </c>
      <c r="Q2149" s="8"/>
      <c r="R2149" s="8"/>
      <c r="S2149" s="8"/>
      <c r="T2149" s="8"/>
      <c r="U2149" s="8"/>
      <c r="V2149" s="8"/>
      <c r="W2149" s="8"/>
      <c r="X2149" s="8"/>
      <c r="Y2149" s="8"/>
      <c r="Z2149" s="8"/>
      <c r="AA2149" s="8"/>
      <c r="AB2149" s="8"/>
      <c r="AC2149" s="8"/>
      <c r="AD2149" s="8"/>
      <c r="AE2149" s="8"/>
      <c r="AF2149" s="8"/>
      <c r="AG2149" s="8"/>
      <c r="AH2149" s="8"/>
      <c r="AI2149" s="8"/>
      <c r="AJ2149" s="8"/>
      <c r="AK2149" s="8"/>
      <c r="AL2149" s="8"/>
      <c r="AM2149" s="8"/>
      <c r="AN2149" s="8"/>
      <c r="AO2149" s="8"/>
      <c r="AP2149" s="8"/>
      <c r="AQ2149" s="8"/>
      <c r="AR2149" s="8"/>
      <c r="AS2149" s="8"/>
      <c r="AT2149" s="8"/>
      <c r="AU2149" s="8"/>
      <c r="AV2149" s="8"/>
      <c r="AW2149" s="8"/>
      <c r="AX2149" s="4" t="s">
        <v>38</v>
      </c>
      <c r="AY2149" s="5" t="s">
        <v>9314</v>
      </c>
      <c r="AZ2149" s="5" t="s">
        <v>38</v>
      </c>
      <c r="BA2149" s="12"/>
      <c r="BB2149" s="12"/>
      <c r="BC2149" s="12"/>
      <c r="BD2149" s="11">
        <v>0</v>
      </c>
      <c r="BE2149" s="11">
        <v>0</v>
      </c>
    </row>
    <row x14ac:dyDescent="0.25" r="2150" customHeight="1" ht="17.25">
      <c r="A2150" s="11">
        <v>235898</v>
      </c>
      <c r="B2150" s="4" t="s">
        <v>9315</v>
      </c>
      <c r="C2150" s="5" t="s">
        <v>9316</v>
      </c>
      <c r="D2150" s="5" t="s">
        <v>9317</v>
      </c>
      <c r="E2150" s="5" t="s">
        <v>9318</v>
      </c>
      <c r="F2150" s="13">
        <f>"1592402313"</f>
      </c>
      <c r="G2150" s="13">
        <f>"9781592402311"</f>
      </c>
      <c r="H2150" s="11">
        <v>5</v>
      </c>
      <c r="I2150" s="14">
        <v>4.36</v>
      </c>
      <c r="J2150" s="7" t="s">
        <v>9319</v>
      </c>
      <c r="K2150" s="5" t="s">
        <v>72</v>
      </c>
      <c r="L2150" s="11">
        <v>368</v>
      </c>
      <c r="M2150" s="11">
        <v>2006</v>
      </c>
      <c r="N2150" s="11">
        <v>2006</v>
      </c>
      <c r="O2150" s="15"/>
      <c r="P2150" s="8">
        <v>41305</v>
      </c>
      <c r="Q2150" s="8"/>
      <c r="R2150" s="8"/>
      <c r="S2150" s="8"/>
      <c r="T2150" s="8"/>
      <c r="U2150" s="8"/>
      <c r="V2150" s="8"/>
      <c r="W2150" s="8"/>
      <c r="X2150" s="8"/>
      <c r="Y2150" s="8"/>
      <c r="Z2150" s="8"/>
      <c r="AA2150" s="8"/>
      <c r="AB2150" s="8"/>
      <c r="AC2150" s="8"/>
      <c r="AD2150" s="8"/>
      <c r="AE2150" s="8"/>
      <c r="AF2150" s="8"/>
      <c r="AG2150" s="8"/>
      <c r="AH2150" s="8"/>
      <c r="AI2150" s="8"/>
      <c r="AJ2150" s="8"/>
      <c r="AK2150" s="8"/>
      <c r="AL2150" s="8"/>
      <c r="AM2150" s="8"/>
      <c r="AN2150" s="8"/>
      <c r="AO2150" s="8"/>
      <c r="AP2150" s="8"/>
      <c r="AQ2150" s="8"/>
      <c r="AR2150" s="8"/>
      <c r="AS2150" s="8"/>
      <c r="AT2150" s="8"/>
      <c r="AU2150" s="8"/>
      <c r="AV2150" s="8"/>
      <c r="AW2150" s="8"/>
      <c r="AX2150" s="16"/>
      <c r="AY2150" s="12"/>
      <c r="AZ2150" s="5" t="s">
        <v>158</v>
      </c>
      <c r="BA2150" s="12"/>
      <c r="BB2150" s="12"/>
      <c r="BC2150" s="12"/>
      <c r="BD2150" s="11">
        <v>1</v>
      </c>
      <c r="BE2150" s="11">
        <v>0</v>
      </c>
    </row>
    <row x14ac:dyDescent="0.25" r="2151" customHeight="1" ht="17.25">
      <c r="A2151" s="11">
        <v>93180</v>
      </c>
      <c r="B2151" s="4" t="s">
        <v>9320</v>
      </c>
      <c r="C2151" s="5" t="s">
        <v>9321</v>
      </c>
      <c r="D2151" s="5" t="s">
        <v>9322</v>
      </c>
      <c r="E2151" s="5" t="s">
        <v>9323</v>
      </c>
      <c r="F2151" s="13">
        <f>"0140445803"</f>
      </c>
      <c r="G2151" s="13">
        <f>"9780140445800"</f>
      </c>
      <c r="H2151" s="11">
        <v>0</v>
      </c>
      <c r="I2151" s="14">
        <v>4.09</v>
      </c>
      <c r="J2151" s="7" t="s">
        <v>150</v>
      </c>
      <c r="K2151" s="5" t="s">
        <v>60</v>
      </c>
      <c r="L2151" s="11">
        <v>631</v>
      </c>
      <c r="M2151" s="11">
        <v>1996</v>
      </c>
      <c r="N2151" s="11">
        <v>1847</v>
      </c>
      <c r="O2151" s="15"/>
      <c r="P2151" s="8">
        <v>41672</v>
      </c>
      <c r="Q2151" s="8"/>
      <c r="R2151" s="8"/>
      <c r="S2151" s="8"/>
      <c r="T2151" s="8"/>
      <c r="U2151" s="8"/>
      <c r="V2151" s="8"/>
      <c r="W2151" s="8"/>
      <c r="X2151" s="8"/>
      <c r="Y2151" s="8"/>
      <c r="Z2151" s="8"/>
      <c r="AA2151" s="8"/>
      <c r="AB2151" s="8"/>
      <c r="AC2151" s="8"/>
      <c r="AD2151" s="8"/>
      <c r="AE2151" s="8"/>
      <c r="AF2151" s="8"/>
      <c r="AG2151" s="8"/>
      <c r="AH2151" s="8"/>
      <c r="AI2151" s="8"/>
      <c r="AJ2151" s="8"/>
      <c r="AK2151" s="8"/>
      <c r="AL2151" s="8"/>
      <c r="AM2151" s="8"/>
      <c r="AN2151" s="8"/>
      <c r="AO2151" s="8"/>
      <c r="AP2151" s="8"/>
      <c r="AQ2151" s="8"/>
      <c r="AR2151" s="8"/>
      <c r="AS2151" s="8"/>
      <c r="AT2151" s="8"/>
      <c r="AU2151" s="8"/>
      <c r="AV2151" s="8"/>
      <c r="AW2151" s="8"/>
      <c r="AX2151" s="4" t="s">
        <v>38</v>
      </c>
      <c r="AY2151" s="5" t="s">
        <v>9324</v>
      </c>
      <c r="AZ2151" s="5" t="s">
        <v>38</v>
      </c>
      <c r="BA2151" s="12"/>
      <c r="BB2151" s="12"/>
      <c r="BC2151" s="12"/>
      <c r="BD2151" s="11">
        <v>0</v>
      </c>
      <c r="BE2151" s="11">
        <v>0</v>
      </c>
    </row>
    <row x14ac:dyDescent="0.25" r="2152" customHeight="1" ht="17.25">
      <c r="A2152" s="11">
        <v>712665</v>
      </c>
      <c r="B2152" s="4" t="s">
        <v>9325</v>
      </c>
      <c r="C2152" s="5" t="s">
        <v>9326</v>
      </c>
      <c r="D2152" s="5" t="s">
        <v>9327</v>
      </c>
      <c r="E2152" s="12"/>
      <c r="F2152" s="13">
        <f>"0316332259"</f>
      </c>
      <c r="G2152" s="13">
        <f>"9780316332255"</f>
      </c>
      <c r="H2152" s="11">
        <v>0</v>
      </c>
      <c r="I2152" s="14">
        <v>4.15</v>
      </c>
      <c r="J2152" s="7" t="s">
        <v>1746</v>
      </c>
      <c r="K2152" s="5" t="s">
        <v>72</v>
      </c>
      <c r="L2152" s="11">
        <v>560</v>
      </c>
      <c r="M2152" s="11">
        <v>1995</v>
      </c>
      <c r="N2152" s="11">
        <v>1994</v>
      </c>
      <c r="O2152" s="15"/>
      <c r="P2152" s="8">
        <v>41313</v>
      </c>
      <c r="Q2152" s="8"/>
      <c r="R2152" s="8"/>
      <c r="S2152" s="8"/>
      <c r="T2152" s="8"/>
      <c r="U2152" s="8"/>
      <c r="V2152" s="8"/>
      <c r="W2152" s="8"/>
      <c r="X2152" s="8"/>
      <c r="Y2152" s="8"/>
      <c r="Z2152" s="8"/>
      <c r="AA2152" s="8"/>
      <c r="AB2152" s="8"/>
      <c r="AC2152" s="8"/>
      <c r="AD2152" s="8"/>
      <c r="AE2152" s="8"/>
      <c r="AF2152" s="8"/>
      <c r="AG2152" s="8"/>
      <c r="AH2152" s="8"/>
      <c r="AI2152" s="8"/>
      <c r="AJ2152" s="8"/>
      <c r="AK2152" s="8"/>
      <c r="AL2152" s="8"/>
      <c r="AM2152" s="8"/>
      <c r="AN2152" s="8"/>
      <c r="AO2152" s="8"/>
      <c r="AP2152" s="8"/>
      <c r="AQ2152" s="8"/>
      <c r="AR2152" s="8"/>
      <c r="AS2152" s="8"/>
      <c r="AT2152" s="8"/>
      <c r="AU2152" s="8"/>
      <c r="AV2152" s="8"/>
      <c r="AW2152" s="8"/>
      <c r="AX2152" s="4" t="s">
        <v>38</v>
      </c>
      <c r="AY2152" s="5" t="s">
        <v>9328</v>
      </c>
      <c r="AZ2152" s="5" t="s">
        <v>38</v>
      </c>
      <c r="BA2152" s="12"/>
      <c r="BB2152" s="12"/>
      <c r="BC2152" s="12"/>
      <c r="BD2152" s="11">
        <v>0</v>
      </c>
      <c r="BE2152" s="11">
        <v>0</v>
      </c>
    </row>
    <row x14ac:dyDescent="0.25" r="2153" customHeight="1" ht="17.25">
      <c r="A2153" s="11">
        <v>97411</v>
      </c>
      <c r="B2153" s="4" t="s">
        <v>9329</v>
      </c>
      <c r="C2153" s="5" t="s">
        <v>9330</v>
      </c>
      <c r="D2153" s="5" t="s">
        <v>9331</v>
      </c>
      <c r="E2153" s="5" t="s">
        <v>9330</v>
      </c>
      <c r="F2153" s="13">
        <f>"0140442103"</f>
      </c>
      <c r="G2153" s="13">
        <f>"9780140442106"</f>
      </c>
      <c r="H2153" s="11">
        <v>0</v>
      </c>
      <c r="I2153" s="14">
        <v>4.35</v>
      </c>
      <c r="J2153" s="7" t="s">
        <v>491</v>
      </c>
      <c r="K2153" s="5" t="s">
        <v>60</v>
      </c>
      <c r="L2153" s="11">
        <v>254</v>
      </c>
      <c r="M2153" s="11">
        <v>2004</v>
      </c>
      <c r="N2153" s="11">
        <v>65</v>
      </c>
      <c r="O2153" s="15"/>
      <c r="P2153" s="8">
        <v>41616</v>
      </c>
      <c r="Q2153" s="8"/>
      <c r="R2153" s="8"/>
      <c r="S2153" s="8"/>
      <c r="T2153" s="8"/>
      <c r="U2153" s="8"/>
      <c r="V2153" s="8"/>
      <c r="W2153" s="8"/>
      <c r="X2153" s="8"/>
      <c r="Y2153" s="8"/>
      <c r="Z2153" s="8"/>
      <c r="AA2153" s="8"/>
      <c r="AB2153" s="8"/>
      <c r="AC2153" s="8"/>
      <c r="AD2153" s="8"/>
      <c r="AE2153" s="8"/>
      <c r="AF2153" s="8"/>
      <c r="AG2153" s="8"/>
      <c r="AH2153" s="8"/>
      <c r="AI2153" s="8"/>
      <c r="AJ2153" s="8"/>
      <c r="AK2153" s="8"/>
      <c r="AL2153" s="8"/>
      <c r="AM2153" s="8"/>
      <c r="AN2153" s="8"/>
      <c r="AO2153" s="8"/>
      <c r="AP2153" s="8"/>
      <c r="AQ2153" s="8"/>
      <c r="AR2153" s="8"/>
      <c r="AS2153" s="8"/>
      <c r="AT2153" s="8"/>
      <c r="AU2153" s="8"/>
      <c r="AV2153" s="8"/>
      <c r="AW2153" s="8"/>
      <c r="AX2153" s="4" t="s">
        <v>38</v>
      </c>
      <c r="AY2153" s="5" t="s">
        <v>9332</v>
      </c>
      <c r="AZ2153" s="5" t="s">
        <v>38</v>
      </c>
      <c r="BA2153" s="12"/>
      <c r="BB2153" s="12"/>
      <c r="BC2153" s="12"/>
      <c r="BD2153" s="11">
        <v>0</v>
      </c>
      <c r="BE2153" s="11">
        <v>0</v>
      </c>
    </row>
    <row x14ac:dyDescent="0.25" r="2154" customHeight="1" ht="17.25">
      <c r="A2154" s="11">
        <v>30659</v>
      </c>
      <c r="B2154" s="4" t="s">
        <v>9333</v>
      </c>
      <c r="C2154" s="5" t="s">
        <v>9334</v>
      </c>
      <c r="D2154" s="5" t="s">
        <v>9335</v>
      </c>
      <c r="E2154" s="5" t="s">
        <v>9336</v>
      </c>
      <c r="F2154" s="13">
        <f>"0140449337"</f>
      </c>
      <c r="G2154" s="13">
        <f>"9780140449334"</f>
      </c>
      <c r="H2154" s="11">
        <v>0</v>
      </c>
      <c r="I2154" s="14">
        <v>4.27</v>
      </c>
      <c r="J2154" s="7" t="s">
        <v>491</v>
      </c>
      <c r="K2154" s="5" t="s">
        <v>60</v>
      </c>
      <c r="L2154" s="11">
        <v>254</v>
      </c>
      <c r="M2154" s="11">
        <v>2006</v>
      </c>
      <c r="N2154" s="11">
        <v>180</v>
      </c>
      <c r="O2154" s="15"/>
      <c r="P2154" s="8">
        <v>41612</v>
      </c>
      <c r="Q2154" s="8"/>
      <c r="R2154" s="8"/>
      <c r="S2154" s="8"/>
      <c r="T2154" s="8"/>
      <c r="U2154" s="8"/>
      <c r="V2154" s="8"/>
      <c r="W2154" s="8"/>
      <c r="X2154" s="8"/>
      <c r="Y2154" s="8"/>
      <c r="Z2154" s="8"/>
      <c r="AA2154" s="8"/>
      <c r="AB2154" s="8"/>
      <c r="AC2154" s="8"/>
      <c r="AD2154" s="8"/>
      <c r="AE2154" s="8"/>
      <c r="AF2154" s="8"/>
      <c r="AG2154" s="8"/>
      <c r="AH2154" s="8"/>
      <c r="AI2154" s="8"/>
      <c r="AJ2154" s="8"/>
      <c r="AK2154" s="8"/>
      <c r="AL2154" s="8"/>
      <c r="AM2154" s="8"/>
      <c r="AN2154" s="8"/>
      <c r="AO2154" s="8"/>
      <c r="AP2154" s="8"/>
      <c r="AQ2154" s="8"/>
      <c r="AR2154" s="8"/>
      <c r="AS2154" s="8"/>
      <c r="AT2154" s="8"/>
      <c r="AU2154" s="8"/>
      <c r="AV2154" s="8"/>
      <c r="AW2154" s="8"/>
      <c r="AX2154" s="4" t="s">
        <v>38</v>
      </c>
      <c r="AY2154" s="5" t="s">
        <v>9337</v>
      </c>
      <c r="AZ2154" s="5" t="s">
        <v>38</v>
      </c>
      <c r="BA2154" s="12"/>
      <c r="BB2154" s="12"/>
      <c r="BC2154" s="12"/>
      <c r="BD2154" s="11">
        <v>0</v>
      </c>
      <c r="BE2154" s="11">
        <v>0</v>
      </c>
    </row>
    <row x14ac:dyDescent="0.25" r="2155" customHeight="1" ht="17.25">
      <c r="A2155" s="11">
        <v>29851672</v>
      </c>
      <c r="B2155" s="4" t="s">
        <v>9338</v>
      </c>
      <c r="C2155" s="5" t="s">
        <v>9339</v>
      </c>
      <c r="D2155" s="5" t="s">
        <v>9340</v>
      </c>
      <c r="E2155" s="12"/>
      <c r="F2155" s="13">
        <f>"8432229148"</f>
      </c>
      <c r="G2155" s="13">
        <f>"9788432229145"</f>
      </c>
      <c r="H2155" s="11">
        <v>0</v>
      </c>
      <c r="I2155" s="14">
        <v>3.77</v>
      </c>
      <c r="J2155" s="7" t="s">
        <v>3469</v>
      </c>
      <c r="K2155" s="5" t="s">
        <v>90</v>
      </c>
      <c r="L2155" s="11">
        <v>206</v>
      </c>
      <c r="M2155" s="11">
        <v>2016</v>
      </c>
      <c r="N2155" s="11">
        <v>2016</v>
      </c>
      <c r="O2155" s="15"/>
      <c r="P2155" s="8">
        <v>42542</v>
      </c>
      <c r="Q2155" s="8"/>
      <c r="R2155" s="8"/>
      <c r="S2155" s="8"/>
      <c r="T2155" s="8"/>
      <c r="U2155" s="8"/>
      <c r="V2155" s="8"/>
      <c r="W2155" s="8"/>
      <c r="X2155" s="8"/>
      <c r="Y2155" s="8"/>
      <c r="Z2155" s="8"/>
      <c r="AA2155" s="8"/>
      <c r="AB2155" s="8"/>
      <c r="AC2155" s="8"/>
      <c r="AD2155" s="8"/>
      <c r="AE2155" s="8"/>
      <c r="AF2155" s="8"/>
      <c r="AG2155" s="8"/>
      <c r="AH2155" s="8"/>
      <c r="AI2155" s="8"/>
      <c r="AJ2155" s="8"/>
      <c r="AK2155" s="8"/>
      <c r="AL2155" s="8"/>
      <c r="AM2155" s="8"/>
      <c r="AN2155" s="8"/>
      <c r="AO2155" s="8"/>
      <c r="AP2155" s="8"/>
      <c r="AQ2155" s="8"/>
      <c r="AR2155" s="8"/>
      <c r="AS2155" s="8"/>
      <c r="AT2155" s="8"/>
      <c r="AU2155" s="8"/>
      <c r="AV2155" s="8"/>
      <c r="AW2155" s="8"/>
      <c r="AX2155" s="4" t="s">
        <v>38</v>
      </c>
      <c r="AY2155" s="5" t="s">
        <v>9341</v>
      </c>
      <c r="AZ2155" s="5" t="s">
        <v>38</v>
      </c>
      <c r="BA2155" s="12"/>
      <c r="BB2155" s="12"/>
      <c r="BC2155" s="12"/>
      <c r="BD2155" s="11">
        <v>0</v>
      </c>
      <c r="BE2155" s="11">
        <v>0</v>
      </c>
    </row>
    <row x14ac:dyDescent="0.25" r="2156" customHeight="1" ht="17.25">
      <c r="A2156" s="11">
        <v>17290904</v>
      </c>
      <c r="B2156" s="4" t="s">
        <v>9342</v>
      </c>
      <c r="C2156" s="5" t="s">
        <v>9343</v>
      </c>
      <c r="D2156" s="5" t="s">
        <v>9344</v>
      </c>
      <c r="E2156" s="12"/>
      <c r="F2156" s="13">
        <f>"1616494603"</f>
      </c>
      <c r="G2156" s="13">
        <f>"9781616494605"</f>
      </c>
      <c r="H2156" s="11">
        <v>0</v>
      </c>
      <c r="I2156" s="14">
        <v>3.47</v>
      </c>
      <c r="J2156" s="7" t="s">
        <v>9345</v>
      </c>
      <c r="K2156" s="5" t="s">
        <v>60</v>
      </c>
      <c r="L2156" s="11">
        <v>260</v>
      </c>
      <c r="M2156" s="11">
        <v>2013</v>
      </c>
      <c r="N2156" s="11">
        <v>2013</v>
      </c>
      <c r="O2156" s="15"/>
      <c r="P2156" s="8">
        <v>42556</v>
      </c>
      <c r="Q2156" s="8"/>
      <c r="R2156" s="8"/>
      <c r="S2156" s="8"/>
      <c r="T2156" s="8"/>
      <c r="U2156" s="8"/>
      <c r="V2156" s="8"/>
      <c r="W2156" s="8"/>
      <c r="X2156" s="8"/>
      <c r="Y2156" s="8"/>
      <c r="Z2156" s="8"/>
      <c r="AA2156" s="8"/>
      <c r="AB2156" s="8"/>
      <c r="AC2156" s="8"/>
      <c r="AD2156" s="8"/>
      <c r="AE2156" s="8"/>
      <c r="AF2156" s="8"/>
      <c r="AG2156" s="8"/>
      <c r="AH2156" s="8"/>
      <c r="AI2156" s="8"/>
      <c r="AJ2156" s="8"/>
      <c r="AK2156" s="8"/>
      <c r="AL2156" s="8"/>
      <c r="AM2156" s="8"/>
      <c r="AN2156" s="8"/>
      <c r="AO2156" s="8"/>
      <c r="AP2156" s="8"/>
      <c r="AQ2156" s="8"/>
      <c r="AR2156" s="8"/>
      <c r="AS2156" s="8"/>
      <c r="AT2156" s="8"/>
      <c r="AU2156" s="8"/>
      <c r="AV2156" s="8"/>
      <c r="AW2156" s="8"/>
      <c r="AX2156" s="4" t="s">
        <v>38</v>
      </c>
      <c r="AY2156" s="5" t="s">
        <v>9346</v>
      </c>
      <c r="AZ2156" s="5" t="s">
        <v>38</v>
      </c>
      <c r="BA2156" s="12"/>
      <c r="BB2156" s="12"/>
      <c r="BC2156" s="12"/>
      <c r="BD2156" s="11">
        <v>0</v>
      </c>
      <c r="BE2156" s="11">
        <v>0</v>
      </c>
    </row>
    <row x14ac:dyDescent="0.25" r="2157" customHeight="1" ht="17.25">
      <c r="A2157" s="11">
        <v>16290350</v>
      </c>
      <c r="B2157" s="4" t="s">
        <v>9347</v>
      </c>
      <c r="C2157" s="5" t="s">
        <v>9348</v>
      </c>
      <c r="D2157" s="5" t="s">
        <v>9349</v>
      </c>
      <c r="E2157" s="5" t="s">
        <v>9350</v>
      </c>
      <c r="F2157" s="13">
        <f>"1479347744"</f>
      </c>
      <c r="G2157" s="13">
        <f>"9781479347742"</f>
      </c>
      <c r="H2157" s="11">
        <v>0</v>
      </c>
      <c r="I2157" s="11">
        <v>4</v>
      </c>
      <c r="J2157" s="7" t="s">
        <v>5695</v>
      </c>
      <c r="K2157" s="5" t="s">
        <v>60</v>
      </c>
      <c r="L2157" s="11">
        <v>170</v>
      </c>
      <c r="M2157" s="11">
        <v>2012</v>
      </c>
      <c r="N2157" s="11">
        <v>2012</v>
      </c>
      <c r="O2157" s="15"/>
      <c r="P2157" s="8">
        <v>41664</v>
      </c>
      <c r="Q2157" s="8"/>
      <c r="R2157" s="8"/>
      <c r="S2157" s="8"/>
      <c r="T2157" s="8"/>
      <c r="U2157" s="8"/>
      <c r="V2157" s="8"/>
      <c r="W2157" s="8"/>
      <c r="X2157" s="8"/>
      <c r="Y2157" s="8"/>
      <c r="Z2157" s="8"/>
      <c r="AA2157" s="8"/>
      <c r="AB2157" s="8"/>
      <c r="AC2157" s="8"/>
      <c r="AD2157" s="8"/>
      <c r="AE2157" s="8"/>
      <c r="AF2157" s="8"/>
      <c r="AG2157" s="8"/>
      <c r="AH2157" s="8"/>
      <c r="AI2157" s="8"/>
      <c r="AJ2157" s="8"/>
      <c r="AK2157" s="8"/>
      <c r="AL2157" s="8"/>
      <c r="AM2157" s="8"/>
      <c r="AN2157" s="8"/>
      <c r="AO2157" s="8"/>
      <c r="AP2157" s="8"/>
      <c r="AQ2157" s="8"/>
      <c r="AR2157" s="8"/>
      <c r="AS2157" s="8"/>
      <c r="AT2157" s="8"/>
      <c r="AU2157" s="8"/>
      <c r="AV2157" s="8"/>
      <c r="AW2157" s="8"/>
      <c r="AX2157" s="4" t="s">
        <v>38</v>
      </c>
      <c r="AY2157" s="5" t="s">
        <v>9351</v>
      </c>
      <c r="AZ2157" s="5" t="s">
        <v>38</v>
      </c>
      <c r="BA2157" s="12"/>
      <c r="BB2157" s="12"/>
      <c r="BC2157" s="12"/>
      <c r="BD2157" s="11">
        <v>0</v>
      </c>
      <c r="BE2157" s="11">
        <v>0</v>
      </c>
    </row>
    <row x14ac:dyDescent="0.25" r="2158" customHeight="1" ht="17.25">
      <c r="A2158" s="11">
        <v>10031</v>
      </c>
      <c r="B2158" s="4" t="s">
        <v>9352</v>
      </c>
      <c r="C2158" s="5" t="s">
        <v>3830</v>
      </c>
      <c r="D2158" s="5" t="s">
        <v>3831</v>
      </c>
      <c r="E2158" s="12"/>
      <c r="F2158" s="13">
        <f>"184391400X"</f>
      </c>
      <c r="G2158" s="13">
        <f>"9781843914006"</f>
      </c>
      <c r="H2158" s="11">
        <v>0</v>
      </c>
      <c r="I2158" s="14">
        <v>4.07</v>
      </c>
      <c r="J2158" s="7" t="s">
        <v>9353</v>
      </c>
      <c r="K2158" s="5" t="s">
        <v>60</v>
      </c>
      <c r="L2158" s="11">
        <v>183</v>
      </c>
      <c r="M2158" s="11">
        <v>2005</v>
      </c>
      <c r="N2158" s="11">
        <v>1939</v>
      </c>
      <c r="O2158" s="15"/>
      <c r="P2158" s="8">
        <v>41494</v>
      </c>
      <c r="Q2158" s="8"/>
      <c r="R2158" s="8"/>
      <c r="S2158" s="8"/>
      <c r="T2158" s="8"/>
      <c r="U2158" s="8"/>
      <c r="V2158" s="8"/>
      <c r="W2158" s="8"/>
      <c r="X2158" s="8"/>
      <c r="Y2158" s="8"/>
      <c r="Z2158" s="8"/>
      <c r="AA2158" s="8"/>
      <c r="AB2158" s="8"/>
      <c r="AC2158" s="8"/>
      <c r="AD2158" s="8"/>
      <c r="AE2158" s="8"/>
      <c r="AF2158" s="8"/>
      <c r="AG2158" s="8"/>
      <c r="AH2158" s="8"/>
      <c r="AI2158" s="8"/>
      <c r="AJ2158" s="8"/>
      <c r="AK2158" s="8"/>
      <c r="AL2158" s="8"/>
      <c r="AM2158" s="8"/>
      <c r="AN2158" s="8"/>
      <c r="AO2158" s="8"/>
      <c r="AP2158" s="8"/>
      <c r="AQ2158" s="8"/>
      <c r="AR2158" s="8"/>
      <c r="AS2158" s="8"/>
      <c r="AT2158" s="8"/>
      <c r="AU2158" s="8"/>
      <c r="AV2158" s="8"/>
      <c r="AW2158" s="8"/>
      <c r="AX2158" s="4" t="s">
        <v>38</v>
      </c>
      <c r="AY2158" s="5" t="s">
        <v>9354</v>
      </c>
      <c r="AZ2158" s="5" t="s">
        <v>38</v>
      </c>
      <c r="BA2158" s="12"/>
      <c r="BB2158" s="12"/>
      <c r="BC2158" s="12"/>
      <c r="BD2158" s="11">
        <v>0</v>
      </c>
      <c r="BE2158" s="11">
        <v>0</v>
      </c>
    </row>
    <row x14ac:dyDescent="0.25" r="2159" customHeight="1" ht="17.25">
      <c r="A2159" s="11">
        <v>17560327</v>
      </c>
      <c r="B2159" s="4" t="s">
        <v>9355</v>
      </c>
      <c r="C2159" s="5" t="s">
        <v>9356</v>
      </c>
      <c r="D2159" s="5" t="s">
        <v>9357</v>
      </c>
      <c r="E2159" s="12"/>
      <c r="F2159" s="13">
        <f>""</f>
      </c>
      <c r="G2159" s="13">
        <f>""</f>
      </c>
      <c r="H2159" s="11">
        <v>0</v>
      </c>
      <c r="I2159" s="14">
        <v>4.04</v>
      </c>
      <c r="J2159" s="7" t="s">
        <v>9358</v>
      </c>
      <c r="K2159" s="5" t="s">
        <v>60</v>
      </c>
      <c r="L2159" s="11">
        <v>194</v>
      </c>
      <c r="M2159" s="11">
        <v>2013</v>
      </c>
      <c r="N2159" s="11">
        <v>2012</v>
      </c>
      <c r="O2159" s="15"/>
      <c r="P2159" s="8">
        <v>41466</v>
      </c>
      <c r="Q2159" s="8"/>
      <c r="R2159" s="8"/>
      <c r="S2159" s="8"/>
      <c r="T2159" s="8"/>
      <c r="U2159" s="8"/>
      <c r="V2159" s="8"/>
      <c r="W2159" s="8"/>
      <c r="X2159" s="8"/>
      <c r="Y2159" s="8"/>
      <c r="Z2159" s="8"/>
      <c r="AA2159" s="8"/>
      <c r="AB2159" s="8"/>
      <c r="AC2159" s="8"/>
      <c r="AD2159" s="8"/>
      <c r="AE2159" s="8"/>
      <c r="AF2159" s="8"/>
      <c r="AG2159" s="8"/>
      <c r="AH2159" s="8"/>
      <c r="AI2159" s="8"/>
      <c r="AJ2159" s="8"/>
      <c r="AK2159" s="8"/>
      <c r="AL2159" s="8"/>
      <c r="AM2159" s="8"/>
      <c r="AN2159" s="8"/>
      <c r="AO2159" s="8"/>
      <c r="AP2159" s="8"/>
      <c r="AQ2159" s="8"/>
      <c r="AR2159" s="8"/>
      <c r="AS2159" s="8"/>
      <c r="AT2159" s="8"/>
      <c r="AU2159" s="8"/>
      <c r="AV2159" s="8"/>
      <c r="AW2159" s="8"/>
      <c r="AX2159" s="4" t="s">
        <v>38</v>
      </c>
      <c r="AY2159" s="5" t="s">
        <v>9359</v>
      </c>
      <c r="AZ2159" s="5" t="s">
        <v>38</v>
      </c>
      <c r="BA2159" s="12"/>
      <c r="BB2159" s="12"/>
      <c r="BC2159" s="12"/>
      <c r="BD2159" s="11">
        <v>0</v>
      </c>
      <c r="BE2159" s="11">
        <v>0</v>
      </c>
    </row>
    <row x14ac:dyDescent="0.25" r="2160" customHeight="1" ht="17.25">
      <c r="A2160" s="11">
        <v>4604185</v>
      </c>
      <c r="B2160" s="4" t="s">
        <v>4773</v>
      </c>
      <c r="C2160" s="5" t="s">
        <v>4774</v>
      </c>
      <c r="D2160" s="5" t="s">
        <v>4775</v>
      </c>
      <c r="E2160" s="12"/>
      <c r="F2160" s="13">
        <f>"2846822360"</f>
      </c>
      <c r="G2160" s="13">
        <f>"9782846822367"</f>
      </c>
      <c r="H2160" s="11">
        <v>3</v>
      </c>
      <c r="I2160" s="14">
        <v>4.12</v>
      </c>
      <c r="J2160" s="7" t="s">
        <v>9360</v>
      </c>
      <c r="K2160" s="5" t="s">
        <v>60</v>
      </c>
      <c r="L2160" s="11">
        <v>128</v>
      </c>
      <c r="M2160" s="11">
        <v>2008</v>
      </c>
      <c r="N2160" s="11">
        <v>2008</v>
      </c>
      <c r="O2160" s="8">
        <v>41074</v>
      </c>
      <c r="P2160" s="8">
        <v>41048</v>
      </c>
      <c r="Q2160" s="8"/>
      <c r="R2160" s="8"/>
      <c r="S2160" s="8"/>
      <c r="T2160" s="8"/>
      <c r="U2160" s="8"/>
      <c r="V2160" s="8"/>
      <c r="W2160" s="8"/>
      <c r="X2160" s="8"/>
      <c r="Y2160" s="8"/>
      <c r="Z2160" s="8"/>
      <c r="AA2160" s="8"/>
      <c r="AB2160" s="8"/>
      <c r="AC2160" s="8"/>
      <c r="AD2160" s="8"/>
      <c r="AE2160" s="8"/>
      <c r="AF2160" s="8"/>
      <c r="AG2160" s="8"/>
      <c r="AH2160" s="8"/>
      <c r="AI2160" s="8"/>
      <c r="AJ2160" s="8"/>
      <c r="AK2160" s="8"/>
      <c r="AL2160" s="8"/>
      <c r="AM2160" s="8"/>
      <c r="AN2160" s="8"/>
      <c r="AO2160" s="8"/>
      <c r="AP2160" s="8"/>
      <c r="AQ2160" s="8"/>
      <c r="AR2160" s="8"/>
      <c r="AS2160" s="8"/>
      <c r="AT2160" s="8"/>
      <c r="AU2160" s="8"/>
      <c r="AV2160" s="8"/>
      <c r="AW2160" s="8"/>
      <c r="AX2160" s="16"/>
      <c r="AY2160" s="12"/>
      <c r="AZ2160" s="5" t="s">
        <v>158</v>
      </c>
      <c r="BA2160" s="12"/>
      <c r="BB2160" s="12"/>
      <c r="BC2160" s="12"/>
      <c r="BD2160" s="11">
        <v>1</v>
      </c>
      <c r="BE2160" s="11">
        <v>0</v>
      </c>
    </row>
    <row x14ac:dyDescent="0.25" r="2161" customHeight="1" ht="17.25">
      <c r="A2161" s="11">
        <v>4569952</v>
      </c>
      <c r="B2161" s="4" t="s">
        <v>9361</v>
      </c>
      <c r="C2161" s="5" t="s">
        <v>9362</v>
      </c>
      <c r="D2161" s="5" t="s">
        <v>9363</v>
      </c>
      <c r="E2161" s="5" t="s">
        <v>9364</v>
      </c>
      <c r="F2161" s="13">
        <f>"1590784723"</f>
      </c>
      <c r="G2161" s="13">
        <f>"9781590784723"</f>
      </c>
      <c r="H2161" s="11">
        <v>0</v>
      </c>
      <c r="I2161" s="14">
        <v>3.6</v>
      </c>
      <c r="J2161" s="7" t="s">
        <v>9365</v>
      </c>
      <c r="K2161" s="5" t="s">
        <v>72</v>
      </c>
      <c r="L2161" s="11">
        <v>118</v>
      </c>
      <c r="M2161" s="11">
        <v>2008</v>
      </c>
      <c r="N2161" s="11">
        <v>2006</v>
      </c>
      <c r="O2161" s="15"/>
      <c r="P2161" s="9">
        <v>41626</v>
      </c>
      <c r="Q2161" s="9"/>
      <c r="R2161" s="9"/>
      <c r="S2161" s="9"/>
      <c r="T2161" s="9"/>
      <c r="U2161" s="9"/>
      <c r="V2161" s="9"/>
      <c r="W2161" s="9"/>
      <c r="X2161" s="9"/>
      <c r="Y2161" s="9"/>
      <c r="Z2161" s="9"/>
      <c r="AA2161" s="9"/>
      <c r="AB2161" s="9"/>
      <c r="AC2161" s="9"/>
      <c r="AD2161" s="9"/>
      <c r="AE2161" s="9"/>
      <c r="AF2161" s="9"/>
      <c r="AG2161" s="9"/>
      <c r="AH2161" s="9"/>
      <c r="AI2161" s="9"/>
      <c r="AJ2161" s="9"/>
      <c r="AK2161" s="9"/>
      <c r="AL2161" s="9"/>
      <c r="AM2161" s="9"/>
      <c r="AN2161" s="9"/>
      <c r="AO2161" s="9"/>
      <c r="AP2161" s="9"/>
      <c r="AQ2161" s="9"/>
      <c r="AR2161" s="9"/>
      <c r="AS2161" s="9"/>
      <c r="AT2161" s="9"/>
      <c r="AU2161" s="9"/>
      <c r="AV2161" s="9"/>
      <c r="AW2161" s="9"/>
      <c r="AX2161" s="4" t="s">
        <v>38</v>
      </c>
      <c r="AY2161" s="5" t="s">
        <v>9366</v>
      </c>
      <c r="AZ2161" s="5" t="s">
        <v>38</v>
      </c>
      <c r="BA2161" s="12"/>
      <c r="BB2161" s="12"/>
      <c r="BC2161" s="12"/>
      <c r="BD2161" s="11">
        <v>0</v>
      </c>
      <c r="BE2161" s="11">
        <v>0</v>
      </c>
    </row>
    <row x14ac:dyDescent="0.25" r="2162" customHeight="1" ht="17.25">
      <c r="A2162" s="11">
        <v>20657</v>
      </c>
      <c r="B2162" s="4" t="s">
        <v>9367</v>
      </c>
      <c r="C2162" s="5" t="s">
        <v>9368</v>
      </c>
      <c r="D2162" s="5" t="s">
        <v>9369</v>
      </c>
      <c r="E2162" s="12"/>
      <c r="F2162" s="13">
        <f>"1555973035"</f>
      </c>
      <c r="G2162" s="13">
        <f>"9781555973032"</f>
      </c>
      <c r="H2162" s="11">
        <v>0</v>
      </c>
      <c r="I2162" s="14">
        <v>4.15</v>
      </c>
      <c r="J2162" s="7" t="s">
        <v>1001</v>
      </c>
      <c r="K2162" s="5" t="s">
        <v>60</v>
      </c>
      <c r="L2162" s="11">
        <v>85</v>
      </c>
      <c r="M2162" s="11">
        <v>2000</v>
      </c>
      <c r="N2162" s="11">
        <v>2000</v>
      </c>
      <c r="O2162" s="15"/>
      <c r="P2162" s="9">
        <v>41627</v>
      </c>
      <c r="Q2162" s="9"/>
      <c r="R2162" s="9"/>
      <c r="S2162" s="9"/>
      <c r="T2162" s="9"/>
      <c r="U2162" s="9"/>
      <c r="V2162" s="9"/>
      <c r="W2162" s="9"/>
      <c r="X2162" s="9"/>
      <c r="Y2162" s="9"/>
      <c r="Z2162" s="9"/>
      <c r="AA2162" s="9"/>
      <c r="AB2162" s="9"/>
      <c r="AC2162" s="9"/>
      <c r="AD2162" s="9"/>
      <c r="AE2162" s="9"/>
      <c r="AF2162" s="9"/>
      <c r="AG2162" s="9"/>
      <c r="AH2162" s="9"/>
      <c r="AI2162" s="9"/>
      <c r="AJ2162" s="9"/>
      <c r="AK2162" s="9"/>
      <c r="AL2162" s="9"/>
      <c r="AM2162" s="9"/>
      <c r="AN2162" s="9"/>
      <c r="AO2162" s="9"/>
      <c r="AP2162" s="9"/>
      <c r="AQ2162" s="9"/>
      <c r="AR2162" s="9"/>
      <c r="AS2162" s="9"/>
      <c r="AT2162" s="9"/>
      <c r="AU2162" s="9"/>
      <c r="AV2162" s="9"/>
      <c r="AW2162" s="9"/>
      <c r="AX2162" s="4" t="s">
        <v>38</v>
      </c>
      <c r="AY2162" s="5" t="s">
        <v>9370</v>
      </c>
      <c r="AZ2162" s="5" t="s">
        <v>38</v>
      </c>
      <c r="BA2162" s="12"/>
      <c r="BB2162" s="12"/>
      <c r="BC2162" s="12"/>
      <c r="BD2162" s="11">
        <v>0</v>
      </c>
      <c r="BE2162" s="11">
        <v>0</v>
      </c>
    </row>
    <row x14ac:dyDescent="0.25" r="2163" customHeight="1" ht="17.25">
      <c r="A2163" s="11">
        <v>298275</v>
      </c>
      <c r="B2163" s="4" t="s">
        <v>9371</v>
      </c>
      <c r="C2163" s="5" t="s">
        <v>3830</v>
      </c>
      <c r="D2163" s="5" t="s">
        <v>3831</v>
      </c>
      <c r="E2163" s="5" t="s">
        <v>9372</v>
      </c>
      <c r="F2163" s="13">
        <f>"0811201880"</f>
      </c>
      <c r="G2163" s="13">
        <f>"9780811201889"</f>
      </c>
      <c r="H2163" s="11">
        <v>0</v>
      </c>
      <c r="I2163" s="14">
        <v>3.94</v>
      </c>
      <c r="J2163" s="7" t="s">
        <v>126</v>
      </c>
      <c r="K2163" s="5" t="s">
        <v>72</v>
      </c>
      <c r="L2163" s="11">
        <v>178</v>
      </c>
      <c r="M2163" s="11">
        <v>1969</v>
      </c>
      <c r="N2163" s="11">
        <v>1938</v>
      </c>
      <c r="O2163" s="15"/>
      <c r="P2163" s="8">
        <v>41364</v>
      </c>
      <c r="Q2163" s="8"/>
      <c r="R2163" s="8"/>
      <c r="S2163" s="8"/>
      <c r="T2163" s="8"/>
      <c r="U2163" s="8"/>
      <c r="V2163" s="8"/>
      <c r="W2163" s="8"/>
      <c r="X2163" s="8"/>
      <c r="Y2163" s="8"/>
      <c r="Z2163" s="8"/>
      <c r="AA2163" s="8"/>
      <c r="AB2163" s="8"/>
      <c r="AC2163" s="8"/>
      <c r="AD2163" s="8"/>
      <c r="AE2163" s="8"/>
      <c r="AF2163" s="8"/>
      <c r="AG2163" s="8"/>
      <c r="AH2163" s="8"/>
      <c r="AI2163" s="8"/>
      <c r="AJ2163" s="8"/>
      <c r="AK2163" s="8"/>
      <c r="AL2163" s="8"/>
      <c r="AM2163" s="8"/>
      <c r="AN2163" s="8"/>
      <c r="AO2163" s="8"/>
      <c r="AP2163" s="8"/>
      <c r="AQ2163" s="8"/>
      <c r="AR2163" s="8"/>
      <c r="AS2163" s="8"/>
      <c r="AT2163" s="8"/>
      <c r="AU2163" s="8"/>
      <c r="AV2163" s="8"/>
      <c r="AW2163" s="8"/>
      <c r="AX2163" s="4" t="s">
        <v>38</v>
      </c>
      <c r="AY2163" s="5" t="s">
        <v>9373</v>
      </c>
      <c r="AZ2163" s="5" t="s">
        <v>38</v>
      </c>
      <c r="BA2163" s="12"/>
      <c r="BB2163" s="12"/>
      <c r="BC2163" s="12"/>
      <c r="BD2163" s="11">
        <v>0</v>
      </c>
      <c r="BE2163" s="11">
        <v>0</v>
      </c>
    </row>
    <row x14ac:dyDescent="0.25" r="2164" customHeight="1" ht="17.25">
      <c r="A2164" s="11">
        <v>15997</v>
      </c>
      <c r="B2164" s="4" t="s">
        <v>9374</v>
      </c>
      <c r="C2164" s="5" t="s">
        <v>9375</v>
      </c>
      <c r="D2164" s="5" t="s">
        <v>9376</v>
      </c>
      <c r="E2164" s="12"/>
      <c r="F2164" s="13">
        <f>"0140424393"</f>
      </c>
      <c r="G2164" s="13">
        <f>"9780140424393"</f>
      </c>
      <c r="H2164" s="11">
        <v>0</v>
      </c>
      <c r="I2164" s="14">
        <v>3.84</v>
      </c>
      <c r="J2164" s="7" t="s">
        <v>263</v>
      </c>
      <c r="K2164" s="5" t="s">
        <v>60</v>
      </c>
      <c r="L2164" s="11">
        <v>453</v>
      </c>
      <c r="M2164" s="11">
        <v>2003</v>
      </c>
      <c r="N2164" s="11">
        <v>1667</v>
      </c>
      <c r="O2164" s="15"/>
      <c r="P2164" s="8">
        <v>41494</v>
      </c>
      <c r="Q2164" s="8"/>
      <c r="R2164" s="8"/>
      <c r="S2164" s="8"/>
      <c r="T2164" s="8"/>
      <c r="U2164" s="8"/>
      <c r="V2164" s="8"/>
      <c r="W2164" s="8"/>
      <c r="X2164" s="8"/>
      <c r="Y2164" s="8"/>
      <c r="Z2164" s="8"/>
      <c r="AA2164" s="8"/>
      <c r="AB2164" s="8"/>
      <c r="AC2164" s="8"/>
      <c r="AD2164" s="8"/>
      <c r="AE2164" s="8"/>
      <c r="AF2164" s="8"/>
      <c r="AG2164" s="8"/>
      <c r="AH2164" s="8"/>
      <c r="AI2164" s="8"/>
      <c r="AJ2164" s="8"/>
      <c r="AK2164" s="8"/>
      <c r="AL2164" s="8"/>
      <c r="AM2164" s="8"/>
      <c r="AN2164" s="8"/>
      <c r="AO2164" s="8"/>
      <c r="AP2164" s="8"/>
      <c r="AQ2164" s="8"/>
      <c r="AR2164" s="8"/>
      <c r="AS2164" s="8"/>
      <c r="AT2164" s="8"/>
      <c r="AU2164" s="8"/>
      <c r="AV2164" s="8"/>
      <c r="AW2164" s="8"/>
      <c r="AX2164" s="4" t="s">
        <v>38</v>
      </c>
      <c r="AY2164" s="5" t="s">
        <v>9377</v>
      </c>
      <c r="AZ2164" s="5" t="s">
        <v>38</v>
      </c>
      <c r="BA2164" s="12"/>
      <c r="BB2164" s="12"/>
      <c r="BC2164" s="12"/>
      <c r="BD2164" s="11">
        <v>0</v>
      </c>
      <c r="BE2164" s="11">
        <v>0</v>
      </c>
    </row>
    <row x14ac:dyDescent="0.25" r="2165" customHeight="1" ht="17.25">
      <c r="A2165" s="11">
        <v>24965</v>
      </c>
      <c r="B2165" s="4" t="s">
        <v>9378</v>
      </c>
      <c r="C2165" s="5" t="s">
        <v>9379</v>
      </c>
      <c r="D2165" s="5" t="s">
        <v>9380</v>
      </c>
      <c r="E2165" s="5" t="s">
        <v>9381</v>
      </c>
      <c r="F2165" s="13">
        <f>"0143037579"</f>
      </c>
      <c r="G2165" s="13">
        <f>"9780143037576"</f>
      </c>
      <c r="H2165" s="11">
        <v>0</v>
      </c>
      <c r="I2165" s="11">
        <v>4</v>
      </c>
      <c r="J2165" s="7" t="s">
        <v>491</v>
      </c>
      <c r="K2165" s="5" t="s">
        <v>60</v>
      </c>
      <c r="L2165" s="11">
        <v>152</v>
      </c>
      <c r="M2165" s="11">
        <v>2006</v>
      </c>
      <c r="N2165" s="11">
        <v>1843</v>
      </c>
      <c r="O2165" s="15"/>
      <c r="P2165" s="8">
        <v>41612</v>
      </c>
      <c r="Q2165" s="8"/>
      <c r="R2165" s="8"/>
      <c r="S2165" s="8"/>
      <c r="T2165" s="8"/>
      <c r="U2165" s="8"/>
      <c r="V2165" s="8"/>
      <c r="W2165" s="8"/>
      <c r="X2165" s="8"/>
      <c r="Y2165" s="8"/>
      <c r="Z2165" s="8"/>
      <c r="AA2165" s="8"/>
      <c r="AB2165" s="8"/>
      <c r="AC2165" s="8"/>
      <c r="AD2165" s="8"/>
      <c r="AE2165" s="8"/>
      <c r="AF2165" s="8"/>
      <c r="AG2165" s="8"/>
      <c r="AH2165" s="8"/>
      <c r="AI2165" s="8"/>
      <c r="AJ2165" s="8"/>
      <c r="AK2165" s="8"/>
      <c r="AL2165" s="8"/>
      <c r="AM2165" s="8"/>
      <c r="AN2165" s="8"/>
      <c r="AO2165" s="8"/>
      <c r="AP2165" s="8"/>
      <c r="AQ2165" s="8"/>
      <c r="AR2165" s="8"/>
      <c r="AS2165" s="8"/>
      <c r="AT2165" s="8"/>
      <c r="AU2165" s="8"/>
      <c r="AV2165" s="8"/>
      <c r="AW2165" s="8"/>
      <c r="AX2165" s="4" t="s">
        <v>38</v>
      </c>
      <c r="AY2165" s="5" t="s">
        <v>9382</v>
      </c>
      <c r="AZ2165" s="5" t="s">
        <v>38</v>
      </c>
      <c r="BA2165" s="12"/>
      <c r="BB2165" s="12"/>
      <c r="BC2165" s="12"/>
      <c r="BD2165" s="11">
        <v>0</v>
      </c>
      <c r="BE2165" s="11">
        <v>0</v>
      </c>
    </row>
    <row x14ac:dyDescent="0.25" r="2166" customHeight="1" ht="17.25">
      <c r="A2166" s="11">
        <v>8491350</v>
      </c>
      <c r="B2166" s="4" t="s">
        <v>9383</v>
      </c>
      <c r="C2166" s="5" t="s">
        <v>9384</v>
      </c>
      <c r="D2166" s="5" t="s">
        <v>9385</v>
      </c>
      <c r="E2166" s="12"/>
      <c r="F2166" s="13">
        <f>"1936070707"</f>
      </c>
      <c r="G2166" s="13">
        <f>"9781936070701"</f>
      </c>
      <c r="H2166" s="11">
        <v>0</v>
      </c>
      <c r="I2166" s="14">
        <v>2.95</v>
      </c>
      <c r="J2166" s="7" t="s">
        <v>5560</v>
      </c>
      <c r="K2166" s="5" t="s">
        <v>9386</v>
      </c>
      <c r="L2166" s="11">
        <v>188</v>
      </c>
      <c r="M2166" s="11">
        <v>2011</v>
      </c>
      <c r="N2166" s="11">
        <v>1998</v>
      </c>
      <c r="O2166" s="15"/>
      <c r="P2166" s="8">
        <v>41364</v>
      </c>
      <c r="Q2166" s="8"/>
      <c r="R2166" s="8"/>
      <c r="S2166" s="8"/>
      <c r="T2166" s="8"/>
      <c r="U2166" s="8"/>
      <c r="V2166" s="8"/>
      <c r="W2166" s="8"/>
      <c r="X2166" s="8"/>
      <c r="Y2166" s="8"/>
      <c r="Z2166" s="8"/>
      <c r="AA2166" s="8"/>
      <c r="AB2166" s="8"/>
      <c r="AC2166" s="8"/>
      <c r="AD2166" s="8"/>
      <c r="AE2166" s="8"/>
      <c r="AF2166" s="8"/>
      <c r="AG2166" s="8"/>
      <c r="AH2166" s="8"/>
      <c r="AI2166" s="8"/>
      <c r="AJ2166" s="8"/>
      <c r="AK2166" s="8"/>
      <c r="AL2166" s="8"/>
      <c r="AM2166" s="8"/>
      <c r="AN2166" s="8"/>
      <c r="AO2166" s="8"/>
      <c r="AP2166" s="8"/>
      <c r="AQ2166" s="8"/>
      <c r="AR2166" s="8"/>
      <c r="AS2166" s="8"/>
      <c r="AT2166" s="8"/>
      <c r="AU2166" s="8"/>
      <c r="AV2166" s="8"/>
      <c r="AW2166" s="8"/>
      <c r="AX2166" s="4" t="s">
        <v>38</v>
      </c>
      <c r="AY2166" s="5" t="s">
        <v>9387</v>
      </c>
      <c r="AZ2166" s="5" t="s">
        <v>38</v>
      </c>
      <c r="BA2166" s="12"/>
      <c r="BB2166" s="12"/>
      <c r="BC2166" s="12"/>
      <c r="BD2166" s="11">
        <v>0</v>
      </c>
      <c r="BE2166" s="11">
        <v>0</v>
      </c>
    </row>
    <row x14ac:dyDescent="0.25" r="2167" customHeight="1" ht="17.25">
      <c r="A2167" s="11">
        <v>807028</v>
      </c>
      <c r="B2167" s="4" t="s">
        <v>9388</v>
      </c>
      <c r="C2167" s="5" t="s">
        <v>9389</v>
      </c>
      <c r="D2167" s="5" t="s">
        <v>9390</v>
      </c>
      <c r="E2167" s="12"/>
      <c r="F2167" s="13">
        <f>"0872860965"</f>
      </c>
      <c r="G2167" s="13">
        <f>"9780872860964"</f>
      </c>
      <c r="H2167" s="11">
        <v>0</v>
      </c>
      <c r="I2167" s="14">
        <v>4.09</v>
      </c>
      <c r="J2167" s="7" t="s">
        <v>9391</v>
      </c>
      <c r="K2167" s="5" t="s">
        <v>60</v>
      </c>
      <c r="L2167" s="11">
        <v>144</v>
      </c>
      <c r="M2167" s="11">
        <v>1978</v>
      </c>
      <c r="N2167" s="11">
        <v>1978</v>
      </c>
      <c r="O2167" s="15"/>
      <c r="P2167" s="8">
        <v>41585</v>
      </c>
      <c r="Q2167" s="8"/>
      <c r="R2167" s="8"/>
      <c r="S2167" s="8"/>
      <c r="T2167" s="8"/>
      <c r="U2167" s="8"/>
      <c r="V2167" s="8"/>
      <c r="W2167" s="8"/>
      <c r="X2167" s="8"/>
      <c r="Y2167" s="8"/>
      <c r="Z2167" s="8"/>
      <c r="AA2167" s="8"/>
      <c r="AB2167" s="8"/>
      <c r="AC2167" s="8"/>
      <c r="AD2167" s="8"/>
      <c r="AE2167" s="8"/>
      <c r="AF2167" s="8"/>
      <c r="AG2167" s="8"/>
      <c r="AH2167" s="8"/>
      <c r="AI2167" s="8"/>
      <c r="AJ2167" s="8"/>
      <c r="AK2167" s="8"/>
      <c r="AL2167" s="8"/>
      <c r="AM2167" s="8"/>
      <c r="AN2167" s="8"/>
      <c r="AO2167" s="8"/>
      <c r="AP2167" s="8"/>
      <c r="AQ2167" s="8"/>
      <c r="AR2167" s="8"/>
      <c r="AS2167" s="8"/>
      <c r="AT2167" s="8"/>
      <c r="AU2167" s="8"/>
      <c r="AV2167" s="8"/>
      <c r="AW2167" s="8"/>
      <c r="AX2167" s="4" t="s">
        <v>38</v>
      </c>
      <c r="AY2167" s="5" t="s">
        <v>9392</v>
      </c>
      <c r="AZ2167" s="5" t="s">
        <v>38</v>
      </c>
      <c r="BA2167" s="12"/>
      <c r="BB2167" s="12"/>
      <c r="BC2167" s="12"/>
      <c r="BD2167" s="11">
        <v>0</v>
      </c>
      <c r="BE2167" s="11">
        <v>0</v>
      </c>
    </row>
    <row x14ac:dyDescent="0.25" r="2168" customHeight="1" ht="17.25">
      <c r="A2168" s="11">
        <v>477801</v>
      </c>
      <c r="B2168" s="4" t="s">
        <v>9393</v>
      </c>
      <c r="C2168" s="5" t="s">
        <v>9394</v>
      </c>
      <c r="D2168" s="5" t="s">
        <v>9395</v>
      </c>
      <c r="E2168" s="12"/>
      <c r="F2168" s="13">
        <f>"0553141392"</f>
      </c>
      <c r="G2168" s="13">
        <f>"9780553141399"</f>
      </c>
      <c r="H2168" s="11">
        <v>0</v>
      </c>
      <c r="I2168" s="14">
        <v>3.46</v>
      </c>
      <c r="J2168" s="7" t="s">
        <v>1950</v>
      </c>
      <c r="K2168" s="5" t="s">
        <v>60</v>
      </c>
      <c r="L2168" s="11">
        <v>282</v>
      </c>
      <c r="M2168" s="11">
        <v>1980</v>
      </c>
      <c r="N2168" s="11">
        <v>1974</v>
      </c>
      <c r="O2168" s="15"/>
      <c r="P2168" s="8">
        <v>41802</v>
      </c>
      <c r="Q2168" s="8"/>
      <c r="R2168" s="8"/>
      <c r="S2168" s="8"/>
      <c r="T2168" s="8"/>
      <c r="U2168" s="8"/>
      <c r="V2168" s="8"/>
      <c r="W2168" s="8"/>
      <c r="X2168" s="8"/>
      <c r="Y2168" s="8"/>
      <c r="Z2168" s="8"/>
      <c r="AA2168" s="8"/>
      <c r="AB2168" s="8"/>
      <c r="AC2168" s="8"/>
      <c r="AD2168" s="8"/>
      <c r="AE2168" s="8"/>
      <c r="AF2168" s="8"/>
      <c r="AG2168" s="8"/>
      <c r="AH2168" s="8"/>
      <c r="AI2168" s="8"/>
      <c r="AJ2168" s="8"/>
      <c r="AK2168" s="8"/>
      <c r="AL2168" s="8"/>
      <c r="AM2168" s="8"/>
      <c r="AN2168" s="8"/>
      <c r="AO2168" s="8"/>
      <c r="AP2168" s="8"/>
      <c r="AQ2168" s="8"/>
      <c r="AR2168" s="8"/>
      <c r="AS2168" s="8"/>
      <c r="AT2168" s="8"/>
      <c r="AU2168" s="8"/>
      <c r="AV2168" s="8"/>
      <c r="AW2168" s="8"/>
      <c r="AX2168" s="4" t="s">
        <v>38</v>
      </c>
      <c r="AY2168" s="5" t="s">
        <v>9396</v>
      </c>
      <c r="AZ2168" s="5" t="s">
        <v>38</v>
      </c>
      <c r="BA2168" s="12"/>
      <c r="BB2168" s="12"/>
      <c r="BC2168" s="12"/>
      <c r="BD2168" s="11">
        <v>0</v>
      </c>
      <c r="BE2168" s="11">
        <v>0</v>
      </c>
    </row>
    <row x14ac:dyDescent="0.25" r="2169" customHeight="1" ht="17.25">
      <c r="A2169" s="11">
        <v>467164</v>
      </c>
      <c r="B2169" s="4" t="s">
        <v>9397</v>
      </c>
      <c r="C2169" s="5" t="s">
        <v>4082</v>
      </c>
      <c r="D2169" s="5" t="s">
        <v>4083</v>
      </c>
      <c r="E2169" s="5" t="s">
        <v>9398</v>
      </c>
      <c r="F2169" s="13">
        <f>"1573225851"</f>
      </c>
      <c r="G2169" s="13">
        <f>"9781573225854"</f>
      </c>
      <c r="H2169" s="11">
        <v>0</v>
      </c>
      <c r="I2169" s="14">
        <v>4.33</v>
      </c>
      <c r="J2169" s="7" t="s">
        <v>418</v>
      </c>
      <c r="K2169" s="5" t="s">
        <v>60</v>
      </c>
      <c r="L2169" s="11">
        <v>166</v>
      </c>
      <c r="M2169" s="11">
        <v>1997</v>
      </c>
      <c r="N2169" s="11">
        <v>1905</v>
      </c>
      <c r="O2169" s="15"/>
      <c r="P2169" s="8">
        <v>41671</v>
      </c>
      <c r="Q2169" s="8"/>
      <c r="R2169" s="8"/>
      <c r="S2169" s="8"/>
      <c r="T2169" s="8"/>
      <c r="U2169" s="8"/>
      <c r="V2169" s="8"/>
      <c r="W2169" s="8"/>
      <c r="X2169" s="8"/>
      <c r="Y2169" s="8"/>
      <c r="Z2169" s="8"/>
      <c r="AA2169" s="8"/>
      <c r="AB2169" s="8"/>
      <c r="AC2169" s="8"/>
      <c r="AD2169" s="8"/>
      <c r="AE2169" s="8"/>
      <c r="AF2169" s="8"/>
      <c r="AG2169" s="8"/>
      <c r="AH2169" s="8"/>
      <c r="AI2169" s="8"/>
      <c r="AJ2169" s="8"/>
      <c r="AK2169" s="8"/>
      <c r="AL2169" s="8"/>
      <c r="AM2169" s="8"/>
      <c r="AN2169" s="8"/>
      <c r="AO2169" s="8"/>
      <c r="AP2169" s="8"/>
      <c r="AQ2169" s="8"/>
      <c r="AR2169" s="8"/>
      <c r="AS2169" s="8"/>
      <c r="AT2169" s="8"/>
      <c r="AU2169" s="8"/>
      <c r="AV2169" s="8"/>
      <c r="AW2169" s="8"/>
      <c r="AX2169" s="4" t="s">
        <v>38</v>
      </c>
      <c r="AY2169" s="5" t="s">
        <v>9399</v>
      </c>
      <c r="AZ2169" s="5" t="s">
        <v>38</v>
      </c>
      <c r="BA2169" s="12"/>
      <c r="BB2169" s="12"/>
      <c r="BC2169" s="12"/>
      <c r="BD2169" s="11">
        <v>0</v>
      </c>
      <c r="BE2169" s="11">
        <v>0</v>
      </c>
    </row>
    <row x14ac:dyDescent="0.25" r="2170" customHeight="1" ht="17.25">
      <c r="A2170" s="11">
        <v>449323</v>
      </c>
      <c r="B2170" s="4" t="s">
        <v>9400</v>
      </c>
      <c r="C2170" s="5" t="s">
        <v>9401</v>
      </c>
      <c r="D2170" s="5" t="s">
        <v>9402</v>
      </c>
      <c r="E2170" s="12"/>
      <c r="F2170" s="13">
        <f>"0299157148"</f>
      </c>
      <c r="G2170" s="13">
        <f>"9780299157142"</f>
      </c>
      <c r="H2170" s="11">
        <v>0</v>
      </c>
      <c r="I2170" s="14">
        <v>4.2</v>
      </c>
      <c r="J2170" s="7" t="s">
        <v>206</v>
      </c>
      <c r="K2170" s="5" t="s">
        <v>60</v>
      </c>
      <c r="L2170" s="11">
        <v>112</v>
      </c>
      <c r="M2170" s="11">
        <v>1997</v>
      </c>
      <c r="N2170" s="11">
        <v>1997</v>
      </c>
      <c r="O2170" s="15"/>
      <c r="P2170" s="9">
        <v>41627</v>
      </c>
      <c r="Q2170" s="9"/>
      <c r="R2170" s="9"/>
      <c r="S2170" s="9"/>
      <c r="T2170" s="9"/>
      <c r="U2170" s="9"/>
      <c r="V2170" s="9"/>
      <c r="W2170" s="9"/>
      <c r="X2170" s="9"/>
      <c r="Y2170" s="9"/>
      <c r="Z2170" s="9"/>
      <c r="AA2170" s="9"/>
      <c r="AB2170" s="9"/>
      <c r="AC2170" s="9"/>
      <c r="AD2170" s="9"/>
      <c r="AE2170" s="9"/>
      <c r="AF2170" s="9"/>
      <c r="AG2170" s="9"/>
      <c r="AH2170" s="9"/>
      <c r="AI2170" s="9"/>
      <c r="AJ2170" s="9"/>
      <c r="AK2170" s="9"/>
      <c r="AL2170" s="9"/>
      <c r="AM2170" s="9"/>
      <c r="AN2170" s="9"/>
      <c r="AO2170" s="9"/>
      <c r="AP2170" s="9"/>
      <c r="AQ2170" s="9"/>
      <c r="AR2170" s="9"/>
      <c r="AS2170" s="9"/>
      <c r="AT2170" s="9"/>
      <c r="AU2170" s="9"/>
      <c r="AV2170" s="9"/>
      <c r="AW2170" s="9"/>
      <c r="AX2170" s="4" t="s">
        <v>38</v>
      </c>
      <c r="AY2170" s="5" t="s">
        <v>9403</v>
      </c>
      <c r="AZ2170" s="5" t="s">
        <v>38</v>
      </c>
      <c r="BA2170" s="12"/>
      <c r="BB2170" s="12"/>
      <c r="BC2170" s="12"/>
      <c r="BD2170" s="11">
        <v>0</v>
      </c>
      <c r="BE2170" s="11">
        <v>0</v>
      </c>
    </row>
    <row x14ac:dyDescent="0.25" r="2171" customHeight="1" ht="17.25">
      <c r="A2171" s="11">
        <v>26116430</v>
      </c>
      <c r="B2171" s="4" t="s">
        <v>9404</v>
      </c>
      <c r="C2171" s="5" t="s">
        <v>7324</v>
      </c>
      <c r="D2171" s="5" t="s">
        <v>7325</v>
      </c>
      <c r="E2171" s="12"/>
      <c r="F2171" s="13">
        <f>"0062277022"</f>
      </c>
      <c r="G2171" s="13">
        <f>"9780062277022"</f>
      </c>
      <c r="H2171" s="11">
        <v>0</v>
      </c>
      <c r="I2171" s="14">
        <v>3.9</v>
      </c>
      <c r="J2171" s="7" t="s">
        <v>225</v>
      </c>
      <c r="K2171" s="5" t="s">
        <v>72</v>
      </c>
      <c r="L2171" s="11">
        <v>372</v>
      </c>
      <c r="M2171" s="11">
        <v>2016</v>
      </c>
      <c r="N2171" s="11">
        <v>2016</v>
      </c>
      <c r="O2171" s="15"/>
      <c r="P2171" s="8">
        <v>42548</v>
      </c>
      <c r="Q2171" s="8"/>
      <c r="R2171" s="8"/>
      <c r="S2171" s="8"/>
      <c r="T2171" s="8"/>
      <c r="U2171" s="8"/>
      <c r="V2171" s="8"/>
      <c r="W2171" s="8"/>
      <c r="X2171" s="8"/>
      <c r="Y2171" s="8"/>
      <c r="Z2171" s="8"/>
      <c r="AA2171" s="8"/>
      <c r="AB2171" s="8"/>
      <c r="AC2171" s="8"/>
      <c r="AD2171" s="8"/>
      <c r="AE2171" s="8"/>
      <c r="AF2171" s="8"/>
      <c r="AG2171" s="8"/>
      <c r="AH2171" s="8"/>
      <c r="AI2171" s="8"/>
      <c r="AJ2171" s="8"/>
      <c r="AK2171" s="8"/>
      <c r="AL2171" s="8"/>
      <c r="AM2171" s="8"/>
      <c r="AN2171" s="8"/>
      <c r="AO2171" s="8"/>
      <c r="AP2171" s="8"/>
      <c r="AQ2171" s="8"/>
      <c r="AR2171" s="8"/>
      <c r="AS2171" s="8"/>
      <c r="AT2171" s="8"/>
      <c r="AU2171" s="8"/>
      <c r="AV2171" s="8"/>
      <c r="AW2171" s="8"/>
      <c r="AX2171" s="4" t="s">
        <v>38</v>
      </c>
      <c r="AY2171" s="5" t="s">
        <v>9405</v>
      </c>
      <c r="AZ2171" s="5" t="s">
        <v>38</v>
      </c>
      <c r="BA2171" s="12"/>
      <c r="BB2171" s="12"/>
      <c r="BC2171" s="12"/>
      <c r="BD2171" s="11">
        <v>0</v>
      </c>
      <c r="BE2171" s="11">
        <v>0</v>
      </c>
    </row>
    <row x14ac:dyDescent="0.25" r="2172" customHeight="1" ht="17.25">
      <c r="A2172" s="11">
        <v>25852784</v>
      </c>
      <c r="B2172" s="4" t="s">
        <v>9406</v>
      </c>
      <c r="C2172" s="5" t="s">
        <v>9407</v>
      </c>
      <c r="D2172" s="5" t="s">
        <v>9408</v>
      </c>
      <c r="E2172" s="12"/>
      <c r="F2172" s="13">
        <f>"0553447432"</f>
      </c>
      <c r="G2172" s="13">
        <f>"9780553447439"</f>
      </c>
      <c r="H2172" s="11">
        <v>0</v>
      </c>
      <c r="I2172" s="14">
        <v>4.47</v>
      </c>
      <c r="J2172" s="7" t="s">
        <v>7365</v>
      </c>
      <c r="K2172" s="5" t="s">
        <v>72</v>
      </c>
      <c r="L2172" s="11">
        <v>418</v>
      </c>
      <c r="M2172" s="11">
        <v>2016</v>
      </c>
      <c r="N2172" s="11">
        <v>2016</v>
      </c>
      <c r="O2172" s="15"/>
      <c r="P2172" s="8">
        <v>42433</v>
      </c>
      <c r="Q2172" s="8"/>
      <c r="R2172" s="8"/>
      <c r="S2172" s="8"/>
      <c r="T2172" s="8"/>
      <c r="U2172" s="8"/>
      <c r="V2172" s="8"/>
      <c r="W2172" s="8"/>
      <c r="X2172" s="8"/>
      <c r="Y2172" s="8"/>
      <c r="Z2172" s="8"/>
      <c r="AA2172" s="8"/>
      <c r="AB2172" s="8"/>
      <c r="AC2172" s="8"/>
      <c r="AD2172" s="8"/>
      <c r="AE2172" s="8"/>
      <c r="AF2172" s="8"/>
      <c r="AG2172" s="8"/>
      <c r="AH2172" s="8"/>
      <c r="AI2172" s="8"/>
      <c r="AJ2172" s="8"/>
      <c r="AK2172" s="8"/>
      <c r="AL2172" s="8"/>
      <c r="AM2172" s="8"/>
      <c r="AN2172" s="8"/>
      <c r="AO2172" s="8"/>
      <c r="AP2172" s="8"/>
      <c r="AQ2172" s="8"/>
      <c r="AR2172" s="8"/>
      <c r="AS2172" s="8"/>
      <c r="AT2172" s="8"/>
      <c r="AU2172" s="8"/>
      <c r="AV2172" s="8"/>
      <c r="AW2172" s="8"/>
      <c r="AX2172" s="4" t="s">
        <v>38</v>
      </c>
      <c r="AY2172" s="5" t="s">
        <v>9409</v>
      </c>
      <c r="AZ2172" s="5" t="s">
        <v>38</v>
      </c>
      <c r="BA2172" s="12"/>
      <c r="BB2172" s="12"/>
      <c r="BC2172" s="12"/>
      <c r="BD2172" s="11">
        <v>0</v>
      </c>
      <c r="BE2172" s="11">
        <v>0</v>
      </c>
    </row>
    <row x14ac:dyDescent="0.25" r="2173" customHeight="1" ht="17.25">
      <c r="A2173" s="11">
        <v>17934420</v>
      </c>
      <c r="B2173" s="4" t="s">
        <v>9410</v>
      </c>
      <c r="C2173" s="5" t="s">
        <v>9411</v>
      </c>
      <c r="D2173" s="5" t="s">
        <v>9412</v>
      </c>
      <c r="E2173" s="12"/>
      <c r="F2173" s="13">
        <f>"0374230854"</f>
      </c>
      <c r="G2173" s="13">
        <f>"9780374230852"</f>
      </c>
      <c r="H2173" s="11">
        <v>0</v>
      </c>
      <c r="I2173" s="14">
        <v>3.2</v>
      </c>
      <c r="J2173" s="7" t="s">
        <v>9262</v>
      </c>
      <c r="K2173" s="5" t="s">
        <v>72</v>
      </c>
      <c r="L2173" s="11">
        <v>288</v>
      </c>
      <c r="M2173" s="11">
        <v>2014</v>
      </c>
      <c r="N2173" s="11">
        <v>2014</v>
      </c>
      <c r="O2173" s="15"/>
      <c r="P2173" s="8">
        <v>42392</v>
      </c>
      <c r="Q2173" s="8"/>
      <c r="R2173" s="8"/>
      <c r="S2173" s="8"/>
      <c r="T2173" s="8"/>
      <c r="U2173" s="8"/>
      <c r="V2173" s="8"/>
      <c r="W2173" s="8"/>
      <c r="X2173" s="8"/>
      <c r="Y2173" s="8"/>
      <c r="Z2173" s="8"/>
      <c r="AA2173" s="8"/>
      <c r="AB2173" s="8"/>
      <c r="AC2173" s="8"/>
      <c r="AD2173" s="8"/>
      <c r="AE2173" s="8"/>
      <c r="AF2173" s="8"/>
      <c r="AG2173" s="8"/>
      <c r="AH2173" s="8"/>
      <c r="AI2173" s="8"/>
      <c r="AJ2173" s="8"/>
      <c r="AK2173" s="8"/>
      <c r="AL2173" s="8"/>
      <c r="AM2173" s="8"/>
      <c r="AN2173" s="8"/>
      <c r="AO2173" s="8"/>
      <c r="AP2173" s="8"/>
      <c r="AQ2173" s="8"/>
      <c r="AR2173" s="8"/>
      <c r="AS2173" s="8"/>
      <c r="AT2173" s="8"/>
      <c r="AU2173" s="8"/>
      <c r="AV2173" s="8"/>
      <c r="AW2173" s="8"/>
      <c r="AX2173" s="4" t="s">
        <v>38</v>
      </c>
      <c r="AY2173" s="5" t="s">
        <v>9413</v>
      </c>
      <c r="AZ2173" s="5" t="s">
        <v>38</v>
      </c>
      <c r="BA2173" s="12"/>
      <c r="BB2173" s="12"/>
      <c r="BC2173" s="12"/>
      <c r="BD2173" s="11">
        <v>0</v>
      </c>
      <c r="BE2173" s="11">
        <v>0</v>
      </c>
    </row>
    <row x14ac:dyDescent="0.25" r="2174" customHeight="1" ht="17.25">
      <c r="A2174" s="11">
        <v>17332242</v>
      </c>
      <c r="B2174" s="4" t="s">
        <v>9414</v>
      </c>
      <c r="C2174" s="5" t="s">
        <v>9260</v>
      </c>
      <c r="D2174" s="5" t="s">
        <v>9261</v>
      </c>
      <c r="E2174" s="12"/>
      <c r="F2174" s="13">
        <f>"0374230897"</f>
      </c>
      <c r="G2174" s="13">
        <f>"9780374230890"</f>
      </c>
      <c r="H2174" s="11">
        <v>0</v>
      </c>
      <c r="I2174" s="14">
        <v>3.73</v>
      </c>
      <c r="J2174" s="7" t="s">
        <v>9262</v>
      </c>
      <c r="K2174" s="5" t="s">
        <v>72</v>
      </c>
      <c r="L2174" s="11">
        <v>265</v>
      </c>
      <c r="M2174" s="11">
        <v>2013</v>
      </c>
      <c r="N2174" s="11">
        <v>2013</v>
      </c>
      <c r="O2174" s="15"/>
      <c r="P2174" s="8">
        <v>42392</v>
      </c>
      <c r="Q2174" s="8"/>
      <c r="R2174" s="8"/>
      <c r="S2174" s="8"/>
      <c r="T2174" s="8"/>
      <c r="U2174" s="8"/>
      <c r="V2174" s="8"/>
      <c r="W2174" s="8"/>
      <c r="X2174" s="8"/>
      <c r="Y2174" s="8"/>
      <c r="Z2174" s="8"/>
      <c r="AA2174" s="8"/>
      <c r="AB2174" s="8"/>
      <c r="AC2174" s="8"/>
      <c r="AD2174" s="8"/>
      <c r="AE2174" s="8"/>
      <c r="AF2174" s="8"/>
      <c r="AG2174" s="8"/>
      <c r="AH2174" s="8"/>
      <c r="AI2174" s="8"/>
      <c r="AJ2174" s="8"/>
      <c r="AK2174" s="8"/>
      <c r="AL2174" s="8"/>
      <c r="AM2174" s="8"/>
      <c r="AN2174" s="8"/>
      <c r="AO2174" s="8"/>
      <c r="AP2174" s="8"/>
      <c r="AQ2174" s="8"/>
      <c r="AR2174" s="8"/>
      <c r="AS2174" s="8"/>
      <c r="AT2174" s="8"/>
      <c r="AU2174" s="8"/>
      <c r="AV2174" s="8"/>
      <c r="AW2174" s="8"/>
      <c r="AX2174" s="4" t="s">
        <v>38</v>
      </c>
      <c r="AY2174" s="5" t="s">
        <v>9415</v>
      </c>
      <c r="AZ2174" s="5" t="s">
        <v>38</v>
      </c>
      <c r="BA2174" s="12"/>
      <c r="BB2174" s="12"/>
      <c r="BC2174" s="12"/>
      <c r="BD2174" s="11">
        <v>0</v>
      </c>
      <c r="BE2174" s="11">
        <v>0</v>
      </c>
    </row>
    <row x14ac:dyDescent="0.25" r="2175" customHeight="1" ht="17.25">
      <c r="A2175" s="11">
        <v>13539039</v>
      </c>
      <c r="B2175" s="4" t="s">
        <v>9416</v>
      </c>
      <c r="C2175" s="5" t="s">
        <v>9417</v>
      </c>
      <c r="D2175" s="5" t="s">
        <v>9418</v>
      </c>
      <c r="E2175" s="12"/>
      <c r="F2175" s="13">
        <f>"0374291357"</f>
      </c>
      <c r="G2175" s="13">
        <f>"9780374291358"</f>
      </c>
      <c r="H2175" s="11">
        <v>0</v>
      </c>
      <c r="I2175" s="14">
        <v>3.75</v>
      </c>
      <c r="J2175" s="7" t="s">
        <v>9262</v>
      </c>
      <c r="K2175" s="5" t="s">
        <v>72</v>
      </c>
      <c r="L2175" s="11">
        <v>222</v>
      </c>
      <c r="M2175" s="11">
        <v>2012</v>
      </c>
      <c r="N2175" s="11">
        <v>2012</v>
      </c>
      <c r="O2175" s="15"/>
      <c r="P2175" s="8">
        <v>42392</v>
      </c>
      <c r="Q2175" s="8"/>
      <c r="R2175" s="8"/>
      <c r="S2175" s="8"/>
      <c r="T2175" s="8"/>
      <c r="U2175" s="8"/>
      <c r="V2175" s="8"/>
      <c r="W2175" s="8"/>
      <c r="X2175" s="8"/>
      <c r="Y2175" s="8"/>
      <c r="Z2175" s="8"/>
      <c r="AA2175" s="8"/>
      <c r="AB2175" s="8"/>
      <c r="AC2175" s="8"/>
      <c r="AD2175" s="8"/>
      <c r="AE2175" s="8"/>
      <c r="AF2175" s="8"/>
      <c r="AG2175" s="8"/>
      <c r="AH2175" s="8"/>
      <c r="AI2175" s="8"/>
      <c r="AJ2175" s="8"/>
      <c r="AK2175" s="8"/>
      <c r="AL2175" s="8"/>
      <c r="AM2175" s="8"/>
      <c r="AN2175" s="8"/>
      <c r="AO2175" s="8"/>
      <c r="AP2175" s="8"/>
      <c r="AQ2175" s="8"/>
      <c r="AR2175" s="8"/>
      <c r="AS2175" s="8"/>
      <c r="AT2175" s="8"/>
      <c r="AU2175" s="8"/>
      <c r="AV2175" s="8"/>
      <c r="AW2175" s="8"/>
      <c r="AX2175" s="4" t="s">
        <v>38</v>
      </c>
      <c r="AY2175" s="5" t="s">
        <v>9419</v>
      </c>
      <c r="AZ2175" s="5" t="s">
        <v>38</v>
      </c>
      <c r="BA2175" s="12"/>
      <c r="BB2175" s="12"/>
      <c r="BC2175" s="12"/>
      <c r="BD2175" s="11">
        <v>0</v>
      </c>
      <c r="BE2175" s="11">
        <v>0</v>
      </c>
    </row>
    <row x14ac:dyDescent="0.25" r="2176" customHeight="1" ht="17.25">
      <c r="A2176" s="11">
        <v>6705926</v>
      </c>
      <c r="B2176" s="4" t="s">
        <v>9420</v>
      </c>
      <c r="C2176" s="5" t="s">
        <v>3572</v>
      </c>
      <c r="D2176" s="5" t="s">
        <v>3573</v>
      </c>
      <c r="E2176" s="5" t="s">
        <v>9421</v>
      </c>
      <c r="F2176" s="13">
        <f>"098003308X"</f>
      </c>
      <c r="G2176" s="13">
        <f>"9780980033083"</f>
      </c>
      <c r="H2176" s="11">
        <v>0</v>
      </c>
      <c r="I2176" s="14">
        <v>4.06</v>
      </c>
      <c r="J2176" s="7" t="s">
        <v>9422</v>
      </c>
      <c r="K2176" s="5" t="s">
        <v>60</v>
      </c>
      <c r="L2176" s="11">
        <v>499</v>
      </c>
      <c r="M2176" s="11">
        <v>2009</v>
      </c>
      <c r="N2176" s="11">
        <v>2004</v>
      </c>
      <c r="O2176" s="15"/>
      <c r="P2176" s="8">
        <v>42382</v>
      </c>
      <c r="Q2176" s="8"/>
      <c r="R2176" s="8"/>
      <c r="S2176" s="8"/>
      <c r="T2176" s="8"/>
      <c r="U2176" s="8"/>
      <c r="V2176" s="8"/>
      <c r="W2176" s="8"/>
      <c r="X2176" s="8"/>
      <c r="Y2176" s="8"/>
      <c r="Z2176" s="8"/>
      <c r="AA2176" s="8"/>
      <c r="AB2176" s="8"/>
      <c r="AC2176" s="8"/>
      <c r="AD2176" s="8"/>
      <c r="AE2176" s="8"/>
      <c r="AF2176" s="8"/>
      <c r="AG2176" s="8"/>
      <c r="AH2176" s="8"/>
      <c r="AI2176" s="8"/>
      <c r="AJ2176" s="8"/>
      <c r="AK2176" s="8"/>
      <c r="AL2176" s="8"/>
      <c r="AM2176" s="8"/>
      <c r="AN2176" s="8"/>
      <c r="AO2176" s="8"/>
      <c r="AP2176" s="8"/>
      <c r="AQ2176" s="8"/>
      <c r="AR2176" s="8"/>
      <c r="AS2176" s="8"/>
      <c r="AT2176" s="8"/>
      <c r="AU2176" s="8"/>
      <c r="AV2176" s="8"/>
      <c r="AW2176" s="8"/>
      <c r="AX2176" s="4" t="s">
        <v>38</v>
      </c>
      <c r="AY2176" s="5" t="s">
        <v>9423</v>
      </c>
      <c r="AZ2176" s="5" t="s">
        <v>38</v>
      </c>
      <c r="BA2176" s="12"/>
      <c r="BB2176" s="12"/>
      <c r="BC2176" s="12"/>
      <c r="BD2176" s="11">
        <v>0</v>
      </c>
      <c r="BE2176" s="11">
        <v>0</v>
      </c>
    </row>
    <row x14ac:dyDescent="0.25" r="2177" customHeight="1" ht="17.25">
      <c r="A2177" s="11">
        <v>106373</v>
      </c>
      <c r="B2177" s="4" t="s">
        <v>9424</v>
      </c>
      <c r="C2177" s="5" t="s">
        <v>9425</v>
      </c>
      <c r="D2177" s="5" t="s">
        <v>9426</v>
      </c>
      <c r="E2177" s="12"/>
      <c r="F2177" s="13">
        <f>"0571223109"</f>
      </c>
      <c r="G2177" s="13">
        <f>"9780571223107"</f>
      </c>
      <c r="H2177" s="11">
        <v>0</v>
      </c>
      <c r="I2177" s="14">
        <v>3.38</v>
      </c>
      <c r="J2177" s="7" t="s">
        <v>316</v>
      </c>
      <c r="K2177" s="5" t="s">
        <v>60</v>
      </c>
      <c r="L2177" s="11">
        <v>192</v>
      </c>
      <c r="M2177" s="11">
        <v>2005</v>
      </c>
      <c r="N2177" s="11">
        <v>2004</v>
      </c>
      <c r="O2177" s="15"/>
      <c r="P2177" s="8">
        <v>42372</v>
      </c>
      <c r="Q2177" s="8"/>
      <c r="R2177" s="8"/>
      <c r="S2177" s="8"/>
      <c r="T2177" s="8"/>
      <c r="U2177" s="8"/>
      <c r="V2177" s="8"/>
      <c r="W2177" s="8"/>
      <c r="X2177" s="8"/>
      <c r="Y2177" s="8"/>
      <c r="Z2177" s="8"/>
      <c r="AA2177" s="8"/>
      <c r="AB2177" s="8"/>
      <c r="AC2177" s="8"/>
      <c r="AD2177" s="8"/>
      <c r="AE2177" s="8"/>
      <c r="AF2177" s="8"/>
      <c r="AG2177" s="8"/>
      <c r="AH2177" s="8"/>
      <c r="AI2177" s="8"/>
      <c r="AJ2177" s="8"/>
      <c r="AK2177" s="8"/>
      <c r="AL2177" s="8"/>
      <c r="AM2177" s="8"/>
      <c r="AN2177" s="8"/>
      <c r="AO2177" s="8"/>
      <c r="AP2177" s="8"/>
      <c r="AQ2177" s="8"/>
      <c r="AR2177" s="8"/>
      <c r="AS2177" s="8"/>
      <c r="AT2177" s="8"/>
      <c r="AU2177" s="8"/>
      <c r="AV2177" s="8"/>
      <c r="AW2177" s="8"/>
      <c r="AX2177" s="4" t="s">
        <v>38</v>
      </c>
      <c r="AY2177" s="5" t="s">
        <v>9427</v>
      </c>
      <c r="AZ2177" s="5" t="s">
        <v>38</v>
      </c>
      <c r="BA2177" s="12"/>
      <c r="BB2177" s="12"/>
      <c r="BC2177" s="12"/>
      <c r="BD2177" s="11">
        <v>0</v>
      </c>
      <c r="BE2177" s="11">
        <v>0</v>
      </c>
    </row>
    <row x14ac:dyDescent="0.25" r="2178" customHeight="1" ht="17.25">
      <c r="A2178" s="11">
        <v>20262498</v>
      </c>
      <c r="B2178" s="4" t="s">
        <v>9428</v>
      </c>
      <c r="C2178" s="5" t="s">
        <v>9429</v>
      </c>
      <c r="D2178" s="5" t="s">
        <v>9430</v>
      </c>
      <c r="E2178" s="12"/>
      <c r="F2178" s="13">
        <f>"0307378233"</f>
      </c>
      <c r="G2178" s="13">
        <f>"9780307378231"</f>
      </c>
      <c r="H2178" s="11">
        <v>0</v>
      </c>
      <c r="I2178" s="14">
        <v>3.14</v>
      </c>
      <c r="J2178" s="7" t="s">
        <v>2577</v>
      </c>
      <c r="K2178" s="5" t="s">
        <v>72</v>
      </c>
      <c r="L2178" s="11">
        <v>241</v>
      </c>
      <c r="M2178" s="11">
        <v>2014</v>
      </c>
      <c r="N2178" s="11">
        <v>2014</v>
      </c>
      <c r="O2178" s="15"/>
      <c r="P2178" s="8">
        <v>42372</v>
      </c>
      <c r="Q2178" s="8"/>
      <c r="R2178" s="8"/>
      <c r="S2178" s="8"/>
      <c r="T2178" s="8"/>
      <c r="U2178" s="8"/>
      <c r="V2178" s="8"/>
      <c r="W2178" s="8"/>
      <c r="X2178" s="8"/>
      <c r="Y2178" s="8"/>
      <c r="Z2178" s="8"/>
      <c r="AA2178" s="8"/>
      <c r="AB2178" s="8"/>
      <c r="AC2178" s="8"/>
      <c r="AD2178" s="8"/>
      <c r="AE2178" s="8"/>
      <c r="AF2178" s="8"/>
      <c r="AG2178" s="8"/>
      <c r="AH2178" s="8"/>
      <c r="AI2178" s="8"/>
      <c r="AJ2178" s="8"/>
      <c r="AK2178" s="8"/>
      <c r="AL2178" s="8"/>
      <c r="AM2178" s="8"/>
      <c r="AN2178" s="8"/>
      <c r="AO2178" s="8"/>
      <c r="AP2178" s="8"/>
      <c r="AQ2178" s="8"/>
      <c r="AR2178" s="8"/>
      <c r="AS2178" s="8"/>
      <c r="AT2178" s="8"/>
      <c r="AU2178" s="8"/>
      <c r="AV2178" s="8"/>
      <c r="AW2178" s="8"/>
      <c r="AX2178" s="4" t="s">
        <v>38</v>
      </c>
      <c r="AY2178" s="5" t="s">
        <v>9431</v>
      </c>
      <c r="AZ2178" s="5" t="s">
        <v>38</v>
      </c>
      <c r="BA2178" s="12"/>
      <c r="BB2178" s="12"/>
      <c r="BC2178" s="12"/>
      <c r="BD2178" s="11">
        <v>0</v>
      </c>
      <c r="BE2178" s="11">
        <v>0</v>
      </c>
    </row>
    <row x14ac:dyDescent="0.25" r="2179" customHeight="1" ht="17.25">
      <c r="A2179" s="11">
        <v>15759676</v>
      </c>
      <c r="B2179" s="4" t="s">
        <v>9432</v>
      </c>
      <c r="C2179" s="5" t="s">
        <v>9433</v>
      </c>
      <c r="D2179" s="5" t="s">
        <v>9434</v>
      </c>
      <c r="E2179" s="12"/>
      <c r="F2179" s="13">
        <f>"0984469354"</f>
      </c>
      <c r="G2179" s="13">
        <f>"9780984469352"</f>
      </c>
      <c r="H2179" s="11">
        <v>0</v>
      </c>
      <c r="I2179" s="14">
        <v>3.87</v>
      </c>
      <c r="J2179" s="7" t="s">
        <v>9435</v>
      </c>
      <c r="K2179" s="5" t="s">
        <v>60</v>
      </c>
      <c r="L2179" s="11">
        <v>160</v>
      </c>
      <c r="M2179" s="11">
        <v>2012</v>
      </c>
      <c r="N2179" s="11">
        <v>2012</v>
      </c>
      <c r="O2179" s="15"/>
      <c r="P2179" s="8">
        <v>42346</v>
      </c>
      <c r="Q2179" s="8"/>
      <c r="R2179" s="8"/>
      <c r="S2179" s="8"/>
      <c r="T2179" s="8"/>
      <c r="U2179" s="8"/>
      <c r="V2179" s="8"/>
      <c r="W2179" s="8"/>
      <c r="X2179" s="8"/>
      <c r="Y2179" s="8"/>
      <c r="Z2179" s="8"/>
      <c r="AA2179" s="8"/>
      <c r="AB2179" s="8"/>
      <c r="AC2179" s="8"/>
      <c r="AD2179" s="8"/>
      <c r="AE2179" s="8"/>
      <c r="AF2179" s="8"/>
      <c r="AG2179" s="8"/>
      <c r="AH2179" s="8"/>
      <c r="AI2179" s="8"/>
      <c r="AJ2179" s="8"/>
      <c r="AK2179" s="8"/>
      <c r="AL2179" s="8"/>
      <c r="AM2179" s="8"/>
      <c r="AN2179" s="8"/>
      <c r="AO2179" s="8"/>
      <c r="AP2179" s="8"/>
      <c r="AQ2179" s="8"/>
      <c r="AR2179" s="8"/>
      <c r="AS2179" s="8"/>
      <c r="AT2179" s="8"/>
      <c r="AU2179" s="8"/>
      <c r="AV2179" s="8"/>
      <c r="AW2179" s="8"/>
      <c r="AX2179" s="4" t="s">
        <v>38</v>
      </c>
      <c r="AY2179" s="5" t="s">
        <v>9436</v>
      </c>
      <c r="AZ2179" s="5" t="s">
        <v>38</v>
      </c>
      <c r="BA2179" s="12"/>
      <c r="BB2179" s="12"/>
      <c r="BC2179" s="12"/>
      <c r="BD2179" s="11">
        <v>0</v>
      </c>
      <c r="BE2179" s="11">
        <v>0</v>
      </c>
    </row>
    <row x14ac:dyDescent="0.25" r="2180" customHeight="1" ht="17.25">
      <c r="A2180" s="11">
        <v>24796169</v>
      </c>
      <c r="B2180" s="4" t="s">
        <v>9437</v>
      </c>
      <c r="C2180" s="5" t="s">
        <v>1794</v>
      </c>
      <c r="D2180" s="5" t="s">
        <v>1795</v>
      </c>
      <c r="E2180" s="5" t="s">
        <v>9438</v>
      </c>
      <c r="F2180" s="13">
        <f>"1940953189"</f>
      </c>
      <c r="G2180" s="13">
        <f>"9781940953182"</f>
      </c>
      <c r="H2180" s="11">
        <v>0</v>
      </c>
      <c r="I2180" s="14">
        <v>3.83</v>
      </c>
      <c r="J2180" s="7" t="s">
        <v>1595</v>
      </c>
      <c r="K2180" s="5" t="s">
        <v>60</v>
      </c>
      <c r="L2180" s="11">
        <v>190</v>
      </c>
      <c r="M2180" s="11">
        <v>2015</v>
      </c>
      <c r="N2180" s="11">
        <v>2014</v>
      </c>
      <c r="O2180" s="15"/>
      <c r="P2180" s="8">
        <v>42345</v>
      </c>
      <c r="Q2180" s="8"/>
      <c r="R2180" s="8"/>
      <c r="S2180" s="8"/>
      <c r="T2180" s="8"/>
      <c r="U2180" s="8"/>
      <c r="V2180" s="8"/>
      <c r="W2180" s="8"/>
      <c r="X2180" s="8"/>
      <c r="Y2180" s="8"/>
      <c r="Z2180" s="8"/>
      <c r="AA2180" s="8"/>
      <c r="AB2180" s="8"/>
      <c r="AC2180" s="8"/>
      <c r="AD2180" s="8"/>
      <c r="AE2180" s="8"/>
      <c r="AF2180" s="8"/>
      <c r="AG2180" s="8"/>
      <c r="AH2180" s="8"/>
      <c r="AI2180" s="8"/>
      <c r="AJ2180" s="8"/>
      <c r="AK2180" s="8"/>
      <c r="AL2180" s="8"/>
      <c r="AM2180" s="8"/>
      <c r="AN2180" s="8"/>
      <c r="AO2180" s="8"/>
      <c r="AP2180" s="8"/>
      <c r="AQ2180" s="8"/>
      <c r="AR2180" s="8"/>
      <c r="AS2180" s="8"/>
      <c r="AT2180" s="8"/>
      <c r="AU2180" s="8"/>
      <c r="AV2180" s="8"/>
      <c r="AW2180" s="8"/>
      <c r="AX2180" s="4" t="s">
        <v>38</v>
      </c>
      <c r="AY2180" s="5" t="s">
        <v>9439</v>
      </c>
      <c r="AZ2180" s="5" t="s">
        <v>38</v>
      </c>
      <c r="BA2180" s="12"/>
      <c r="BB2180" s="12"/>
      <c r="BC2180" s="12"/>
      <c r="BD2180" s="11">
        <v>0</v>
      </c>
      <c r="BE2180" s="11">
        <v>0</v>
      </c>
    </row>
    <row x14ac:dyDescent="0.25" r="2181" customHeight="1" ht="17.25">
      <c r="A2181" s="11">
        <v>23129715</v>
      </c>
      <c r="B2181" s="4" t="s">
        <v>9440</v>
      </c>
      <c r="C2181" s="5" t="s">
        <v>9441</v>
      </c>
      <c r="D2181" s="5" t="s">
        <v>9442</v>
      </c>
      <c r="E2181" s="5" t="s">
        <v>9443</v>
      </c>
      <c r="F2181" s="13">
        <f>"1941920098"</f>
      </c>
      <c r="G2181" s="13">
        <f>"9781941920091"</f>
      </c>
      <c r="H2181" s="11">
        <v>0</v>
      </c>
      <c r="I2181" s="14">
        <v>3.76</v>
      </c>
      <c r="J2181" s="7" t="s">
        <v>9444</v>
      </c>
      <c r="K2181" s="5" t="s">
        <v>60</v>
      </c>
      <c r="L2181" s="11">
        <v>152</v>
      </c>
      <c r="M2181" s="11">
        <v>2015</v>
      </c>
      <c r="N2181" s="11">
        <v>1986</v>
      </c>
      <c r="O2181" s="15"/>
      <c r="P2181" s="8">
        <v>42345</v>
      </c>
      <c r="Q2181" s="8"/>
      <c r="R2181" s="8"/>
      <c r="S2181" s="8"/>
      <c r="T2181" s="8"/>
      <c r="U2181" s="8"/>
      <c r="V2181" s="8"/>
      <c r="W2181" s="8"/>
      <c r="X2181" s="8"/>
      <c r="Y2181" s="8"/>
      <c r="Z2181" s="8"/>
      <c r="AA2181" s="8"/>
      <c r="AB2181" s="8"/>
      <c r="AC2181" s="8"/>
      <c r="AD2181" s="8"/>
      <c r="AE2181" s="8"/>
      <c r="AF2181" s="8"/>
      <c r="AG2181" s="8"/>
      <c r="AH2181" s="8"/>
      <c r="AI2181" s="8"/>
      <c r="AJ2181" s="8"/>
      <c r="AK2181" s="8"/>
      <c r="AL2181" s="8"/>
      <c r="AM2181" s="8"/>
      <c r="AN2181" s="8"/>
      <c r="AO2181" s="8"/>
      <c r="AP2181" s="8"/>
      <c r="AQ2181" s="8"/>
      <c r="AR2181" s="8"/>
      <c r="AS2181" s="8"/>
      <c r="AT2181" s="8"/>
      <c r="AU2181" s="8"/>
      <c r="AV2181" s="8"/>
      <c r="AW2181" s="8"/>
      <c r="AX2181" s="4" t="s">
        <v>38</v>
      </c>
      <c r="AY2181" s="5" t="s">
        <v>9445</v>
      </c>
      <c r="AZ2181" s="5" t="s">
        <v>38</v>
      </c>
      <c r="BA2181" s="12"/>
      <c r="BB2181" s="12"/>
      <c r="BC2181" s="12"/>
      <c r="BD2181" s="11">
        <v>0</v>
      </c>
      <c r="BE2181" s="11">
        <v>0</v>
      </c>
    </row>
    <row x14ac:dyDescent="0.25" r="2182" customHeight="1" ht="17.25">
      <c r="A2182" s="11">
        <v>23492504</v>
      </c>
      <c r="B2182" s="4" t="s">
        <v>9446</v>
      </c>
      <c r="C2182" s="5" t="s">
        <v>9447</v>
      </c>
      <c r="D2182" s="5" t="s">
        <v>9448</v>
      </c>
      <c r="E2182" s="12"/>
      <c r="F2182" s="13">
        <f>"1501106783"</f>
      </c>
      <c r="G2182" s="13">
        <f>"9781501106781"</f>
      </c>
      <c r="H2182" s="11">
        <v>0</v>
      </c>
      <c r="I2182" s="14">
        <v>3.77</v>
      </c>
      <c r="J2182" s="7" t="s">
        <v>966</v>
      </c>
      <c r="K2182" s="5" t="s">
        <v>72</v>
      </c>
      <c r="L2182" s="11">
        <v>371</v>
      </c>
      <c r="M2182" s="11">
        <v>2015</v>
      </c>
      <c r="N2182" s="11">
        <v>2014</v>
      </c>
      <c r="O2182" s="15"/>
      <c r="P2182" s="8">
        <v>42345</v>
      </c>
      <c r="Q2182" s="8"/>
      <c r="R2182" s="8"/>
      <c r="S2182" s="8"/>
      <c r="T2182" s="8"/>
      <c r="U2182" s="8"/>
      <c r="V2182" s="8"/>
      <c r="W2182" s="8"/>
      <c r="X2182" s="8"/>
      <c r="Y2182" s="8"/>
      <c r="Z2182" s="8"/>
      <c r="AA2182" s="8"/>
      <c r="AB2182" s="8"/>
      <c r="AC2182" s="8"/>
      <c r="AD2182" s="8"/>
      <c r="AE2182" s="8"/>
      <c r="AF2182" s="8"/>
      <c r="AG2182" s="8"/>
      <c r="AH2182" s="8"/>
      <c r="AI2182" s="8"/>
      <c r="AJ2182" s="8"/>
      <c r="AK2182" s="8"/>
      <c r="AL2182" s="8"/>
      <c r="AM2182" s="8"/>
      <c r="AN2182" s="8"/>
      <c r="AO2182" s="8"/>
      <c r="AP2182" s="8"/>
      <c r="AQ2182" s="8"/>
      <c r="AR2182" s="8"/>
      <c r="AS2182" s="8"/>
      <c r="AT2182" s="8"/>
      <c r="AU2182" s="8"/>
      <c r="AV2182" s="8"/>
      <c r="AW2182" s="8"/>
      <c r="AX2182" s="4" t="s">
        <v>38</v>
      </c>
      <c r="AY2182" s="5" t="s">
        <v>9449</v>
      </c>
      <c r="AZ2182" s="5" t="s">
        <v>38</v>
      </c>
      <c r="BA2182" s="12"/>
      <c r="BB2182" s="12"/>
      <c r="BC2182" s="12"/>
      <c r="BD2182" s="11">
        <v>0</v>
      </c>
      <c r="BE2182" s="11">
        <v>0</v>
      </c>
    </row>
    <row x14ac:dyDescent="0.25" r="2183" customHeight="1" ht="17.25">
      <c r="A2183" s="11">
        <v>23719481</v>
      </c>
      <c r="B2183" s="4" t="s">
        <v>9450</v>
      </c>
      <c r="C2183" s="5" t="s">
        <v>9451</v>
      </c>
      <c r="D2183" s="5" t="s">
        <v>9452</v>
      </c>
      <c r="E2183" s="12"/>
      <c r="F2183" s="13">
        <f>"0544526708"</f>
      </c>
      <c r="G2183" s="13">
        <f>"9780544526709"</f>
      </c>
      <c r="H2183" s="11">
        <v>0</v>
      </c>
      <c r="I2183" s="14">
        <v>3.65</v>
      </c>
      <c r="J2183" s="7" t="s">
        <v>945</v>
      </c>
      <c r="K2183" s="5" t="s">
        <v>72</v>
      </c>
      <c r="L2183" s="11">
        <v>322</v>
      </c>
      <c r="M2183" s="11">
        <v>2016</v>
      </c>
      <c r="N2183" s="11">
        <v>2016</v>
      </c>
      <c r="O2183" s="15"/>
      <c r="P2183" s="8">
        <v>42345</v>
      </c>
      <c r="Q2183" s="8"/>
      <c r="R2183" s="8"/>
      <c r="S2183" s="8"/>
      <c r="T2183" s="8"/>
      <c r="U2183" s="8"/>
      <c r="V2183" s="8"/>
      <c r="W2183" s="8"/>
      <c r="X2183" s="8"/>
      <c r="Y2183" s="8"/>
      <c r="Z2183" s="8"/>
      <c r="AA2183" s="8"/>
      <c r="AB2183" s="8"/>
      <c r="AC2183" s="8"/>
      <c r="AD2183" s="8"/>
      <c r="AE2183" s="8"/>
      <c r="AF2183" s="8"/>
      <c r="AG2183" s="8"/>
      <c r="AH2183" s="8"/>
      <c r="AI2183" s="8"/>
      <c r="AJ2183" s="8"/>
      <c r="AK2183" s="8"/>
      <c r="AL2183" s="8"/>
      <c r="AM2183" s="8"/>
      <c r="AN2183" s="8"/>
      <c r="AO2183" s="8"/>
      <c r="AP2183" s="8"/>
      <c r="AQ2183" s="8"/>
      <c r="AR2183" s="8"/>
      <c r="AS2183" s="8"/>
      <c r="AT2183" s="8"/>
      <c r="AU2183" s="8"/>
      <c r="AV2183" s="8"/>
      <c r="AW2183" s="8"/>
      <c r="AX2183" s="4" t="s">
        <v>38</v>
      </c>
      <c r="AY2183" s="5" t="s">
        <v>9453</v>
      </c>
      <c r="AZ2183" s="5" t="s">
        <v>38</v>
      </c>
      <c r="BA2183" s="12"/>
      <c r="BB2183" s="12"/>
      <c r="BC2183" s="12"/>
      <c r="BD2183" s="11">
        <v>0</v>
      </c>
      <c r="BE2183" s="11">
        <v>0</v>
      </c>
    </row>
    <row x14ac:dyDescent="0.25" r="2184" customHeight="1" ht="17.25">
      <c r="A2184" s="11">
        <v>23358216</v>
      </c>
      <c r="B2184" s="4" t="s">
        <v>9454</v>
      </c>
      <c r="C2184" s="5" t="s">
        <v>9455</v>
      </c>
      <c r="D2184" s="5" t="s">
        <v>9456</v>
      </c>
      <c r="E2184" s="12"/>
      <c r="F2184" s="13">
        <f>"1101870125"</f>
      </c>
      <c r="G2184" s="13">
        <f>"9781101870129"</f>
      </c>
      <c r="H2184" s="11">
        <v>0</v>
      </c>
      <c r="I2184" s="14">
        <v>3.49</v>
      </c>
      <c r="J2184" s="7" t="s">
        <v>2577</v>
      </c>
      <c r="K2184" s="5" t="s">
        <v>72</v>
      </c>
      <c r="L2184" s="11">
        <v>240</v>
      </c>
      <c r="M2184" s="11">
        <v>2015</v>
      </c>
      <c r="N2184" s="11">
        <v>2015</v>
      </c>
      <c r="O2184" s="15"/>
      <c r="P2184" s="8">
        <v>42345</v>
      </c>
      <c r="Q2184" s="8"/>
      <c r="R2184" s="8"/>
      <c r="S2184" s="8"/>
      <c r="T2184" s="8"/>
      <c r="U2184" s="8"/>
      <c r="V2184" s="8"/>
      <c r="W2184" s="8"/>
      <c r="X2184" s="8"/>
      <c r="Y2184" s="8"/>
      <c r="Z2184" s="8"/>
      <c r="AA2184" s="8"/>
      <c r="AB2184" s="8"/>
      <c r="AC2184" s="8"/>
      <c r="AD2184" s="8"/>
      <c r="AE2184" s="8"/>
      <c r="AF2184" s="8"/>
      <c r="AG2184" s="8"/>
      <c r="AH2184" s="8"/>
      <c r="AI2184" s="8"/>
      <c r="AJ2184" s="8"/>
      <c r="AK2184" s="8"/>
      <c r="AL2184" s="8"/>
      <c r="AM2184" s="8"/>
      <c r="AN2184" s="8"/>
      <c r="AO2184" s="8"/>
      <c r="AP2184" s="8"/>
      <c r="AQ2184" s="8"/>
      <c r="AR2184" s="8"/>
      <c r="AS2184" s="8"/>
      <c r="AT2184" s="8"/>
      <c r="AU2184" s="8"/>
      <c r="AV2184" s="8"/>
      <c r="AW2184" s="8"/>
      <c r="AX2184" s="4" t="s">
        <v>38</v>
      </c>
      <c r="AY2184" s="5" t="s">
        <v>9457</v>
      </c>
      <c r="AZ2184" s="5" t="s">
        <v>38</v>
      </c>
      <c r="BA2184" s="12"/>
      <c r="BB2184" s="12"/>
      <c r="BC2184" s="12"/>
      <c r="BD2184" s="11">
        <v>0</v>
      </c>
      <c r="BE2184" s="11">
        <v>0</v>
      </c>
    </row>
    <row x14ac:dyDescent="0.25" r="2185" customHeight="1" ht="17.25">
      <c r="A2185" s="11">
        <v>24499258</v>
      </c>
      <c r="B2185" s="4" t="s">
        <v>9458</v>
      </c>
      <c r="C2185" s="5" t="s">
        <v>9459</v>
      </c>
      <c r="D2185" s="5" t="s">
        <v>9460</v>
      </c>
      <c r="E2185" s="5" t="s">
        <v>9461</v>
      </c>
      <c r="F2185" s="13">
        <f>"0812998685"</f>
      </c>
      <c r="G2185" s="13">
        <f>"9780812998689"</f>
      </c>
      <c r="H2185" s="11">
        <v>0</v>
      </c>
      <c r="I2185" s="14">
        <v>3.81</v>
      </c>
      <c r="J2185" s="7" t="s">
        <v>1018</v>
      </c>
      <c r="K2185" s="5" t="s">
        <v>72</v>
      </c>
      <c r="L2185" s="11">
        <v>238</v>
      </c>
      <c r="M2185" s="11">
        <v>2015</v>
      </c>
      <c r="N2185" s="11">
        <v>2015</v>
      </c>
      <c r="O2185" s="15"/>
      <c r="P2185" s="8">
        <v>42345</v>
      </c>
      <c r="Q2185" s="8"/>
      <c r="R2185" s="8"/>
      <c r="S2185" s="8"/>
      <c r="T2185" s="8"/>
      <c r="U2185" s="8"/>
      <c r="V2185" s="8"/>
      <c r="W2185" s="8"/>
      <c r="X2185" s="8"/>
      <c r="Y2185" s="8"/>
      <c r="Z2185" s="8"/>
      <c r="AA2185" s="8"/>
      <c r="AB2185" s="8"/>
      <c r="AC2185" s="8"/>
      <c r="AD2185" s="8"/>
      <c r="AE2185" s="8"/>
      <c r="AF2185" s="8"/>
      <c r="AG2185" s="8"/>
      <c r="AH2185" s="8"/>
      <c r="AI2185" s="8"/>
      <c r="AJ2185" s="8"/>
      <c r="AK2185" s="8"/>
      <c r="AL2185" s="8"/>
      <c r="AM2185" s="8"/>
      <c r="AN2185" s="8"/>
      <c r="AO2185" s="8"/>
      <c r="AP2185" s="8"/>
      <c r="AQ2185" s="8"/>
      <c r="AR2185" s="8"/>
      <c r="AS2185" s="8"/>
      <c r="AT2185" s="8"/>
      <c r="AU2185" s="8"/>
      <c r="AV2185" s="8"/>
      <c r="AW2185" s="8"/>
      <c r="AX2185" s="4" t="s">
        <v>38</v>
      </c>
      <c r="AY2185" s="5" t="s">
        <v>9462</v>
      </c>
      <c r="AZ2185" s="5" t="s">
        <v>38</v>
      </c>
      <c r="BA2185" s="12"/>
      <c r="BB2185" s="12"/>
      <c r="BC2185" s="12"/>
      <c r="BD2185" s="11">
        <v>0</v>
      </c>
      <c r="BE2185" s="11">
        <v>0</v>
      </c>
    </row>
    <row x14ac:dyDescent="0.25" r="2186" customHeight="1" ht="17.25">
      <c r="A2186" s="11">
        <v>17647</v>
      </c>
      <c r="B2186" s="4" t="s">
        <v>9463</v>
      </c>
      <c r="C2186" s="5" t="s">
        <v>1401</v>
      </c>
      <c r="D2186" s="5" t="s">
        <v>1402</v>
      </c>
      <c r="E2186" s="12"/>
      <c r="F2186" s="13">
        <f>"1844080277"</f>
      </c>
      <c r="G2186" s="13">
        <f>"9781844080274"</f>
      </c>
      <c r="H2186" s="11">
        <v>0</v>
      </c>
      <c r="I2186" s="14">
        <v>3.9</v>
      </c>
      <c r="J2186" s="7" t="s">
        <v>9464</v>
      </c>
      <c r="K2186" s="5" t="s">
        <v>60</v>
      </c>
      <c r="L2186" s="11">
        <v>198</v>
      </c>
      <c r="M2186" s="11">
        <v>2003</v>
      </c>
      <c r="N2186" s="11">
        <v>2002</v>
      </c>
      <c r="O2186" s="15"/>
      <c r="P2186" s="8">
        <v>42345</v>
      </c>
      <c r="Q2186" s="8"/>
      <c r="R2186" s="8"/>
      <c r="S2186" s="8"/>
      <c r="T2186" s="8"/>
      <c r="U2186" s="8"/>
      <c r="V2186" s="8"/>
      <c r="W2186" s="8"/>
      <c r="X2186" s="8"/>
      <c r="Y2186" s="8"/>
      <c r="Z2186" s="8"/>
      <c r="AA2186" s="8"/>
      <c r="AB2186" s="8"/>
      <c r="AC2186" s="8"/>
      <c r="AD2186" s="8"/>
      <c r="AE2186" s="8"/>
      <c r="AF2186" s="8"/>
      <c r="AG2186" s="8"/>
      <c r="AH2186" s="8"/>
      <c r="AI2186" s="8"/>
      <c r="AJ2186" s="8"/>
      <c r="AK2186" s="8"/>
      <c r="AL2186" s="8"/>
      <c r="AM2186" s="8"/>
      <c r="AN2186" s="8"/>
      <c r="AO2186" s="8"/>
      <c r="AP2186" s="8"/>
      <c r="AQ2186" s="8"/>
      <c r="AR2186" s="8"/>
      <c r="AS2186" s="8"/>
      <c r="AT2186" s="8"/>
      <c r="AU2186" s="8"/>
      <c r="AV2186" s="8"/>
      <c r="AW2186" s="8"/>
      <c r="AX2186" s="4" t="s">
        <v>38</v>
      </c>
      <c r="AY2186" s="5" t="s">
        <v>9465</v>
      </c>
      <c r="AZ2186" s="5" t="s">
        <v>38</v>
      </c>
      <c r="BA2186" s="12"/>
      <c r="BB2186" s="12"/>
      <c r="BC2186" s="12"/>
      <c r="BD2186" s="11">
        <v>0</v>
      </c>
      <c r="BE2186" s="11">
        <v>0</v>
      </c>
    </row>
    <row x14ac:dyDescent="0.25" r="2187" customHeight="1" ht="17.25">
      <c r="A2187" s="11">
        <v>2794</v>
      </c>
      <c r="B2187" s="4" t="s">
        <v>9466</v>
      </c>
      <c r="C2187" s="5" t="s">
        <v>4367</v>
      </c>
      <c r="D2187" s="5" t="s">
        <v>4368</v>
      </c>
      <c r="E2187" s="12"/>
      <c r="F2187" s="13">
        <f>"006091307X"</f>
      </c>
      <c r="G2187" s="13">
        <f>"9780060913076"</f>
      </c>
      <c r="H2187" s="11">
        <v>0</v>
      </c>
      <c r="I2187" s="14">
        <v>3.69</v>
      </c>
      <c r="J2187" s="7" t="s">
        <v>1061</v>
      </c>
      <c r="K2187" s="5" t="s">
        <v>60</v>
      </c>
      <c r="L2187" s="11">
        <v>152</v>
      </c>
      <c r="M2187" s="11">
        <v>2006</v>
      </c>
      <c r="N2187" s="11">
        <v>1966</v>
      </c>
      <c r="O2187" s="15"/>
      <c r="P2187" s="8">
        <v>42129</v>
      </c>
      <c r="Q2187" s="8"/>
      <c r="R2187" s="8"/>
      <c r="S2187" s="8"/>
      <c r="T2187" s="8"/>
      <c r="U2187" s="8"/>
      <c r="V2187" s="8"/>
      <c r="W2187" s="8"/>
      <c r="X2187" s="8"/>
      <c r="Y2187" s="8"/>
      <c r="Z2187" s="8"/>
      <c r="AA2187" s="8"/>
      <c r="AB2187" s="8"/>
      <c r="AC2187" s="8"/>
      <c r="AD2187" s="8"/>
      <c r="AE2187" s="8"/>
      <c r="AF2187" s="8"/>
      <c r="AG2187" s="8"/>
      <c r="AH2187" s="8"/>
      <c r="AI2187" s="8"/>
      <c r="AJ2187" s="8"/>
      <c r="AK2187" s="8"/>
      <c r="AL2187" s="8"/>
      <c r="AM2187" s="8"/>
      <c r="AN2187" s="8"/>
      <c r="AO2187" s="8"/>
      <c r="AP2187" s="8"/>
      <c r="AQ2187" s="8"/>
      <c r="AR2187" s="8"/>
      <c r="AS2187" s="8"/>
      <c r="AT2187" s="8"/>
      <c r="AU2187" s="8"/>
      <c r="AV2187" s="8"/>
      <c r="AW2187" s="8"/>
      <c r="AX2187" s="4" t="s">
        <v>38</v>
      </c>
      <c r="AY2187" s="5" t="s">
        <v>9467</v>
      </c>
      <c r="AZ2187" s="5" t="s">
        <v>38</v>
      </c>
      <c r="BA2187" s="12"/>
      <c r="BB2187" s="12"/>
      <c r="BC2187" s="12"/>
      <c r="BD2187" s="11">
        <v>0</v>
      </c>
      <c r="BE2187" s="11">
        <v>0</v>
      </c>
    </row>
    <row x14ac:dyDescent="0.25" r="2188" customHeight="1" ht="17.25">
      <c r="A2188" s="11">
        <v>32585</v>
      </c>
      <c r="B2188" s="4" t="s">
        <v>9468</v>
      </c>
      <c r="C2188" s="5" t="s">
        <v>9218</v>
      </c>
      <c r="D2188" s="5" t="s">
        <v>9219</v>
      </c>
      <c r="E2188" s="12"/>
      <c r="F2188" s="13">
        <f>"0486431681"</f>
      </c>
      <c r="G2188" s="13">
        <f>"9780486431680"</f>
      </c>
      <c r="H2188" s="11">
        <v>0</v>
      </c>
      <c r="I2188" s="14">
        <v>4.06</v>
      </c>
      <c r="J2188" s="7" t="s">
        <v>571</v>
      </c>
      <c r="K2188" s="5" t="s">
        <v>60</v>
      </c>
      <c r="L2188" s="11">
        <v>134</v>
      </c>
      <c r="M2188" s="11">
        <v>2003</v>
      </c>
      <c r="N2188" s="11">
        <v>1890</v>
      </c>
      <c r="O2188" s="15"/>
      <c r="P2188" s="8">
        <v>42107</v>
      </c>
      <c r="Q2188" s="8"/>
      <c r="R2188" s="8"/>
      <c r="S2188" s="8"/>
      <c r="T2188" s="8"/>
      <c r="U2188" s="8"/>
      <c r="V2188" s="8"/>
      <c r="W2188" s="8"/>
      <c r="X2188" s="8"/>
      <c r="Y2188" s="8"/>
      <c r="Z2188" s="8"/>
      <c r="AA2188" s="8"/>
      <c r="AB2188" s="8"/>
      <c r="AC2188" s="8"/>
      <c r="AD2188" s="8"/>
      <c r="AE2188" s="8"/>
      <c r="AF2188" s="8"/>
      <c r="AG2188" s="8"/>
      <c r="AH2188" s="8"/>
      <c r="AI2188" s="8"/>
      <c r="AJ2188" s="8"/>
      <c r="AK2188" s="8"/>
      <c r="AL2188" s="8"/>
      <c r="AM2188" s="8"/>
      <c r="AN2188" s="8"/>
      <c r="AO2188" s="8"/>
      <c r="AP2188" s="8"/>
      <c r="AQ2188" s="8"/>
      <c r="AR2188" s="8"/>
      <c r="AS2188" s="8"/>
      <c r="AT2188" s="8"/>
      <c r="AU2188" s="8"/>
      <c r="AV2188" s="8"/>
      <c r="AW2188" s="8"/>
      <c r="AX2188" s="4" t="s">
        <v>38</v>
      </c>
      <c r="AY2188" s="5" t="s">
        <v>9469</v>
      </c>
      <c r="AZ2188" s="5" t="s">
        <v>38</v>
      </c>
      <c r="BA2188" s="12"/>
      <c r="BB2188" s="12"/>
      <c r="BC2188" s="12"/>
      <c r="BD2188" s="11">
        <v>0</v>
      </c>
      <c r="BE2188" s="11">
        <v>0</v>
      </c>
    </row>
    <row x14ac:dyDescent="0.25" r="2189" customHeight="1" ht="17.25">
      <c r="A2189" s="11">
        <v>21491527</v>
      </c>
      <c r="B2189" s="4" t="s">
        <v>9470</v>
      </c>
      <c r="C2189" s="5" t="s">
        <v>9471</v>
      </c>
      <c r="D2189" s="5" t="s">
        <v>9472</v>
      </c>
      <c r="E2189" s="12"/>
      <c r="F2189" s="13">
        <f>"0062359835"</f>
      </c>
      <c r="G2189" s="13">
        <f>"9780062359834"</f>
      </c>
      <c r="H2189" s="11">
        <v>2</v>
      </c>
      <c r="I2189" s="14">
        <v>3.7</v>
      </c>
      <c r="J2189" s="7" t="s">
        <v>505</v>
      </c>
      <c r="K2189" s="5" t="s">
        <v>60</v>
      </c>
      <c r="L2189" s="11">
        <v>352</v>
      </c>
      <c r="M2189" s="11">
        <v>2014</v>
      </c>
      <c r="N2189" s="11">
        <v>2009</v>
      </c>
      <c r="O2189" s="8">
        <v>42100</v>
      </c>
      <c r="P2189" s="8">
        <v>42067</v>
      </c>
      <c r="Q2189" s="8"/>
      <c r="R2189" s="8"/>
      <c r="S2189" s="8"/>
      <c r="T2189" s="8"/>
      <c r="U2189" s="8"/>
      <c r="V2189" s="8"/>
      <c r="W2189" s="8"/>
      <c r="X2189" s="8"/>
      <c r="Y2189" s="8"/>
      <c r="Z2189" s="8"/>
      <c r="AA2189" s="8"/>
      <c r="AB2189" s="8"/>
      <c r="AC2189" s="8"/>
      <c r="AD2189" s="8"/>
      <c r="AE2189" s="8"/>
      <c r="AF2189" s="8"/>
      <c r="AG2189" s="8"/>
      <c r="AH2189" s="8"/>
      <c r="AI2189" s="8"/>
      <c r="AJ2189" s="8"/>
      <c r="AK2189" s="8"/>
      <c r="AL2189" s="8"/>
      <c r="AM2189" s="8"/>
      <c r="AN2189" s="8"/>
      <c r="AO2189" s="8"/>
      <c r="AP2189" s="8"/>
      <c r="AQ2189" s="8"/>
      <c r="AR2189" s="8"/>
      <c r="AS2189" s="8"/>
      <c r="AT2189" s="8"/>
      <c r="AU2189" s="8"/>
      <c r="AV2189" s="8"/>
      <c r="AW2189" s="8"/>
      <c r="AX2189" s="16"/>
      <c r="AY2189" s="12"/>
      <c r="AZ2189" s="5" t="s">
        <v>158</v>
      </c>
      <c r="BA2189" s="12"/>
      <c r="BB2189" s="12"/>
      <c r="BC2189" s="12"/>
      <c r="BD2189" s="11">
        <v>1</v>
      </c>
      <c r="BE2189" s="11">
        <v>0</v>
      </c>
    </row>
    <row x14ac:dyDescent="0.25" r="2190" customHeight="1" ht="17.25">
      <c r="A2190" s="11">
        <v>1118668</v>
      </c>
      <c r="B2190" s="4" t="s">
        <v>9473</v>
      </c>
      <c r="C2190" s="5" t="s">
        <v>9474</v>
      </c>
      <c r="D2190" s="5" t="s">
        <v>9475</v>
      </c>
      <c r="E2190" s="12"/>
      <c r="F2190" s="13">
        <f>""</f>
      </c>
      <c r="G2190" s="13">
        <f>""</f>
      </c>
      <c r="H2190" s="11">
        <v>5</v>
      </c>
      <c r="I2190" s="14">
        <v>4.39</v>
      </c>
      <c r="J2190" s="7" t="s">
        <v>1765</v>
      </c>
      <c r="K2190" s="5" t="s">
        <v>60</v>
      </c>
      <c r="L2190" s="11">
        <v>550</v>
      </c>
      <c r="M2190" s="11">
        <v>2007</v>
      </c>
      <c r="N2190" s="11">
        <v>2005</v>
      </c>
      <c r="O2190" s="15"/>
      <c r="P2190" s="8">
        <v>41171</v>
      </c>
      <c r="Q2190" s="8"/>
      <c r="R2190" s="8"/>
      <c r="S2190" s="8"/>
      <c r="T2190" s="8"/>
      <c r="U2190" s="8"/>
      <c r="V2190" s="8"/>
      <c r="W2190" s="8"/>
      <c r="X2190" s="8"/>
      <c r="Y2190" s="8"/>
      <c r="Z2190" s="8"/>
      <c r="AA2190" s="8"/>
      <c r="AB2190" s="8"/>
      <c r="AC2190" s="8"/>
      <c r="AD2190" s="8"/>
      <c r="AE2190" s="8"/>
      <c r="AF2190" s="8"/>
      <c r="AG2190" s="8"/>
      <c r="AH2190" s="8"/>
      <c r="AI2190" s="8"/>
      <c r="AJ2190" s="8"/>
      <c r="AK2190" s="8"/>
      <c r="AL2190" s="8"/>
      <c r="AM2190" s="8"/>
      <c r="AN2190" s="8"/>
      <c r="AO2190" s="8"/>
      <c r="AP2190" s="8"/>
      <c r="AQ2190" s="8"/>
      <c r="AR2190" s="8"/>
      <c r="AS2190" s="8"/>
      <c r="AT2190" s="8"/>
      <c r="AU2190" s="8"/>
      <c r="AV2190" s="8"/>
      <c r="AW2190" s="8"/>
      <c r="AX2190" s="16"/>
      <c r="AY2190" s="12"/>
      <c r="AZ2190" s="5" t="s">
        <v>158</v>
      </c>
      <c r="BA2190" s="5" t="s">
        <v>9476</v>
      </c>
      <c r="BB2190" s="12"/>
      <c r="BC2190" s="12"/>
      <c r="BD2190" s="11">
        <v>1</v>
      </c>
      <c r="BE2190" s="11">
        <v>0</v>
      </c>
    </row>
    <row x14ac:dyDescent="0.25" r="2191" customHeight="1" ht="17.25">
      <c r="A2191" s="11">
        <v>6116947</v>
      </c>
      <c r="B2191" s="4" t="s">
        <v>9477</v>
      </c>
      <c r="C2191" s="5" t="s">
        <v>9478</v>
      </c>
      <c r="D2191" s="5" t="s">
        <v>9479</v>
      </c>
      <c r="E2191" s="12"/>
      <c r="F2191" s="13">
        <f>"0758231369"</f>
      </c>
      <c r="G2191" s="13">
        <f>"9780758231369"</f>
      </c>
      <c r="H2191" s="11">
        <v>0</v>
      </c>
      <c r="I2191" s="14">
        <v>3.65</v>
      </c>
      <c r="J2191" s="7" t="s">
        <v>9480</v>
      </c>
      <c r="K2191" s="5" t="s">
        <v>60</v>
      </c>
      <c r="L2191" s="11">
        <v>276</v>
      </c>
      <c r="M2191" s="11">
        <v>2009</v>
      </c>
      <c r="N2191" s="11">
        <v>2009</v>
      </c>
      <c r="O2191" s="15"/>
      <c r="P2191" s="8">
        <v>42039</v>
      </c>
      <c r="Q2191" s="8"/>
      <c r="R2191" s="8"/>
      <c r="S2191" s="8"/>
      <c r="T2191" s="8"/>
      <c r="U2191" s="8"/>
      <c r="V2191" s="8"/>
      <c r="W2191" s="8"/>
      <c r="X2191" s="8"/>
      <c r="Y2191" s="8"/>
      <c r="Z2191" s="8"/>
      <c r="AA2191" s="8"/>
      <c r="AB2191" s="8"/>
      <c r="AC2191" s="8"/>
      <c r="AD2191" s="8"/>
      <c r="AE2191" s="8"/>
      <c r="AF2191" s="8"/>
      <c r="AG2191" s="8"/>
      <c r="AH2191" s="8"/>
      <c r="AI2191" s="8"/>
      <c r="AJ2191" s="8"/>
      <c r="AK2191" s="8"/>
      <c r="AL2191" s="8"/>
      <c r="AM2191" s="8"/>
      <c r="AN2191" s="8"/>
      <c r="AO2191" s="8"/>
      <c r="AP2191" s="8"/>
      <c r="AQ2191" s="8"/>
      <c r="AR2191" s="8"/>
      <c r="AS2191" s="8"/>
      <c r="AT2191" s="8"/>
      <c r="AU2191" s="8"/>
      <c r="AV2191" s="8"/>
      <c r="AW2191" s="8"/>
      <c r="AX2191" s="4" t="s">
        <v>38</v>
      </c>
      <c r="AY2191" s="5" t="s">
        <v>9481</v>
      </c>
      <c r="AZ2191" s="5" t="s">
        <v>38</v>
      </c>
      <c r="BA2191" s="12"/>
      <c r="BB2191" s="12"/>
      <c r="BC2191" s="12"/>
      <c r="BD2191" s="11">
        <v>0</v>
      </c>
      <c r="BE2191" s="11">
        <v>0</v>
      </c>
    </row>
    <row x14ac:dyDescent="0.25" r="2192" customHeight="1" ht="17.25">
      <c r="A2192" s="11">
        <v>480294</v>
      </c>
      <c r="B2192" s="4" t="s">
        <v>9482</v>
      </c>
      <c r="C2192" s="5" t="s">
        <v>9483</v>
      </c>
      <c r="D2192" s="5" t="s">
        <v>9484</v>
      </c>
      <c r="E2192" s="12"/>
      <c r="F2192" s="13">
        <f>"0446670111"</f>
      </c>
      <c r="G2192" s="13">
        <f>"9780446670111"</f>
      </c>
      <c r="H2192" s="11">
        <v>0</v>
      </c>
      <c r="I2192" s="14">
        <v>4.07</v>
      </c>
      <c r="J2192" s="7" t="s">
        <v>9485</v>
      </c>
      <c r="K2192" s="5" t="s">
        <v>60</v>
      </c>
      <c r="L2192" s="11">
        <v>179</v>
      </c>
      <c r="M2192" s="11">
        <v>1994</v>
      </c>
      <c r="N2192" s="11">
        <v>1992</v>
      </c>
      <c r="O2192" s="8">
        <v>41323</v>
      </c>
      <c r="P2192" s="8">
        <v>41306</v>
      </c>
      <c r="Q2192" s="8"/>
      <c r="R2192" s="8"/>
      <c r="S2192" s="8"/>
      <c r="T2192" s="8"/>
      <c r="U2192" s="8"/>
      <c r="V2192" s="8"/>
      <c r="W2192" s="8"/>
      <c r="X2192" s="8"/>
      <c r="Y2192" s="8"/>
      <c r="Z2192" s="8"/>
      <c r="AA2192" s="8"/>
      <c r="AB2192" s="8"/>
      <c r="AC2192" s="8"/>
      <c r="AD2192" s="8"/>
      <c r="AE2192" s="8"/>
      <c r="AF2192" s="8"/>
      <c r="AG2192" s="8"/>
      <c r="AH2192" s="8"/>
      <c r="AI2192" s="8"/>
      <c r="AJ2192" s="8"/>
      <c r="AK2192" s="8"/>
      <c r="AL2192" s="8"/>
      <c r="AM2192" s="8"/>
      <c r="AN2192" s="8"/>
      <c r="AO2192" s="8"/>
      <c r="AP2192" s="8"/>
      <c r="AQ2192" s="8"/>
      <c r="AR2192" s="8"/>
      <c r="AS2192" s="8"/>
      <c r="AT2192" s="8"/>
      <c r="AU2192" s="8"/>
      <c r="AV2192" s="8"/>
      <c r="AW2192" s="8"/>
      <c r="AX2192" s="16"/>
      <c r="AY2192" s="12"/>
      <c r="AZ2192" s="5" t="s">
        <v>158</v>
      </c>
      <c r="BA2192" s="12"/>
      <c r="BB2192" s="12"/>
      <c r="BC2192" s="12"/>
      <c r="BD2192" s="11">
        <v>1</v>
      </c>
      <c r="BE2192" s="11">
        <v>0</v>
      </c>
    </row>
    <row x14ac:dyDescent="0.25" r="2193" customHeight="1" ht="17.25">
      <c r="A2193" s="11">
        <v>25148</v>
      </c>
      <c r="B2193" s="4" t="s">
        <v>9486</v>
      </c>
      <c r="C2193" s="5" t="s">
        <v>9487</v>
      </c>
      <c r="D2193" s="5" t="s">
        <v>9488</v>
      </c>
      <c r="E2193" s="12"/>
      <c r="F2193" s="13">
        <f>"0671027638"</f>
      </c>
      <c r="G2193" s="13">
        <f>"9780671027636"</f>
      </c>
      <c r="H2193" s="11">
        <v>0</v>
      </c>
      <c r="I2193" s="14">
        <v>3.58</v>
      </c>
      <c r="J2193" s="7" t="s">
        <v>9489</v>
      </c>
      <c r="K2193" s="5" t="s">
        <v>60</v>
      </c>
      <c r="L2193" s="11">
        <v>304</v>
      </c>
      <c r="M2193" s="11">
        <v>1999</v>
      </c>
      <c r="N2193" s="11">
        <v>1997</v>
      </c>
      <c r="O2193" s="15"/>
      <c r="P2193" s="8">
        <v>41802</v>
      </c>
      <c r="Q2193" s="8"/>
      <c r="R2193" s="8"/>
      <c r="S2193" s="8"/>
      <c r="T2193" s="8"/>
      <c r="U2193" s="8"/>
      <c r="V2193" s="8"/>
      <c r="W2193" s="8"/>
      <c r="X2193" s="8"/>
      <c r="Y2193" s="8"/>
      <c r="Z2193" s="8"/>
      <c r="AA2193" s="8"/>
      <c r="AB2193" s="8"/>
      <c r="AC2193" s="8"/>
      <c r="AD2193" s="8"/>
      <c r="AE2193" s="8"/>
      <c r="AF2193" s="8"/>
      <c r="AG2193" s="8"/>
      <c r="AH2193" s="8"/>
      <c r="AI2193" s="8"/>
      <c r="AJ2193" s="8"/>
      <c r="AK2193" s="8"/>
      <c r="AL2193" s="8"/>
      <c r="AM2193" s="8"/>
      <c r="AN2193" s="8"/>
      <c r="AO2193" s="8"/>
      <c r="AP2193" s="8"/>
      <c r="AQ2193" s="8"/>
      <c r="AR2193" s="8"/>
      <c r="AS2193" s="8"/>
      <c r="AT2193" s="8"/>
      <c r="AU2193" s="8"/>
      <c r="AV2193" s="8"/>
      <c r="AW2193" s="8"/>
      <c r="AX2193" s="4" t="s">
        <v>38</v>
      </c>
      <c r="AY2193" s="5" t="s">
        <v>9490</v>
      </c>
      <c r="AZ2193" s="5" t="s">
        <v>38</v>
      </c>
      <c r="BA2193" s="12"/>
      <c r="BB2193" s="12"/>
      <c r="BC2193" s="12"/>
      <c r="BD2193" s="11">
        <v>0</v>
      </c>
      <c r="BE2193" s="11">
        <v>0</v>
      </c>
    </row>
    <row x14ac:dyDescent="0.25" r="2194" customHeight="1" ht="17.25">
      <c r="A2194" s="11">
        <v>48180</v>
      </c>
      <c r="B2194" s="4" t="s">
        <v>6203</v>
      </c>
      <c r="C2194" s="5" t="s">
        <v>9491</v>
      </c>
      <c r="D2194" s="5" t="s">
        <v>9492</v>
      </c>
      <c r="E2194" s="5" t="s">
        <v>9493</v>
      </c>
      <c r="F2194" s="13">
        <f>"1885983018"</f>
      </c>
      <c r="G2194" s="13">
        <f>"9781885983015"</f>
      </c>
      <c r="H2194" s="11">
        <v>0</v>
      </c>
      <c r="I2194" s="14">
        <v>3.6</v>
      </c>
      <c r="J2194" s="7" t="s">
        <v>9494</v>
      </c>
      <c r="K2194" s="5" t="s">
        <v>60</v>
      </c>
      <c r="L2194" s="11">
        <v>255</v>
      </c>
      <c r="M2194" s="11">
        <v>1995</v>
      </c>
      <c r="N2194" s="11">
        <v>1908</v>
      </c>
      <c r="O2194" s="15"/>
      <c r="P2194" s="8">
        <v>41763</v>
      </c>
      <c r="Q2194" s="8"/>
      <c r="R2194" s="8"/>
      <c r="S2194" s="8"/>
      <c r="T2194" s="8"/>
      <c r="U2194" s="8"/>
      <c r="V2194" s="8"/>
      <c r="W2194" s="8"/>
      <c r="X2194" s="8"/>
      <c r="Y2194" s="8"/>
      <c r="Z2194" s="8"/>
      <c r="AA2194" s="8"/>
      <c r="AB2194" s="8"/>
      <c r="AC2194" s="8"/>
      <c r="AD2194" s="8"/>
      <c r="AE2194" s="8"/>
      <c r="AF2194" s="8"/>
      <c r="AG2194" s="8"/>
      <c r="AH2194" s="8"/>
      <c r="AI2194" s="8"/>
      <c r="AJ2194" s="8"/>
      <c r="AK2194" s="8"/>
      <c r="AL2194" s="8"/>
      <c r="AM2194" s="8"/>
      <c r="AN2194" s="8"/>
      <c r="AO2194" s="8"/>
      <c r="AP2194" s="8"/>
      <c r="AQ2194" s="8"/>
      <c r="AR2194" s="8"/>
      <c r="AS2194" s="8"/>
      <c r="AT2194" s="8"/>
      <c r="AU2194" s="8"/>
      <c r="AV2194" s="8"/>
      <c r="AW2194" s="8"/>
      <c r="AX2194" s="4" t="s">
        <v>38</v>
      </c>
      <c r="AY2194" s="5" t="s">
        <v>9495</v>
      </c>
      <c r="AZ2194" s="5" t="s">
        <v>38</v>
      </c>
      <c r="BA2194" s="12"/>
      <c r="BB2194" s="12"/>
      <c r="BC2194" s="12"/>
      <c r="BD2194" s="11">
        <v>0</v>
      </c>
      <c r="BE2194" s="11">
        <v>0</v>
      </c>
    </row>
    <row x14ac:dyDescent="0.25" r="2195" customHeight="1" ht="17.25">
      <c r="A2195" s="11">
        <v>211855</v>
      </c>
      <c r="B2195" s="4" t="s">
        <v>9496</v>
      </c>
      <c r="C2195" s="5" t="s">
        <v>9497</v>
      </c>
      <c r="D2195" s="5" t="s">
        <v>9498</v>
      </c>
      <c r="E2195" s="12"/>
      <c r="F2195" s="13">
        <f>"0715632752"</f>
      </c>
      <c r="G2195" s="13">
        <f>"9780715632758"</f>
      </c>
      <c r="H2195" s="11">
        <v>0</v>
      </c>
      <c r="I2195" s="14">
        <v>3.88</v>
      </c>
      <c r="J2195" s="7" t="s">
        <v>9499</v>
      </c>
      <c r="K2195" s="5" t="s">
        <v>60</v>
      </c>
      <c r="L2195" s="11">
        <v>121</v>
      </c>
      <c r="M2195" s="11">
        <v>2004</v>
      </c>
      <c r="N2195" s="11">
        <v>1938</v>
      </c>
      <c r="O2195" s="15"/>
      <c r="P2195" s="8">
        <v>41763</v>
      </c>
      <c r="Q2195" s="8"/>
      <c r="R2195" s="8"/>
      <c r="S2195" s="8"/>
      <c r="T2195" s="8"/>
      <c r="U2195" s="8"/>
      <c r="V2195" s="8"/>
      <c r="W2195" s="8"/>
      <c r="X2195" s="8"/>
      <c r="Y2195" s="8"/>
      <c r="Z2195" s="8"/>
      <c r="AA2195" s="8"/>
      <c r="AB2195" s="8"/>
      <c r="AC2195" s="8"/>
      <c r="AD2195" s="8"/>
      <c r="AE2195" s="8"/>
      <c r="AF2195" s="8"/>
      <c r="AG2195" s="8"/>
      <c r="AH2195" s="8"/>
      <c r="AI2195" s="8"/>
      <c r="AJ2195" s="8"/>
      <c r="AK2195" s="8"/>
      <c r="AL2195" s="8"/>
      <c r="AM2195" s="8"/>
      <c r="AN2195" s="8"/>
      <c r="AO2195" s="8"/>
      <c r="AP2195" s="8"/>
      <c r="AQ2195" s="8"/>
      <c r="AR2195" s="8"/>
      <c r="AS2195" s="8"/>
      <c r="AT2195" s="8"/>
      <c r="AU2195" s="8"/>
      <c r="AV2195" s="8"/>
      <c r="AW2195" s="8"/>
      <c r="AX2195" s="4" t="s">
        <v>38</v>
      </c>
      <c r="AY2195" s="5" t="s">
        <v>9500</v>
      </c>
      <c r="AZ2195" s="5" t="s">
        <v>38</v>
      </c>
      <c r="BA2195" s="12"/>
      <c r="BB2195" s="12"/>
      <c r="BC2195" s="12"/>
      <c r="BD2195" s="11">
        <v>0</v>
      </c>
      <c r="BE2195" s="11">
        <v>0</v>
      </c>
    </row>
    <row x14ac:dyDescent="0.25" r="2196" customHeight="1" ht="17.25">
      <c r="A2196" s="11">
        <v>11601988</v>
      </c>
      <c r="B2196" s="4" t="s">
        <v>9501</v>
      </c>
      <c r="C2196" s="5" t="s">
        <v>9502</v>
      </c>
      <c r="D2196" s="5" t="s">
        <v>9503</v>
      </c>
      <c r="E2196" s="5" t="s">
        <v>9504</v>
      </c>
      <c r="F2196" s="13">
        <f>"0345532864"</f>
      </c>
      <c r="G2196" s="13">
        <f>"9780345532861"</f>
      </c>
      <c r="H2196" s="11">
        <v>0</v>
      </c>
      <c r="I2196" s="14">
        <v>4.11</v>
      </c>
      <c r="J2196" s="7" t="s">
        <v>352</v>
      </c>
      <c r="K2196" s="5" t="s">
        <v>72</v>
      </c>
      <c r="L2196" s="11">
        <v>192</v>
      </c>
      <c r="M2196" s="11">
        <v>2011</v>
      </c>
      <c r="N2196" s="11">
        <v>2011</v>
      </c>
      <c r="O2196" s="15"/>
      <c r="P2196" s="8">
        <v>41696</v>
      </c>
      <c r="Q2196" s="8"/>
      <c r="R2196" s="8"/>
      <c r="S2196" s="8"/>
      <c r="T2196" s="8"/>
      <c r="U2196" s="8"/>
      <c r="V2196" s="8"/>
      <c r="W2196" s="8"/>
      <c r="X2196" s="8"/>
      <c r="Y2196" s="8"/>
      <c r="Z2196" s="8"/>
      <c r="AA2196" s="8"/>
      <c r="AB2196" s="8"/>
      <c r="AC2196" s="8"/>
      <c r="AD2196" s="8"/>
      <c r="AE2196" s="8"/>
      <c r="AF2196" s="8"/>
      <c r="AG2196" s="8"/>
      <c r="AH2196" s="8"/>
      <c r="AI2196" s="8"/>
      <c r="AJ2196" s="8"/>
      <c r="AK2196" s="8"/>
      <c r="AL2196" s="8"/>
      <c r="AM2196" s="8"/>
      <c r="AN2196" s="8"/>
      <c r="AO2196" s="8"/>
      <c r="AP2196" s="8"/>
      <c r="AQ2196" s="8"/>
      <c r="AR2196" s="8"/>
      <c r="AS2196" s="8"/>
      <c r="AT2196" s="8"/>
      <c r="AU2196" s="8"/>
      <c r="AV2196" s="8"/>
      <c r="AW2196" s="8"/>
      <c r="AX2196" s="4" t="s">
        <v>38</v>
      </c>
      <c r="AY2196" s="5" t="s">
        <v>9505</v>
      </c>
      <c r="AZ2196" s="5" t="s">
        <v>38</v>
      </c>
      <c r="BA2196" s="12"/>
      <c r="BB2196" s="12"/>
      <c r="BC2196" s="12"/>
      <c r="BD2196" s="11">
        <v>0</v>
      </c>
      <c r="BE2196" s="11">
        <v>0</v>
      </c>
    </row>
    <row x14ac:dyDescent="0.25" r="2197" customHeight="1" ht="17.25">
      <c r="A2197" s="11">
        <v>43945</v>
      </c>
      <c r="B2197" s="4" t="s">
        <v>9506</v>
      </c>
      <c r="C2197" s="5" t="s">
        <v>9507</v>
      </c>
      <c r="D2197" s="5" t="s">
        <v>9508</v>
      </c>
      <c r="E2197" s="12"/>
      <c r="F2197" s="13">
        <f>""</f>
      </c>
      <c r="G2197" s="13">
        <f>""</f>
      </c>
      <c r="H2197" s="11">
        <v>0</v>
      </c>
      <c r="I2197" s="14">
        <v>3.7</v>
      </c>
      <c r="J2197" s="7" t="s">
        <v>114</v>
      </c>
      <c r="K2197" s="5" t="s">
        <v>60</v>
      </c>
      <c r="L2197" s="11">
        <v>274</v>
      </c>
      <c r="M2197" s="11">
        <v>1995</v>
      </c>
      <c r="N2197" s="11">
        <v>1969</v>
      </c>
      <c r="O2197" s="15"/>
      <c r="P2197" s="8">
        <v>41667</v>
      </c>
      <c r="Q2197" s="8"/>
      <c r="R2197" s="8"/>
      <c r="S2197" s="8"/>
      <c r="T2197" s="8"/>
      <c r="U2197" s="8"/>
      <c r="V2197" s="8"/>
      <c r="W2197" s="8"/>
      <c r="X2197" s="8"/>
      <c r="Y2197" s="8"/>
      <c r="Z2197" s="8"/>
      <c r="AA2197" s="8"/>
      <c r="AB2197" s="8"/>
      <c r="AC2197" s="8"/>
      <c r="AD2197" s="8"/>
      <c r="AE2197" s="8"/>
      <c r="AF2197" s="8"/>
      <c r="AG2197" s="8"/>
      <c r="AH2197" s="8"/>
      <c r="AI2197" s="8"/>
      <c r="AJ2197" s="8"/>
      <c r="AK2197" s="8"/>
      <c r="AL2197" s="8"/>
      <c r="AM2197" s="8"/>
      <c r="AN2197" s="8"/>
      <c r="AO2197" s="8"/>
      <c r="AP2197" s="8"/>
      <c r="AQ2197" s="8"/>
      <c r="AR2197" s="8"/>
      <c r="AS2197" s="8"/>
      <c r="AT2197" s="8"/>
      <c r="AU2197" s="8"/>
      <c r="AV2197" s="8"/>
      <c r="AW2197" s="8"/>
      <c r="AX2197" s="4" t="s">
        <v>38</v>
      </c>
      <c r="AY2197" s="5" t="s">
        <v>9509</v>
      </c>
      <c r="AZ2197" s="5" t="s">
        <v>38</v>
      </c>
      <c r="BA2197" s="12"/>
      <c r="BB2197" s="12"/>
      <c r="BC2197" s="12"/>
      <c r="BD2197" s="11">
        <v>0</v>
      </c>
      <c r="BE2197" s="11">
        <v>0</v>
      </c>
    </row>
    <row x14ac:dyDescent="0.25" r="2198" customHeight="1" ht="17.25">
      <c r="A2198" s="11">
        <v>144800</v>
      </c>
      <c r="B2198" s="4" t="s">
        <v>9510</v>
      </c>
      <c r="C2198" s="5" t="s">
        <v>9511</v>
      </c>
      <c r="D2198" s="5" t="s">
        <v>9512</v>
      </c>
      <c r="E2198" s="12"/>
      <c r="F2198" s="13">
        <f>"1841959111"</f>
      </c>
      <c r="G2198" s="13">
        <f>"9781841959115"</f>
      </c>
      <c r="H2198" s="11">
        <v>0</v>
      </c>
      <c r="I2198" s="14">
        <v>3.82</v>
      </c>
      <c r="J2198" s="7" t="s">
        <v>1403</v>
      </c>
      <c r="K2198" s="5" t="s">
        <v>72</v>
      </c>
      <c r="L2198" s="11">
        <v>427</v>
      </c>
      <c r="M2198" s="11">
        <v>2007</v>
      </c>
      <c r="N2198" s="11">
        <v>2007</v>
      </c>
      <c r="O2198" s="15"/>
      <c r="P2198" s="8">
        <v>41663</v>
      </c>
      <c r="Q2198" s="8"/>
      <c r="R2198" s="8"/>
      <c r="S2198" s="8"/>
      <c r="T2198" s="8"/>
      <c r="U2198" s="8"/>
      <c r="V2198" s="8"/>
      <c r="W2198" s="8"/>
      <c r="X2198" s="8"/>
      <c r="Y2198" s="8"/>
      <c r="Z2198" s="8"/>
      <c r="AA2198" s="8"/>
      <c r="AB2198" s="8"/>
      <c r="AC2198" s="8"/>
      <c r="AD2198" s="8"/>
      <c r="AE2198" s="8"/>
      <c r="AF2198" s="8"/>
      <c r="AG2198" s="8"/>
      <c r="AH2198" s="8"/>
      <c r="AI2198" s="8"/>
      <c r="AJ2198" s="8"/>
      <c r="AK2198" s="8"/>
      <c r="AL2198" s="8"/>
      <c r="AM2198" s="8"/>
      <c r="AN2198" s="8"/>
      <c r="AO2198" s="8"/>
      <c r="AP2198" s="8"/>
      <c r="AQ2198" s="8"/>
      <c r="AR2198" s="8"/>
      <c r="AS2198" s="8"/>
      <c r="AT2198" s="8"/>
      <c r="AU2198" s="8"/>
      <c r="AV2198" s="8"/>
      <c r="AW2198" s="8"/>
      <c r="AX2198" s="4" t="s">
        <v>38</v>
      </c>
      <c r="AY2198" s="5" t="s">
        <v>9513</v>
      </c>
      <c r="AZ2198" s="5" t="s">
        <v>38</v>
      </c>
      <c r="BA2198" s="12"/>
      <c r="BB2198" s="12"/>
      <c r="BC2198" s="12"/>
      <c r="BD2198" s="11">
        <v>0</v>
      </c>
      <c r="BE2198" s="11">
        <v>0</v>
      </c>
    </row>
    <row x14ac:dyDescent="0.25" r="2199" customHeight="1" ht="17.25">
      <c r="A2199" s="11">
        <v>13531832</v>
      </c>
      <c r="B2199" s="4" t="s">
        <v>9514</v>
      </c>
      <c r="C2199" s="5" t="s">
        <v>9515</v>
      </c>
      <c r="D2199" s="5" t="s">
        <v>9516</v>
      </c>
      <c r="E2199" s="12"/>
      <c r="F2199" s="13">
        <f>"0307957233"</f>
      </c>
      <c r="G2199" s="13">
        <f>"9780307957238"</f>
      </c>
      <c r="H2199" s="11">
        <v>0</v>
      </c>
      <c r="I2199" s="14">
        <v>3.68</v>
      </c>
      <c r="J2199" s="7" t="s">
        <v>665</v>
      </c>
      <c r="K2199" s="5" t="s">
        <v>72</v>
      </c>
      <c r="L2199" s="11">
        <v>243</v>
      </c>
      <c r="M2199" s="11">
        <v>2013</v>
      </c>
      <c r="N2199" s="11">
        <v>2013</v>
      </c>
      <c r="O2199" s="15"/>
      <c r="P2199" s="8">
        <v>41653</v>
      </c>
      <c r="Q2199" s="8"/>
      <c r="R2199" s="8"/>
      <c r="S2199" s="8"/>
      <c r="T2199" s="8"/>
      <c r="U2199" s="8"/>
      <c r="V2199" s="8"/>
      <c r="W2199" s="8"/>
      <c r="X2199" s="8"/>
      <c r="Y2199" s="8"/>
      <c r="Z2199" s="8"/>
      <c r="AA2199" s="8"/>
      <c r="AB2199" s="8"/>
      <c r="AC2199" s="8"/>
      <c r="AD2199" s="8"/>
      <c r="AE2199" s="8"/>
      <c r="AF2199" s="8"/>
      <c r="AG2199" s="8"/>
      <c r="AH2199" s="8"/>
      <c r="AI2199" s="8"/>
      <c r="AJ2199" s="8"/>
      <c r="AK2199" s="8"/>
      <c r="AL2199" s="8"/>
      <c r="AM2199" s="8"/>
      <c r="AN2199" s="8"/>
      <c r="AO2199" s="8"/>
      <c r="AP2199" s="8"/>
      <c r="AQ2199" s="8"/>
      <c r="AR2199" s="8"/>
      <c r="AS2199" s="8"/>
      <c r="AT2199" s="8"/>
      <c r="AU2199" s="8"/>
      <c r="AV2199" s="8"/>
      <c r="AW2199" s="8"/>
      <c r="AX2199" s="4" t="s">
        <v>38</v>
      </c>
      <c r="AY2199" s="5" t="s">
        <v>9517</v>
      </c>
      <c r="AZ2199" s="5" t="s">
        <v>38</v>
      </c>
      <c r="BA2199" s="12"/>
      <c r="BB2199" s="12"/>
      <c r="BC2199" s="12"/>
      <c r="BD2199" s="11">
        <v>0</v>
      </c>
      <c r="BE2199" s="11">
        <v>0</v>
      </c>
    </row>
    <row x14ac:dyDescent="0.25" r="2200" customHeight="1" ht="17.25">
      <c r="A2200" s="11">
        <v>15811545</v>
      </c>
      <c r="B2200" s="4" t="s">
        <v>9518</v>
      </c>
      <c r="C2200" s="5" t="s">
        <v>9519</v>
      </c>
      <c r="D2200" s="5" t="s">
        <v>9520</v>
      </c>
      <c r="E2200" s="12"/>
      <c r="F2200" s="13">
        <f>"0670026638"</f>
      </c>
      <c r="G2200" s="13">
        <f>"9780670026630"</f>
      </c>
      <c r="H2200" s="11">
        <v>0</v>
      </c>
      <c r="I2200" s="14">
        <v>4.05</v>
      </c>
      <c r="J2200" s="7" t="s">
        <v>2206</v>
      </c>
      <c r="K2200" s="5" t="s">
        <v>72</v>
      </c>
      <c r="L2200" s="11">
        <v>432</v>
      </c>
      <c r="M2200" s="11">
        <v>2013</v>
      </c>
      <c r="N2200" s="11">
        <v>2013</v>
      </c>
      <c r="O2200" s="15"/>
      <c r="P2200" s="8">
        <v>41647</v>
      </c>
      <c r="Q2200" s="8"/>
      <c r="R2200" s="8"/>
      <c r="S2200" s="8"/>
      <c r="T2200" s="8"/>
      <c r="U2200" s="8"/>
      <c r="V2200" s="8"/>
      <c r="W2200" s="8"/>
      <c r="X2200" s="8"/>
      <c r="Y2200" s="8"/>
      <c r="Z2200" s="8"/>
      <c r="AA2200" s="8"/>
      <c r="AB2200" s="8"/>
      <c r="AC2200" s="8"/>
      <c r="AD2200" s="8"/>
      <c r="AE2200" s="8"/>
      <c r="AF2200" s="8"/>
      <c r="AG2200" s="8"/>
      <c r="AH2200" s="8"/>
      <c r="AI2200" s="8"/>
      <c r="AJ2200" s="8"/>
      <c r="AK2200" s="8"/>
      <c r="AL2200" s="8"/>
      <c r="AM2200" s="8"/>
      <c r="AN2200" s="8"/>
      <c r="AO2200" s="8"/>
      <c r="AP2200" s="8"/>
      <c r="AQ2200" s="8"/>
      <c r="AR2200" s="8"/>
      <c r="AS2200" s="8"/>
      <c r="AT2200" s="8"/>
      <c r="AU2200" s="8"/>
      <c r="AV2200" s="8"/>
      <c r="AW2200" s="8"/>
      <c r="AX2200" s="4" t="s">
        <v>38</v>
      </c>
      <c r="AY2200" s="5" t="s">
        <v>9521</v>
      </c>
      <c r="AZ2200" s="5" t="s">
        <v>38</v>
      </c>
      <c r="BA2200" s="12"/>
      <c r="BB2200" s="12"/>
      <c r="BC2200" s="12"/>
      <c r="BD2200" s="11">
        <v>0</v>
      </c>
      <c r="BE2200" s="11">
        <v>0</v>
      </c>
    </row>
    <row x14ac:dyDescent="0.25" r="2201" customHeight="1" ht="17.25">
      <c r="A2201" s="11">
        <v>11658328</v>
      </c>
      <c r="B2201" s="4" t="s">
        <v>9522</v>
      </c>
      <c r="C2201" s="5" t="s">
        <v>9523</v>
      </c>
      <c r="D2201" s="5" t="s">
        <v>9524</v>
      </c>
      <c r="E2201" s="12"/>
      <c r="F2201" s="13">
        <f>"1846682703"</f>
      </c>
      <c r="G2201" s="13">
        <f>"9781846682704"</f>
      </c>
      <c r="H2201" s="11">
        <v>0</v>
      </c>
      <c r="I2201" s="14">
        <v>3.51</v>
      </c>
      <c r="J2201" s="7" t="s">
        <v>9525</v>
      </c>
      <c r="K2201" s="5" t="s">
        <v>72</v>
      </c>
      <c r="L2201" s="11">
        <v>256</v>
      </c>
      <c r="M2201" s="11">
        <v>2012</v>
      </c>
      <c r="N2201" s="11">
        <v>2011</v>
      </c>
      <c r="O2201" s="15"/>
      <c r="P2201" s="8">
        <v>41647</v>
      </c>
      <c r="Q2201" s="8"/>
      <c r="R2201" s="8"/>
      <c r="S2201" s="8"/>
      <c r="T2201" s="8"/>
      <c r="U2201" s="8"/>
      <c r="V2201" s="8"/>
      <c r="W2201" s="8"/>
      <c r="X2201" s="8"/>
      <c r="Y2201" s="8"/>
      <c r="Z2201" s="8"/>
      <c r="AA2201" s="8"/>
      <c r="AB2201" s="8"/>
      <c r="AC2201" s="8"/>
      <c r="AD2201" s="8"/>
      <c r="AE2201" s="8"/>
      <c r="AF2201" s="8"/>
      <c r="AG2201" s="8"/>
      <c r="AH2201" s="8"/>
      <c r="AI2201" s="8"/>
      <c r="AJ2201" s="8"/>
      <c r="AK2201" s="8"/>
      <c r="AL2201" s="8"/>
      <c r="AM2201" s="8"/>
      <c r="AN2201" s="8"/>
      <c r="AO2201" s="8"/>
      <c r="AP2201" s="8"/>
      <c r="AQ2201" s="8"/>
      <c r="AR2201" s="8"/>
      <c r="AS2201" s="8"/>
      <c r="AT2201" s="8"/>
      <c r="AU2201" s="8"/>
      <c r="AV2201" s="8"/>
      <c r="AW2201" s="8"/>
      <c r="AX2201" s="4" t="s">
        <v>38</v>
      </c>
      <c r="AY2201" s="5" t="s">
        <v>9526</v>
      </c>
      <c r="AZ2201" s="5" t="s">
        <v>38</v>
      </c>
      <c r="BA2201" s="12"/>
      <c r="BB2201" s="12"/>
      <c r="BC2201" s="12"/>
      <c r="BD2201" s="11">
        <v>0</v>
      </c>
      <c r="BE2201" s="11">
        <v>0</v>
      </c>
    </row>
    <row x14ac:dyDescent="0.25" r="2202" customHeight="1" ht="17.25">
      <c r="A2202" s="11">
        <v>17316555</v>
      </c>
      <c r="B2202" s="4" t="s">
        <v>9527</v>
      </c>
      <c r="C2202" s="5" t="s">
        <v>9528</v>
      </c>
      <c r="D2202" s="5" t="s">
        <v>9529</v>
      </c>
      <c r="E2202" s="12"/>
      <c r="F2202" s="13">
        <f>"1590516389"</f>
      </c>
      <c r="G2202" s="13">
        <f>"9781590516386"</f>
      </c>
      <c r="H2202" s="11">
        <v>0</v>
      </c>
      <c r="I2202" s="14">
        <v>3.22</v>
      </c>
      <c r="J2202" s="7" t="s">
        <v>9530</v>
      </c>
      <c r="K2202" s="5" t="s">
        <v>60</v>
      </c>
      <c r="L2202" s="11">
        <v>256</v>
      </c>
      <c r="M2202" s="11">
        <v>2013</v>
      </c>
      <c r="N2202" s="11">
        <v>2013</v>
      </c>
      <c r="O2202" s="15"/>
      <c r="P2202" s="8">
        <v>41647</v>
      </c>
      <c r="Q2202" s="8"/>
      <c r="R2202" s="8"/>
      <c r="S2202" s="8"/>
      <c r="T2202" s="8"/>
      <c r="U2202" s="8"/>
      <c r="V2202" s="8"/>
      <c r="W2202" s="8"/>
      <c r="X2202" s="8"/>
      <c r="Y2202" s="8"/>
      <c r="Z2202" s="8"/>
      <c r="AA2202" s="8"/>
      <c r="AB2202" s="8"/>
      <c r="AC2202" s="8"/>
      <c r="AD2202" s="8"/>
      <c r="AE2202" s="8"/>
      <c r="AF2202" s="8"/>
      <c r="AG2202" s="8"/>
      <c r="AH2202" s="8"/>
      <c r="AI2202" s="8"/>
      <c r="AJ2202" s="8"/>
      <c r="AK2202" s="8"/>
      <c r="AL2202" s="8"/>
      <c r="AM2202" s="8"/>
      <c r="AN2202" s="8"/>
      <c r="AO2202" s="8"/>
      <c r="AP2202" s="8"/>
      <c r="AQ2202" s="8"/>
      <c r="AR2202" s="8"/>
      <c r="AS2202" s="8"/>
      <c r="AT2202" s="8"/>
      <c r="AU2202" s="8"/>
      <c r="AV2202" s="8"/>
      <c r="AW2202" s="8"/>
      <c r="AX2202" s="4" t="s">
        <v>38</v>
      </c>
      <c r="AY2202" s="5" t="s">
        <v>9531</v>
      </c>
      <c r="AZ2202" s="5" t="s">
        <v>38</v>
      </c>
      <c r="BA2202" s="12"/>
      <c r="BB2202" s="12"/>
      <c r="BC2202" s="12"/>
      <c r="BD2202" s="11">
        <v>0</v>
      </c>
      <c r="BE2202" s="11">
        <v>0</v>
      </c>
    </row>
    <row x14ac:dyDescent="0.25" r="2203" customHeight="1" ht="17.25">
      <c r="A2203" s="11">
        <v>46199</v>
      </c>
      <c r="B2203" s="4" t="s">
        <v>9532</v>
      </c>
      <c r="C2203" s="5" t="s">
        <v>4082</v>
      </c>
      <c r="D2203" s="5" t="s">
        <v>4083</v>
      </c>
      <c r="E2203" s="5" t="s">
        <v>9533</v>
      </c>
      <c r="F2203" s="13">
        <f>"0486422453"</f>
      </c>
      <c r="G2203" s="13">
        <f>"9780486422459"</f>
      </c>
      <c r="H2203" s="11">
        <v>0</v>
      </c>
      <c r="I2203" s="14">
        <v>4.3</v>
      </c>
      <c r="J2203" s="7" t="s">
        <v>571</v>
      </c>
      <c r="K2203" s="5" t="s">
        <v>60</v>
      </c>
      <c r="L2203" s="11">
        <v>80</v>
      </c>
      <c r="M2203" s="11">
        <v>2002</v>
      </c>
      <c r="N2203" s="11">
        <v>1929</v>
      </c>
      <c r="O2203" s="15"/>
      <c r="P2203" s="9">
        <v>41635</v>
      </c>
      <c r="Q2203" s="9"/>
      <c r="R2203" s="9"/>
      <c r="S2203" s="9"/>
      <c r="T2203" s="9"/>
      <c r="U2203" s="9"/>
      <c r="V2203" s="9"/>
      <c r="W2203" s="9"/>
      <c r="X2203" s="9"/>
      <c r="Y2203" s="9"/>
      <c r="Z2203" s="9"/>
      <c r="AA2203" s="9"/>
      <c r="AB2203" s="9"/>
      <c r="AC2203" s="9"/>
      <c r="AD2203" s="9"/>
      <c r="AE2203" s="9"/>
      <c r="AF2203" s="9"/>
      <c r="AG2203" s="9"/>
      <c r="AH2203" s="9"/>
      <c r="AI2203" s="9"/>
      <c r="AJ2203" s="9"/>
      <c r="AK2203" s="9"/>
      <c r="AL2203" s="9"/>
      <c r="AM2203" s="9"/>
      <c r="AN2203" s="9"/>
      <c r="AO2203" s="9"/>
      <c r="AP2203" s="9"/>
      <c r="AQ2203" s="9"/>
      <c r="AR2203" s="9"/>
      <c r="AS2203" s="9"/>
      <c r="AT2203" s="9"/>
      <c r="AU2203" s="9"/>
      <c r="AV2203" s="9"/>
      <c r="AW2203" s="9"/>
      <c r="AX2203" s="4" t="s">
        <v>38</v>
      </c>
      <c r="AY2203" s="5" t="s">
        <v>9534</v>
      </c>
      <c r="AZ2203" s="5" t="s">
        <v>38</v>
      </c>
      <c r="BA2203" s="12"/>
      <c r="BB2203" s="12"/>
      <c r="BC2203" s="12"/>
      <c r="BD2203" s="11">
        <v>0</v>
      </c>
      <c r="BE2203" s="11">
        <v>0</v>
      </c>
    </row>
    <row x14ac:dyDescent="0.25" r="2204" customHeight="1" ht="17.25">
      <c r="A2204" s="11">
        <v>7026738</v>
      </c>
      <c r="B2204" s="4" t="s">
        <v>2259</v>
      </c>
      <c r="C2204" s="5" t="s">
        <v>2260</v>
      </c>
      <c r="D2204" s="5" t="s">
        <v>2261</v>
      </c>
      <c r="E2204" s="12"/>
      <c r="F2204" s="13">
        <f>"0879976241"</f>
      </c>
      <c r="G2204" s="13">
        <f>"9780879976248"</f>
      </c>
      <c r="H2204" s="11">
        <v>0</v>
      </c>
      <c r="I2204" s="14">
        <v>3.92</v>
      </c>
      <c r="J2204" s="7" t="s">
        <v>9535</v>
      </c>
      <c r="K2204" s="5" t="s">
        <v>346</v>
      </c>
      <c r="L2204" s="11">
        <v>208</v>
      </c>
      <c r="M2204" s="11">
        <v>1981</v>
      </c>
      <c r="N2204" s="11">
        <v>1974</v>
      </c>
      <c r="O2204" s="15"/>
      <c r="P2204" s="9">
        <v>41635</v>
      </c>
      <c r="Q2204" s="9"/>
      <c r="R2204" s="9"/>
      <c r="S2204" s="9"/>
      <c r="T2204" s="9"/>
      <c r="U2204" s="9"/>
      <c r="V2204" s="9"/>
      <c r="W2204" s="9"/>
      <c r="X2204" s="9"/>
      <c r="Y2204" s="9"/>
      <c r="Z2204" s="9"/>
      <c r="AA2204" s="9"/>
      <c r="AB2204" s="9"/>
      <c r="AC2204" s="9"/>
      <c r="AD2204" s="9"/>
      <c r="AE2204" s="9"/>
      <c r="AF2204" s="9"/>
      <c r="AG2204" s="9"/>
      <c r="AH2204" s="9"/>
      <c r="AI2204" s="9"/>
      <c r="AJ2204" s="9"/>
      <c r="AK2204" s="9"/>
      <c r="AL2204" s="9"/>
      <c r="AM2204" s="9"/>
      <c r="AN2204" s="9"/>
      <c r="AO2204" s="9"/>
      <c r="AP2204" s="9"/>
      <c r="AQ2204" s="9"/>
      <c r="AR2204" s="9"/>
      <c r="AS2204" s="9"/>
      <c r="AT2204" s="9"/>
      <c r="AU2204" s="9"/>
      <c r="AV2204" s="9"/>
      <c r="AW2204" s="9"/>
      <c r="AX2204" s="4" t="s">
        <v>38</v>
      </c>
      <c r="AY2204" s="5" t="s">
        <v>9536</v>
      </c>
      <c r="AZ2204" s="5" t="s">
        <v>38</v>
      </c>
      <c r="BA2204" s="12"/>
      <c r="BB2204" s="12"/>
      <c r="BC2204" s="12"/>
      <c r="BD2204" s="11">
        <v>0</v>
      </c>
      <c r="BE2204" s="11">
        <v>0</v>
      </c>
    </row>
    <row x14ac:dyDescent="0.25" r="2205" customHeight="1" ht="17.25">
      <c r="A2205" s="11">
        <v>7048800</v>
      </c>
      <c r="B2205" s="4" t="s">
        <v>9537</v>
      </c>
      <c r="C2205" s="5" t="s">
        <v>9538</v>
      </c>
      <c r="D2205" s="5" t="s">
        <v>9539</v>
      </c>
      <c r="E2205" s="12"/>
      <c r="F2205" s="13">
        <f>"0385501129"</f>
      </c>
      <c r="G2205" s="13">
        <f>"9780385501125"</f>
      </c>
      <c r="H2205" s="11">
        <v>0</v>
      </c>
      <c r="I2205" s="14">
        <v>3.24</v>
      </c>
      <c r="J2205" s="7" t="s">
        <v>5001</v>
      </c>
      <c r="K2205" s="5" t="s">
        <v>72</v>
      </c>
      <c r="L2205" s="11">
        <v>292</v>
      </c>
      <c r="M2205" s="11">
        <v>2010</v>
      </c>
      <c r="N2205" s="11">
        <v>2010</v>
      </c>
      <c r="O2205" s="15"/>
      <c r="P2205" s="9">
        <v>41627</v>
      </c>
      <c r="Q2205" s="9"/>
      <c r="R2205" s="9"/>
      <c r="S2205" s="9"/>
      <c r="T2205" s="9"/>
      <c r="U2205" s="9"/>
      <c r="V2205" s="9"/>
      <c r="W2205" s="9"/>
      <c r="X2205" s="9"/>
      <c r="Y2205" s="9"/>
      <c r="Z2205" s="9"/>
      <c r="AA2205" s="9"/>
      <c r="AB2205" s="9"/>
      <c r="AC2205" s="9"/>
      <c r="AD2205" s="9"/>
      <c r="AE2205" s="9"/>
      <c r="AF2205" s="9"/>
      <c r="AG2205" s="9"/>
      <c r="AH2205" s="9"/>
      <c r="AI2205" s="9"/>
      <c r="AJ2205" s="9"/>
      <c r="AK2205" s="9"/>
      <c r="AL2205" s="9"/>
      <c r="AM2205" s="9"/>
      <c r="AN2205" s="9"/>
      <c r="AO2205" s="9"/>
      <c r="AP2205" s="9"/>
      <c r="AQ2205" s="9"/>
      <c r="AR2205" s="9"/>
      <c r="AS2205" s="9"/>
      <c r="AT2205" s="9"/>
      <c r="AU2205" s="9"/>
      <c r="AV2205" s="9"/>
      <c r="AW2205" s="9"/>
      <c r="AX2205" s="4" t="s">
        <v>38</v>
      </c>
      <c r="AY2205" s="5" t="s">
        <v>9540</v>
      </c>
      <c r="AZ2205" s="5" t="s">
        <v>38</v>
      </c>
      <c r="BA2205" s="12"/>
      <c r="BB2205" s="12"/>
      <c r="BC2205" s="12"/>
      <c r="BD2205" s="11">
        <v>0</v>
      </c>
      <c r="BE2205" s="11">
        <v>0</v>
      </c>
    </row>
    <row x14ac:dyDescent="0.25" r="2206" customHeight="1" ht="17.25">
      <c r="A2206" s="11">
        <v>17847528</v>
      </c>
      <c r="B2206" s="4" t="s">
        <v>9541</v>
      </c>
      <c r="C2206" s="5" t="s">
        <v>9542</v>
      </c>
      <c r="D2206" s="5" t="s">
        <v>9543</v>
      </c>
      <c r="E2206" s="12"/>
      <c r="F2206" s="13">
        <f>"0199957975"</f>
      </c>
      <c r="G2206" s="13">
        <f>"9780199957972"</f>
      </c>
      <c r="H2206" s="11">
        <v>0</v>
      </c>
      <c r="I2206" s="14">
        <v>3.86</v>
      </c>
      <c r="J2206" s="7" t="s">
        <v>245</v>
      </c>
      <c r="K2206" s="5" t="s">
        <v>72</v>
      </c>
      <c r="L2206" s="11">
        <v>376</v>
      </c>
      <c r="M2206" s="11">
        <v>2013</v>
      </c>
      <c r="N2206" s="11">
        <v>2013</v>
      </c>
      <c r="O2206" s="15"/>
      <c r="P2206" s="9">
        <v>41623</v>
      </c>
      <c r="Q2206" s="9"/>
      <c r="R2206" s="9"/>
      <c r="S2206" s="9"/>
      <c r="T2206" s="9"/>
      <c r="U2206" s="9"/>
      <c r="V2206" s="9"/>
      <c r="W2206" s="9"/>
      <c r="X2206" s="9"/>
      <c r="Y2206" s="9"/>
      <c r="Z2206" s="9"/>
      <c r="AA2206" s="9"/>
      <c r="AB2206" s="9"/>
      <c r="AC2206" s="9"/>
      <c r="AD2206" s="9"/>
      <c r="AE2206" s="9"/>
      <c r="AF2206" s="9"/>
      <c r="AG2206" s="9"/>
      <c r="AH2206" s="9"/>
      <c r="AI2206" s="9"/>
      <c r="AJ2206" s="9"/>
      <c r="AK2206" s="9"/>
      <c r="AL2206" s="9"/>
      <c r="AM2206" s="9"/>
      <c r="AN2206" s="9"/>
      <c r="AO2206" s="9"/>
      <c r="AP2206" s="9"/>
      <c r="AQ2206" s="9"/>
      <c r="AR2206" s="9"/>
      <c r="AS2206" s="9"/>
      <c r="AT2206" s="9"/>
      <c r="AU2206" s="9"/>
      <c r="AV2206" s="9"/>
      <c r="AW2206" s="9"/>
      <c r="AX2206" s="4" t="s">
        <v>38</v>
      </c>
      <c r="AY2206" s="5" t="s">
        <v>9544</v>
      </c>
      <c r="AZ2206" s="5" t="s">
        <v>38</v>
      </c>
      <c r="BA2206" s="12"/>
      <c r="BB2206" s="12"/>
      <c r="BC2206" s="12"/>
      <c r="BD2206" s="11">
        <v>0</v>
      </c>
      <c r="BE2206" s="11">
        <v>0</v>
      </c>
    </row>
    <row x14ac:dyDescent="0.25" r="2207" customHeight="1" ht="17.25">
      <c r="A2207" s="11">
        <v>3381</v>
      </c>
      <c r="B2207" s="4" t="s">
        <v>9545</v>
      </c>
      <c r="C2207" s="5" t="s">
        <v>9546</v>
      </c>
      <c r="D2207" s="5" t="s">
        <v>9547</v>
      </c>
      <c r="E2207" s="12"/>
      <c r="F2207" s="13">
        <f>"1582344159"</f>
      </c>
      <c r="G2207" s="13">
        <f>"9781582344157"</f>
      </c>
      <c r="H2207" s="11">
        <v>0</v>
      </c>
      <c r="I2207" s="14">
        <v>3.73</v>
      </c>
      <c r="J2207" s="7" t="s">
        <v>881</v>
      </c>
      <c r="K2207" s="5" t="s">
        <v>60</v>
      </c>
      <c r="L2207" s="11">
        <v>244</v>
      </c>
      <c r="M2207" s="11">
        <v>2004</v>
      </c>
      <c r="N2207" s="11">
        <v>2003</v>
      </c>
      <c r="O2207" s="15"/>
      <c r="P2207" s="9">
        <v>41601</v>
      </c>
      <c r="Q2207" s="9"/>
      <c r="R2207" s="9"/>
      <c r="S2207" s="9"/>
      <c r="T2207" s="9"/>
      <c r="U2207" s="9"/>
      <c r="V2207" s="9"/>
      <c r="W2207" s="9"/>
      <c r="X2207" s="9"/>
      <c r="Y2207" s="9"/>
      <c r="Z2207" s="9"/>
      <c r="AA2207" s="9"/>
      <c r="AB2207" s="9"/>
      <c r="AC2207" s="9"/>
      <c r="AD2207" s="9"/>
      <c r="AE2207" s="9"/>
      <c r="AF2207" s="9"/>
      <c r="AG2207" s="9"/>
      <c r="AH2207" s="9"/>
      <c r="AI2207" s="9"/>
      <c r="AJ2207" s="9"/>
      <c r="AK2207" s="9"/>
      <c r="AL2207" s="9"/>
      <c r="AM2207" s="9"/>
      <c r="AN2207" s="9"/>
      <c r="AO2207" s="9"/>
      <c r="AP2207" s="9"/>
      <c r="AQ2207" s="9"/>
      <c r="AR2207" s="9"/>
      <c r="AS2207" s="9"/>
      <c r="AT2207" s="9"/>
      <c r="AU2207" s="9"/>
      <c r="AV2207" s="9"/>
      <c r="AW2207" s="9"/>
      <c r="AX2207" s="4" t="s">
        <v>38</v>
      </c>
      <c r="AY2207" s="5" t="s">
        <v>9548</v>
      </c>
      <c r="AZ2207" s="5" t="s">
        <v>38</v>
      </c>
      <c r="BA2207" s="12"/>
      <c r="BB2207" s="12"/>
      <c r="BC2207" s="12"/>
      <c r="BD2207" s="11">
        <v>0</v>
      </c>
      <c r="BE2207" s="11">
        <v>0</v>
      </c>
    </row>
    <row x14ac:dyDescent="0.25" r="2208" customHeight="1" ht="17.25">
      <c r="A2208" s="11">
        <v>12031532</v>
      </c>
      <c r="B2208" s="4" t="s">
        <v>9549</v>
      </c>
      <c r="C2208" s="5" t="s">
        <v>9550</v>
      </c>
      <c r="D2208" s="5" t="s">
        <v>9551</v>
      </c>
      <c r="E2208" s="12"/>
      <c r="F2208" s="13">
        <f>"1905802498"</f>
      </c>
      <c r="G2208" s="13">
        <f>"9781905802494"</f>
      </c>
      <c r="H2208" s="11">
        <v>0</v>
      </c>
      <c r="I2208" s="14">
        <v>4.13</v>
      </c>
      <c r="J2208" s="7" t="s">
        <v>9552</v>
      </c>
      <c r="K2208" s="5" t="s">
        <v>72</v>
      </c>
      <c r="L2208" s="11">
        <v>448</v>
      </c>
      <c r="M2208" s="11">
        <v>2011</v>
      </c>
      <c r="N2208" s="11">
        <v>2011</v>
      </c>
      <c r="O2208" s="15"/>
      <c r="P2208" s="9">
        <v>41601</v>
      </c>
      <c r="Q2208" s="9"/>
      <c r="R2208" s="9"/>
      <c r="S2208" s="9"/>
      <c r="T2208" s="9"/>
      <c r="U2208" s="9"/>
      <c r="V2208" s="9"/>
      <c r="W2208" s="9"/>
      <c r="X2208" s="9"/>
      <c r="Y2208" s="9"/>
      <c r="Z2208" s="9"/>
      <c r="AA2208" s="9"/>
      <c r="AB2208" s="9"/>
      <c r="AC2208" s="9"/>
      <c r="AD2208" s="9"/>
      <c r="AE2208" s="9"/>
      <c r="AF2208" s="9"/>
      <c r="AG2208" s="9"/>
      <c r="AH2208" s="9"/>
      <c r="AI2208" s="9"/>
      <c r="AJ2208" s="9"/>
      <c r="AK2208" s="9"/>
      <c r="AL2208" s="9"/>
      <c r="AM2208" s="9"/>
      <c r="AN2208" s="9"/>
      <c r="AO2208" s="9"/>
      <c r="AP2208" s="9"/>
      <c r="AQ2208" s="9"/>
      <c r="AR2208" s="9"/>
      <c r="AS2208" s="9"/>
      <c r="AT2208" s="9"/>
      <c r="AU2208" s="9"/>
      <c r="AV2208" s="9"/>
      <c r="AW2208" s="9"/>
      <c r="AX2208" s="4" t="s">
        <v>38</v>
      </c>
      <c r="AY2208" s="5" t="s">
        <v>9553</v>
      </c>
      <c r="AZ2208" s="5" t="s">
        <v>38</v>
      </c>
      <c r="BA2208" s="12"/>
      <c r="BB2208" s="12"/>
      <c r="BC2208" s="12"/>
      <c r="BD2208" s="11">
        <v>0</v>
      </c>
      <c r="BE2208" s="11">
        <v>0</v>
      </c>
    </row>
    <row x14ac:dyDescent="0.25" r="2209" customHeight="1" ht="17.25">
      <c r="A2209" s="11">
        <v>440777</v>
      </c>
      <c r="B2209" s="4" t="s">
        <v>9554</v>
      </c>
      <c r="C2209" s="5" t="s">
        <v>9555</v>
      </c>
      <c r="D2209" s="5" t="s">
        <v>9556</v>
      </c>
      <c r="E2209" s="12"/>
      <c r="F2209" s="13">
        <f>"0312273231"</f>
      </c>
      <c r="G2209" s="13">
        <f>"9780312273231"</f>
      </c>
      <c r="H2209" s="11">
        <v>0</v>
      </c>
      <c r="I2209" s="14">
        <v>3.85</v>
      </c>
      <c r="J2209" s="7" t="s">
        <v>9557</v>
      </c>
      <c r="K2209" s="5" t="s">
        <v>60</v>
      </c>
      <c r="L2209" s="11">
        <v>256</v>
      </c>
      <c r="M2209" s="11">
        <v>2001</v>
      </c>
      <c r="N2209" s="11">
        <v>2000</v>
      </c>
      <c r="O2209" s="15"/>
      <c r="P2209" s="8">
        <v>41585</v>
      </c>
      <c r="Q2209" s="8"/>
      <c r="R2209" s="8"/>
      <c r="S2209" s="8"/>
      <c r="T2209" s="8"/>
      <c r="U2209" s="8"/>
      <c r="V2209" s="8"/>
      <c r="W2209" s="8"/>
      <c r="X2209" s="8"/>
      <c r="Y2209" s="8"/>
      <c r="Z2209" s="8"/>
      <c r="AA2209" s="8"/>
      <c r="AB2209" s="8"/>
      <c r="AC2209" s="8"/>
      <c r="AD2209" s="8"/>
      <c r="AE2209" s="8"/>
      <c r="AF2209" s="8"/>
      <c r="AG2209" s="8"/>
      <c r="AH2209" s="8"/>
      <c r="AI2209" s="8"/>
      <c r="AJ2209" s="8"/>
      <c r="AK2209" s="8"/>
      <c r="AL2209" s="8"/>
      <c r="AM2209" s="8"/>
      <c r="AN2209" s="8"/>
      <c r="AO2209" s="8"/>
      <c r="AP2209" s="8"/>
      <c r="AQ2209" s="8"/>
      <c r="AR2209" s="8"/>
      <c r="AS2209" s="8"/>
      <c r="AT2209" s="8"/>
      <c r="AU2209" s="8"/>
      <c r="AV2209" s="8"/>
      <c r="AW2209" s="8"/>
      <c r="AX2209" s="4" t="s">
        <v>38</v>
      </c>
      <c r="AY2209" s="5" t="s">
        <v>9558</v>
      </c>
      <c r="AZ2209" s="5" t="s">
        <v>38</v>
      </c>
      <c r="BA2209" s="12"/>
      <c r="BB2209" s="12"/>
      <c r="BC2209" s="12"/>
      <c r="BD2209" s="11">
        <v>0</v>
      </c>
      <c r="BE2209" s="11">
        <v>0</v>
      </c>
    </row>
    <row x14ac:dyDescent="0.25" r="2210" customHeight="1" ht="17.25">
      <c r="A2210" s="11">
        <v>46182</v>
      </c>
      <c r="B2210" s="4" t="s">
        <v>9559</v>
      </c>
      <c r="C2210" s="5" t="s">
        <v>9560</v>
      </c>
      <c r="D2210" s="5" t="s">
        <v>9561</v>
      </c>
      <c r="E2210" s="12"/>
      <c r="F2210" s="13">
        <f>"0099437597"</f>
      </c>
      <c r="G2210" s="13">
        <f>"9780099437598"</f>
      </c>
      <c r="H2210" s="11">
        <v>0</v>
      </c>
      <c r="I2210" s="14">
        <v>3.8</v>
      </c>
      <c r="J2210" s="7" t="s">
        <v>9562</v>
      </c>
      <c r="K2210" s="5" t="s">
        <v>60</v>
      </c>
      <c r="L2210" s="11">
        <v>144</v>
      </c>
      <c r="M2210" s="11">
        <v>2002</v>
      </c>
      <c r="N2210" s="11">
        <v>1968</v>
      </c>
      <c r="O2210" s="15"/>
      <c r="P2210" s="9">
        <v>41575</v>
      </c>
      <c r="Q2210" s="9"/>
      <c r="R2210" s="9"/>
      <c r="S2210" s="9"/>
      <c r="T2210" s="9"/>
      <c r="U2210" s="9"/>
      <c r="V2210" s="9"/>
      <c r="W2210" s="9"/>
      <c r="X2210" s="9"/>
      <c r="Y2210" s="9"/>
      <c r="Z2210" s="9"/>
      <c r="AA2210" s="9"/>
      <c r="AB2210" s="9"/>
      <c r="AC2210" s="9"/>
      <c r="AD2210" s="9"/>
      <c r="AE2210" s="9"/>
      <c r="AF2210" s="9"/>
      <c r="AG2210" s="9"/>
      <c r="AH2210" s="9"/>
      <c r="AI2210" s="9"/>
      <c r="AJ2210" s="9"/>
      <c r="AK2210" s="9"/>
      <c r="AL2210" s="9"/>
      <c r="AM2210" s="9"/>
      <c r="AN2210" s="9"/>
      <c r="AO2210" s="9"/>
      <c r="AP2210" s="9"/>
      <c r="AQ2210" s="9"/>
      <c r="AR2210" s="9"/>
      <c r="AS2210" s="9"/>
      <c r="AT2210" s="9"/>
      <c r="AU2210" s="9"/>
      <c r="AV2210" s="9"/>
      <c r="AW2210" s="9"/>
      <c r="AX2210" s="4" t="s">
        <v>38</v>
      </c>
      <c r="AY2210" s="5" t="s">
        <v>9563</v>
      </c>
      <c r="AZ2210" s="5" t="s">
        <v>38</v>
      </c>
      <c r="BA2210" s="12"/>
      <c r="BB2210" s="12"/>
      <c r="BC2210" s="12"/>
      <c r="BD2210" s="11">
        <v>0</v>
      </c>
      <c r="BE2210" s="11">
        <v>0</v>
      </c>
    </row>
    <row x14ac:dyDescent="0.25" r="2211" customHeight="1" ht="17.25">
      <c r="A2211" s="11">
        <v>12480602</v>
      </c>
      <c r="B2211" s="4" t="s">
        <v>9564</v>
      </c>
      <c r="C2211" s="5" t="s">
        <v>9565</v>
      </c>
      <c r="D2211" s="5" t="s">
        <v>9566</v>
      </c>
      <c r="E2211" s="12"/>
      <c r="F2211" s="13">
        <f>"0983864403"</f>
      </c>
      <c r="G2211" s="13">
        <f>"9780983864400"</f>
      </c>
      <c r="H2211" s="11">
        <v>0</v>
      </c>
      <c r="I2211" s="14">
        <v>3.66</v>
      </c>
      <c r="J2211" s="7" t="s">
        <v>9567</v>
      </c>
      <c r="K2211" s="5" t="s">
        <v>3497</v>
      </c>
      <c r="L2211" s="11">
        <v>369</v>
      </c>
      <c r="M2211" s="11">
        <v>2011</v>
      </c>
      <c r="N2211" s="11">
        <v>2012</v>
      </c>
      <c r="O2211" s="15"/>
      <c r="P2211" s="9">
        <v>41571</v>
      </c>
      <c r="Q2211" s="9"/>
      <c r="R2211" s="9"/>
      <c r="S2211" s="9"/>
      <c r="T2211" s="9"/>
      <c r="U2211" s="9"/>
      <c r="V2211" s="9"/>
      <c r="W2211" s="9"/>
      <c r="X2211" s="9"/>
      <c r="Y2211" s="9"/>
      <c r="Z2211" s="9"/>
      <c r="AA2211" s="9"/>
      <c r="AB2211" s="9"/>
      <c r="AC2211" s="9"/>
      <c r="AD2211" s="9"/>
      <c r="AE2211" s="9"/>
      <c r="AF2211" s="9"/>
      <c r="AG2211" s="9"/>
      <c r="AH2211" s="9"/>
      <c r="AI2211" s="9"/>
      <c r="AJ2211" s="9"/>
      <c r="AK2211" s="9"/>
      <c r="AL2211" s="9"/>
      <c r="AM2211" s="9"/>
      <c r="AN2211" s="9"/>
      <c r="AO2211" s="9"/>
      <c r="AP2211" s="9"/>
      <c r="AQ2211" s="9"/>
      <c r="AR2211" s="9"/>
      <c r="AS2211" s="9"/>
      <c r="AT2211" s="9"/>
      <c r="AU2211" s="9"/>
      <c r="AV2211" s="9"/>
      <c r="AW2211" s="9"/>
      <c r="AX2211" s="4" t="s">
        <v>38</v>
      </c>
      <c r="AY2211" s="5" t="s">
        <v>9568</v>
      </c>
      <c r="AZ2211" s="5" t="s">
        <v>38</v>
      </c>
      <c r="BA2211" s="12"/>
      <c r="BB2211" s="12"/>
      <c r="BC2211" s="12"/>
      <c r="BD2211" s="11">
        <v>0</v>
      </c>
      <c r="BE2211" s="11">
        <v>0</v>
      </c>
    </row>
    <row x14ac:dyDescent="0.25" r="2212" customHeight="1" ht="17.25">
      <c r="A2212" s="11">
        <v>17262100</v>
      </c>
      <c r="B2212" s="4" t="s">
        <v>9569</v>
      </c>
      <c r="C2212" s="5" t="s">
        <v>9570</v>
      </c>
      <c r="D2212" s="5" t="s">
        <v>9571</v>
      </c>
      <c r="E2212" s="12"/>
      <c r="F2212" s="13">
        <f>"0307265749"</f>
      </c>
      <c r="G2212" s="13">
        <f>"9780307265746"</f>
      </c>
      <c r="H2212" s="11">
        <v>0</v>
      </c>
      <c r="I2212" s="14">
        <v>3.87</v>
      </c>
      <c r="J2212" s="7" t="s">
        <v>665</v>
      </c>
      <c r="K2212" s="5" t="s">
        <v>72</v>
      </c>
      <c r="L2212" s="11">
        <v>340</v>
      </c>
      <c r="M2212" s="11">
        <v>2013</v>
      </c>
      <c r="N2212" s="11">
        <v>2013</v>
      </c>
      <c r="O2212" s="15"/>
      <c r="P2212" s="9">
        <v>41567</v>
      </c>
      <c r="Q2212" s="9"/>
      <c r="R2212" s="9"/>
      <c r="S2212" s="9"/>
      <c r="T2212" s="9"/>
      <c r="U2212" s="9"/>
      <c r="V2212" s="9"/>
      <c r="W2212" s="9"/>
      <c r="X2212" s="9"/>
      <c r="Y2212" s="9"/>
      <c r="Z2212" s="9"/>
      <c r="AA2212" s="9"/>
      <c r="AB2212" s="9"/>
      <c r="AC2212" s="9"/>
      <c r="AD2212" s="9"/>
      <c r="AE2212" s="9"/>
      <c r="AF2212" s="9"/>
      <c r="AG2212" s="9"/>
      <c r="AH2212" s="9"/>
      <c r="AI2212" s="9"/>
      <c r="AJ2212" s="9"/>
      <c r="AK2212" s="9"/>
      <c r="AL2212" s="9"/>
      <c r="AM2212" s="9"/>
      <c r="AN2212" s="9"/>
      <c r="AO2212" s="9"/>
      <c r="AP2212" s="9"/>
      <c r="AQ2212" s="9"/>
      <c r="AR2212" s="9"/>
      <c r="AS2212" s="9"/>
      <c r="AT2212" s="9"/>
      <c r="AU2212" s="9"/>
      <c r="AV2212" s="9"/>
      <c r="AW2212" s="9"/>
      <c r="AX2212" s="4" t="s">
        <v>38</v>
      </c>
      <c r="AY2212" s="5" t="s">
        <v>9572</v>
      </c>
      <c r="AZ2212" s="5" t="s">
        <v>38</v>
      </c>
      <c r="BA2212" s="12"/>
      <c r="BB2212" s="12"/>
      <c r="BC2212" s="12"/>
      <c r="BD2212" s="11">
        <v>0</v>
      </c>
      <c r="BE2212" s="11">
        <v>0</v>
      </c>
    </row>
    <row x14ac:dyDescent="0.25" r="2213" customHeight="1" ht="17.25">
      <c r="A2213" s="11">
        <v>6316343</v>
      </c>
      <c r="B2213" s="4" t="s">
        <v>9573</v>
      </c>
      <c r="C2213" s="5" t="s">
        <v>9574</v>
      </c>
      <c r="D2213" s="5" t="s">
        <v>9575</v>
      </c>
      <c r="E2213" s="12"/>
      <c r="F2213" s="13">
        <f>"0979755425"</f>
      </c>
      <c r="G2213" s="13">
        <f>"9780979755422"</f>
      </c>
      <c r="H2213" s="11">
        <v>0</v>
      </c>
      <c r="I2213" s="14">
        <v>3.97</v>
      </c>
      <c r="J2213" s="7" t="s">
        <v>9576</v>
      </c>
      <c r="K2213" s="5" t="s">
        <v>60</v>
      </c>
      <c r="L2213" s="11">
        <v>508</v>
      </c>
      <c r="M2213" s="11">
        <v>2008</v>
      </c>
      <c r="N2213" s="11">
        <v>2007</v>
      </c>
      <c r="O2213" s="15"/>
      <c r="P2213" s="9">
        <v>41562</v>
      </c>
      <c r="Q2213" s="9"/>
      <c r="R2213" s="9"/>
      <c r="S2213" s="9"/>
      <c r="T2213" s="9"/>
      <c r="U2213" s="9"/>
      <c r="V2213" s="9"/>
      <c r="W2213" s="9"/>
      <c r="X2213" s="9"/>
      <c r="Y2213" s="9"/>
      <c r="Z2213" s="9"/>
      <c r="AA2213" s="9"/>
      <c r="AB2213" s="9"/>
      <c r="AC2213" s="9"/>
      <c r="AD2213" s="9"/>
      <c r="AE2213" s="9"/>
      <c r="AF2213" s="9"/>
      <c r="AG2213" s="9"/>
      <c r="AH2213" s="9"/>
      <c r="AI2213" s="9"/>
      <c r="AJ2213" s="9"/>
      <c r="AK2213" s="9"/>
      <c r="AL2213" s="9"/>
      <c r="AM2213" s="9"/>
      <c r="AN2213" s="9"/>
      <c r="AO2213" s="9"/>
      <c r="AP2213" s="9"/>
      <c r="AQ2213" s="9"/>
      <c r="AR2213" s="9"/>
      <c r="AS2213" s="9"/>
      <c r="AT2213" s="9"/>
      <c r="AU2213" s="9"/>
      <c r="AV2213" s="9"/>
      <c r="AW2213" s="9"/>
      <c r="AX2213" s="4" t="s">
        <v>38</v>
      </c>
      <c r="AY2213" s="5" t="s">
        <v>9577</v>
      </c>
      <c r="AZ2213" s="5" t="s">
        <v>38</v>
      </c>
      <c r="BA2213" s="12"/>
      <c r="BB2213" s="12"/>
      <c r="BC2213" s="12"/>
      <c r="BD2213" s="11">
        <v>0</v>
      </c>
      <c r="BE2213" s="11">
        <v>0</v>
      </c>
    </row>
    <row x14ac:dyDescent="0.25" r="2214" customHeight="1" ht="17.25">
      <c r="A2214" s="11">
        <v>16178093</v>
      </c>
      <c r="B2214" s="4" t="s">
        <v>9578</v>
      </c>
      <c r="C2214" s="5" t="s">
        <v>9579</v>
      </c>
      <c r="D2214" s="5" t="s">
        <v>9580</v>
      </c>
      <c r="E2214" s="12"/>
      <c r="F2214" s="13">
        <f>"0091944317"</f>
      </c>
      <c r="G2214" s="13">
        <f>"9780091944315"</f>
      </c>
      <c r="H2214" s="11">
        <v>0</v>
      </c>
      <c r="I2214" s="14">
        <v>3.43</v>
      </c>
      <c r="J2214" s="7" t="s">
        <v>9581</v>
      </c>
      <c r="K2214" s="5" t="s">
        <v>60</v>
      </c>
      <c r="L2214" s="11">
        <v>288</v>
      </c>
      <c r="M2214" s="11">
        <v>2012</v>
      </c>
      <c r="N2214" s="11">
        <v>2011</v>
      </c>
      <c r="O2214" s="15"/>
      <c r="P2214" s="8">
        <v>41545</v>
      </c>
      <c r="Q2214" s="8"/>
      <c r="R2214" s="8"/>
      <c r="S2214" s="8"/>
      <c r="T2214" s="8"/>
      <c r="U2214" s="8"/>
      <c r="V2214" s="8"/>
      <c r="W2214" s="8"/>
      <c r="X2214" s="8"/>
      <c r="Y2214" s="8"/>
      <c r="Z2214" s="8"/>
      <c r="AA2214" s="8"/>
      <c r="AB2214" s="8"/>
      <c r="AC2214" s="8"/>
      <c r="AD2214" s="8"/>
      <c r="AE2214" s="8"/>
      <c r="AF2214" s="8"/>
      <c r="AG2214" s="8"/>
      <c r="AH2214" s="8"/>
      <c r="AI2214" s="8"/>
      <c r="AJ2214" s="8"/>
      <c r="AK2214" s="8"/>
      <c r="AL2214" s="8"/>
      <c r="AM2214" s="8"/>
      <c r="AN2214" s="8"/>
      <c r="AO2214" s="8"/>
      <c r="AP2214" s="8"/>
      <c r="AQ2214" s="8"/>
      <c r="AR2214" s="8"/>
      <c r="AS2214" s="8"/>
      <c r="AT2214" s="8"/>
      <c r="AU2214" s="8"/>
      <c r="AV2214" s="8"/>
      <c r="AW2214" s="8"/>
      <c r="AX2214" s="4" t="s">
        <v>38</v>
      </c>
      <c r="AY2214" s="5" t="s">
        <v>9582</v>
      </c>
      <c r="AZ2214" s="5" t="s">
        <v>38</v>
      </c>
      <c r="BA2214" s="12"/>
      <c r="BB2214" s="12"/>
      <c r="BC2214" s="12"/>
      <c r="BD2214" s="11">
        <v>0</v>
      </c>
      <c r="BE2214" s="11">
        <v>0</v>
      </c>
    </row>
    <row x14ac:dyDescent="0.25" r="2215" customHeight="1" ht="17.25">
      <c r="A2215" s="11">
        <v>13255419</v>
      </c>
      <c r="B2215" s="4" t="s">
        <v>9583</v>
      </c>
      <c r="C2215" s="5" t="s">
        <v>9584</v>
      </c>
      <c r="D2215" s="5" t="s">
        <v>9585</v>
      </c>
      <c r="E2215" s="12"/>
      <c r="F2215" s="13">
        <f>"0340998423"</f>
      </c>
      <c r="G2215" s="13">
        <f>"9780340998427"</f>
      </c>
      <c r="H2215" s="11">
        <v>0</v>
      </c>
      <c r="I2215" s="14">
        <v>3.43</v>
      </c>
      <c r="J2215" s="7" t="s">
        <v>6478</v>
      </c>
      <c r="K2215" s="5" t="s">
        <v>72</v>
      </c>
      <c r="L2215" s="11">
        <v>357</v>
      </c>
      <c r="M2215" s="11">
        <v>2012</v>
      </c>
      <c r="N2215" s="11">
        <v>2012</v>
      </c>
      <c r="O2215" s="15"/>
      <c r="P2215" s="8">
        <v>41545</v>
      </c>
      <c r="Q2215" s="8"/>
      <c r="R2215" s="8"/>
      <c r="S2215" s="8"/>
      <c r="T2215" s="8"/>
      <c r="U2215" s="8"/>
      <c r="V2215" s="8"/>
      <c r="W2215" s="8"/>
      <c r="X2215" s="8"/>
      <c r="Y2215" s="8"/>
      <c r="Z2215" s="8"/>
      <c r="AA2215" s="8"/>
      <c r="AB2215" s="8"/>
      <c r="AC2215" s="8"/>
      <c r="AD2215" s="8"/>
      <c r="AE2215" s="8"/>
      <c r="AF2215" s="8"/>
      <c r="AG2215" s="8"/>
      <c r="AH2215" s="8"/>
      <c r="AI2215" s="8"/>
      <c r="AJ2215" s="8"/>
      <c r="AK2215" s="8"/>
      <c r="AL2215" s="8"/>
      <c r="AM2215" s="8"/>
      <c r="AN2215" s="8"/>
      <c r="AO2215" s="8"/>
      <c r="AP2215" s="8"/>
      <c r="AQ2215" s="8"/>
      <c r="AR2215" s="8"/>
      <c r="AS2215" s="8"/>
      <c r="AT2215" s="8"/>
      <c r="AU2215" s="8"/>
      <c r="AV2215" s="8"/>
      <c r="AW2215" s="8"/>
      <c r="AX2215" s="4" t="s">
        <v>38</v>
      </c>
      <c r="AY2215" s="5" t="s">
        <v>9586</v>
      </c>
      <c r="AZ2215" s="5" t="s">
        <v>38</v>
      </c>
      <c r="BA2215" s="12"/>
      <c r="BB2215" s="12"/>
      <c r="BC2215" s="12"/>
      <c r="BD2215" s="11">
        <v>0</v>
      </c>
      <c r="BE2215" s="11">
        <v>0</v>
      </c>
    </row>
    <row x14ac:dyDescent="0.25" r="2216" customHeight="1" ht="17.25">
      <c r="A2216" s="11">
        <v>79090</v>
      </c>
      <c r="B2216" s="4" t="s">
        <v>9587</v>
      </c>
      <c r="C2216" s="5" t="s">
        <v>9588</v>
      </c>
      <c r="D2216" s="5" t="s">
        <v>9589</v>
      </c>
      <c r="E2216" s="12"/>
      <c r="F2216" s="13">
        <f>"0743259823"</f>
      </c>
      <c r="G2216" s="13">
        <f>"9780743259828"</f>
      </c>
      <c r="H2216" s="11">
        <v>0</v>
      </c>
      <c r="I2216" s="14">
        <v>4.08</v>
      </c>
      <c r="J2216" s="7" t="s">
        <v>376</v>
      </c>
      <c r="K2216" s="5" t="s">
        <v>60</v>
      </c>
      <c r="L2216" s="11">
        <v>287</v>
      </c>
      <c r="M2216" s="11">
        <v>2003</v>
      </c>
      <c r="N2216" s="11">
        <v>1999</v>
      </c>
      <c r="O2216" s="15"/>
      <c r="P2216" s="8">
        <v>41545</v>
      </c>
      <c r="Q2216" s="8"/>
      <c r="R2216" s="8"/>
      <c r="S2216" s="8"/>
      <c r="T2216" s="8"/>
      <c r="U2216" s="8"/>
      <c r="V2216" s="8"/>
      <c r="W2216" s="8"/>
      <c r="X2216" s="8"/>
      <c r="Y2216" s="8"/>
      <c r="Z2216" s="8"/>
      <c r="AA2216" s="8"/>
      <c r="AB2216" s="8"/>
      <c r="AC2216" s="8"/>
      <c r="AD2216" s="8"/>
      <c r="AE2216" s="8"/>
      <c r="AF2216" s="8"/>
      <c r="AG2216" s="8"/>
      <c r="AH2216" s="8"/>
      <c r="AI2216" s="8"/>
      <c r="AJ2216" s="8"/>
      <c r="AK2216" s="8"/>
      <c r="AL2216" s="8"/>
      <c r="AM2216" s="8"/>
      <c r="AN2216" s="8"/>
      <c r="AO2216" s="8"/>
      <c r="AP2216" s="8"/>
      <c r="AQ2216" s="8"/>
      <c r="AR2216" s="8"/>
      <c r="AS2216" s="8"/>
      <c r="AT2216" s="8"/>
      <c r="AU2216" s="8"/>
      <c r="AV2216" s="8"/>
      <c r="AW2216" s="8"/>
      <c r="AX2216" s="4" t="s">
        <v>38</v>
      </c>
      <c r="AY2216" s="5" t="s">
        <v>9590</v>
      </c>
      <c r="AZ2216" s="5" t="s">
        <v>38</v>
      </c>
      <c r="BA2216" s="12"/>
      <c r="BB2216" s="12"/>
      <c r="BC2216" s="12"/>
      <c r="BD2216" s="11">
        <v>0</v>
      </c>
      <c r="BE2216" s="11">
        <v>0</v>
      </c>
    </row>
    <row x14ac:dyDescent="0.25" r="2217" customHeight="1" ht="17.25">
      <c r="A2217" s="11">
        <v>16041828</v>
      </c>
      <c r="B2217" s="4" t="s">
        <v>9591</v>
      </c>
      <c r="C2217" s="5" t="s">
        <v>9592</v>
      </c>
      <c r="D2217" s="5" t="s">
        <v>9593</v>
      </c>
      <c r="E2217" s="12"/>
      <c r="F2217" s="13">
        <f>"0307950174"</f>
      </c>
      <c r="G2217" s="13">
        <f>"9780307950178"</f>
      </c>
      <c r="H2217" s="11">
        <v>0</v>
      </c>
      <c r="I2217" s="14">
        <v>3.33</v>
      </c>
      <c r="J2217" s="7" t="s">
        <v>114</v>
      </c>
      <c r="K2217" s="5" t="s">
        <v>60</v>
      </c>
      <c r="L2217" s="11">
        <v>248</v>
      </c>
      <c r="M2217" s="11">
        <v>2013</v>
      </c>
      <c r="N2217" s="11">
        <v>2013</v>
      </c>
      <c r="O2217" s="15"/>
      <c r="P2217" s="8">
        <v>41515</v>
      </c>
      <c r="Q2217" s="8"/>
      <c r="R2217" s="8"/>
      <c r="S2217" s="8"/>
      <c r="T2217" s="8"/>
      <c r="U2217" s="8"/>
      <c r="V2217" s="8"/>
      <c r="W2217" s="8"/>
      <c r="X2217" s="8"/>
      <c r="Y2217" s="8"/>
      <c r="Z2217" s="8"/>
      <c r="AA2217" s="8"/>
      <c r="AB2217" s="8"/>
      <c r="AC2217" s="8"/>
      <c r="AD2217" s="8"/>
      <c r="AE2217" s="8"/>
      <c r="AF2217" s="8"/>
      <c r="AG2217" s="8"/>
      <c r="AH2217" s="8"/>
      <c r="AI2217" s="8"/>
      <c r="AJ2217" s="8"/>
      <c r="AK2217" s="8"/>
      <c r="AL2217" s="8"/>
      <c r="AM2217" s="8"/>
      <c r="AN2217" s="8"/>
      <c r="AO2217" s="8"/>
      <c r="AP2217" s="8"/>
      <c r="AQ2217" s="8"/>
      <c r="AR2217" s="8"/>
      <c r="AS2217" s="8"/>
      <c r="AT2217" s="8"/>
      <c r="AU2217" s="8"/>
      <c r="AV2217" s="8"/>
      <c r="AW2217" s="8"/>
      <c r="AX2217" s="4" t="s">
        <v>38</v>
      </c>
      <c r="AY2217" s="5" t="s">
        <v>9594</v>
      </c>
      <c r="AZ2217" s="5" t="s">
        <v>38</v>
      </c>
      <c r="BA2217" s="12"/>
      <c r="BB2217" s="12"/>
      <c r="BC2217" s="12"/>
      <c r="BD2217" s="11">
        <v>0</v>
      </c>
      <c r="BE2217" s="11">
        <v>0</v>
      </c>
    </row>
    <row x14ac:dyDescent="0.25" r="2218" customHeight="1" ht="17.25">
      <c r="A2218" s="11">
        <v>15018308</v>
      </c>
      <c r="B2218" s="4" t="s">
        <v>9595</v>
      </c>
      <c r="C2218" s="5" t="s">
        <v>9596</v>
      </c>
      <c r="D2218" s="5" t="s">
        <v>9597</v>
      </c>
      <c r="E2218" s="12"/>
      <c r="F2218" s="13">
        <f>"0982848935"</f>
      </c>
      <c r="G2218" s="13">
        <f>"9780982848937"</f>
      </c>
      <c r="H2218" s="11">
        <v>0</v>
      </c>
      <c r="I2218" s="11">
        <v>3</v>
      </c>
      <c r="J2218" s="7" t="s">
        <v>9598</v>
      </c>
      <c r="K2218" s="5" t="s">
        <v>60</v>
      </c>
      <c r="L2218" s="11">
        <v>510</v>
      </c>
      <c r="M2218" s="11">
        <v>2012</v>
      </c>
      <c r="N2218" s="11">
        <v>2012</v>
      </c>
      <c r="O2218" s="15"/>
      <c r="P2218" s="8">
        <v>41515</v>
      </c>
      <c r="Q2218" s="8"/>
      <c r="R2218" s="8"/>
      <c r="S2218" s="8"/>
      <c r="T2218" s="8"/>
      <c r="U2218" s="8"/>
      <c r="V2218" s="8"/>
      <c r="W2218" s="8"/>
      <c r="X2218" s="8"/>
      <c r="Y2218" s="8"/>
      <c r="Z2218" s="8"/>
      <c r="AA2218" s="8"/>
      <c r="AB2218" s="8"/>
      <c r="AC2218" s="8"/>
      <c r="AD2218" s="8"/>
      <c r="AE2218" s="8"/>
      <c r="AF2218" s="8"/>
      <c r="AG2218" s="8"/>
      <c r="AH2218" s="8"/>
      <c r="AI2218" s="8"/>
      <c r="AJ2218" s="8"/>
      <c r="AK2218" s="8"/>
      <c r="AL2218" s="8"/>
      <c r="AM2218" s="8"/>
      <c r="AN2218" s="8"/>
      <c r="AO2218" s="8"/>
      <c r="AP2218" s="8"/>
      <c r="AQ2218" s="8"/>
      <c r="AR2218" s="8"/>
      <c r="AS2218" s="8"/>
      <c r="AT2218" s="8"/>
      <c r="AU2218" s="8"/>
      <c r="AV2218" s="8"/>
      <c r="AW2218" s="8"/>
      <c r="AX2218" s="4" t="s">
        <v>38</v>
      </c>
      <c r="AY2218" s="5" t="s">
        <v>9599</v>
      </c>
      <c r="AZ2218" s="5" t="s">
        <v>38</v>
      </c>
      <c r="BA2218" s="12"/>
      <c r="BB2218" s="12"/>
      <c r="BC2218" s="12"/>
      <c r="BD2218" s="11">
        <v>0</v>
      </c>
      <c r="BE2218" s="11">
        <v>0</v>
      </c>
    </row>
    <row x14ac:dyDescent="0.25" r="2219" customHeight="1" ht="17.25">
      <c r="A2219" s="11">
        <v>4789658</v>
      </c>
      <c r="B2219" s="4" t="s">
        <v>9600</v>
      </c>
      <c r="C2219" s="5" t="s">
        <v>9455</v>
      </c>
      <c r="D2219" s="5" t="s">
        <v>9456</v>
      </c>
      <c r="E2219" s="12"/>
      <c r="F2219" s="13">
        <f>"0307387461"</f>
      </c>
      <c r="G2219" s="13">
        <f>"9780307387462"</f>
      </c>
      <c r="H2219" s="11">
        <v>0</v>
      </c>
      <c r="I2219" s="14">
        <v>3.8</v>
      </c>
      <c r="J2219" s="7" t="s">
        <v>114</v>
      </c>
      <c r="K2219" s="5" t="s">
        <v>60</v>
      </c>
      <c r="L2219" s="11">
        <v>240</v>
      </c>
      <c r="M2219" s="11">
        <v>2009</v>
      </c>
      <c r="N2219" s="11">
        <v>2009</v>
      </c>
      <c r="O2219" s="15"/>
      <c r="P2219" s="8">
        <v>41466</v>
      </c>
      <c r="Q2219" s="8"/>
      <c r="R2219" s="8"/>
      <c r="S2219" s="8"/>
      <c r="T2219" s="8"/>
      <c r="U2219" s="8"/>
      <c r="V2219" s="8"/>
      <c r="W2219" s="8"/>
      <c r="X2219" s="8"/>
      <c r="Y2219" s="8"/>
      <c r="Z2219" s="8"/>
      <c r="AA2219" s="8"/>
      <c r="AB2219" s="8"/>
      <c r="AC2219" s="8"/>
      <c r="AD2219" s="8"/>
      <c r="AE2219" s="8"/>
      <c r="AF2219" s="8"/>
      <c r="AG2219" s="8"/>
      <c r="AH2219" s="8"/>
      <c r="AI2219" s="8"/>
      <c r="AJ2219" s="8"/>
      <c r="AK2219" s="8"/>
      <c r="AL2219" s="8"/>
      <c r="AM2219" s="8"/>
      <c r="AN2219" s="8"/>
      <c r="AO2219" s="8"/>
      <c r="AP2219" s="8"/>
      <c r="AQ2219" s="8"/>
      <c r="AR2219" s="8"/>
      <c r="AS2219" s="8"/>
      <c r="AT2219" s="8"/>
      <c r="AU2219" s="8"/>
      <c r="AV2219" s="8"/>
      <c r="AW2219" s="8"/>
      <c r="AX2219" s="4" t="s">
        <v>38</v>
      </c>
      <c r="AY2219" s="5" t="s">
        <v>9601</v>
      </c>
      <c r="AZ2219" s="5" t="s">
        <v>38</v>
      </c>
      <c r="BA2219" s="12"/>
      <c r="BB2219" s="12"/>
      <c r="BC2219" s="12"/>
      <c r="BD2219" s="11">
        <v>0</v>
      </c>
      <c r="BE2219" s="11">
        <v>0</v>
      </c>
    </row>
    <row x14ac:dyDescent="0.25" r="2220" customHeight="1" ht="17.25">
      <c r="A2220" s="11">
        <v>65285</v>
      </c>
      <c r="B2220" s="4" t="s">
        <v>9602</v>
      </c>
      <c r="C2220" s="5" t="s">
        <v>9603</v>
      </c>
      <c r="D2220" s="5" t="s">
        <v>9604</v>
      </c>
      <c r="E2220" s="12"/>
      <c r="F2220" s="13">
        <f>"006000438X"</f>
      </c>
      <c r="G2220" s="13">
        <f>"9780060004385"</f>
      </c>
      <c r="H2220" s="11">
        <v>0</v>
      </c>
      <c r="I2220" s="14">
        <v>3.61</v>
      </c>
      <c r="J2220" s="7" t="s">
        <v>505</v>
      </c>
      <c r="K2220" s="5" t="s">
        <v>60</v>
      </c>
      <c r="L2220" s="11">
        <v>301</v>
      </c>
      <c r="M2220" s="11">
        <v>2002</v>
      </c>
      <c r="N2220" s="11">
        <v>2001</v>
      </c>
      <c r="O2220" s="15"/>
      <c r="P2220" s="8">
        <v>41402</v>
      </c>
      <c r="Q2220" s="8"/>
      <c r="R2220" s="8"/>
      <c r="S2220" s="8"/>
      <c r="T2220" s="8"/>
      <c r="U2220" s="8"/>
      <c r="V2220" s="8"/>
      <c r="W2220" s="8"/>
      <c r="X2220" s="8"/>
      <c r="Y2220" s="8"/>
      <c r="Z2220" s="8"/>
      <c r="AA2220" s="8"/>
      <c r="AB2220" s="8"/>
      <c r="AC2220" s="8"/>
      <c r="AD2220" s="8"/>
      <c r="AE2220" s="8"/>
      <c r="AF2220" s="8"/>
      <c r="AG2220" s="8"/>
      <c r="AH2220" s="8"/>
      <c r="AI2220" s="8"/>
      <c r="AJ2220" s="8"/>
      <c r="AK2220" s="8"/>
      <c r="AL2220" s="8"/>
      <c r="AM2220" s="8"/>
      <c r="AN2220" s="8"/>
      <c r="AO2220" s="8"/>
      <c r="AP2220" s="8"/>
      <c r="AQ2220" s="8"/>
      <c r="AR2220" s="8"/>
      <c r="AS2220" s="8"/>
      <c r="AT2220" s="8"/>
      <c r="AU2220" s="8"/>
      <c r="AV2220" s="8"/>
      <c r="AW2220" s="8"/>
      <c r="AX2220" s="4" t="s">
        <v>38</v>
      </c>
      <c r="AY2220" s="5" t="s">
        <v>9605</v>
      </c>
      <c r="AZ2220" s="5" t="s">
        <v>38</v>
      </c>
      <c r="BA2220" s="12"/>
      <c r="BB2220" s="12"/>
      <c r="BC2220" s="12"/>
      <c r="BD2220" s="11">
        <v>0</v>
      </c>
      <c r="BE2220" s="11">
        <v>0</v>
      </c>
    </row>
    <row x14ac:dyDescent="0.25" r="2221" customHeight="1" ht="17.25">
      <c r="A2221" s="11">
        <v>92365</v>
      </c>
      <c r="B2221" s="4" t="s">
        <v>9606</v>
      </c>
      <c r="C2221" s="5" t="s">
        <v>9607</v>
      </c>
      <c r="D2221" s="5" t="s">
        <v>9608</v>
      </c>
      <c r="E2221" s="12"/>
      <c r="F2221" s="13">
        <f>"0060841699"</f>
      </c>
      <c r="G2221" s="13">
        <f>"9780060841690"</f>
      </c>
      <c r="H2221" s="11">
        <v>0</v>
      </c>
      <c r="I2221" s="14">
        <v>4.12</v>
      </c>
      <c r="J2221" s="7" t="s">
        <v>505</v>
      </c>
      <c r="K2221" s="5" t="s">
        <v>60</v>
      </c>
      <c r="L2221" s="11">
        <v>292</v>
      </c>
      <c r="M2221" s="11">
        <v>2005</v>
      </c>
      <c r="N2221" s="11">
        <v>1995</v>
      </c>
      <c r="O2221" s="15"/>
      <c r="P2221" s="8">
        <v>41364</v>
      </c>
      <c r="Q2221" s="8"/>
      <c r="R2221" s="8"/>
      <c r="S2221" s="8"/>
      <c r="T2221" s="8"/>
      <c r="U2221" s="8"/>
      <c r="V2221" s="8"/>
      <c r="W2221" s="8"/>
      <c r="X2221" s="8"/>
      <c r="Y2221" s="8"/>
      <c r="Z2221" s="8"/>
      <c r="AA2221" s="8"/>
      <c r="AB2221" s="8"/>
      <c r="AC2221" s="8"/>
      <c r="AD2221" s="8"/>
      <c r="AE2221" s="8"/>
      <c r="AF2221" s="8"/>
      <c r="AG2221" s="8"/>
      <c r="AH2221" s="8"/>
      <c r="AI2221" s="8"/>
      <c r="AJ2221" s="8"/>
      <c r="AK2221" s="8"/>
      <c r="AL2221" s="8"/>
      <c r="AM2221" s="8"/>
      <c r="AN2221" s="8"/>
      <c r="AO2221" s="8"/>
      <c r="AP2221" s="8"/>
      <c r="AQ2221" s="8"/>
      <c r="AR2221" s="8"/>
      <c r="AS2221" s="8"/>
      <c r="AT2221" s="8"/>
      <c r="AU2221" s="8"/>
      <c r="AV2221" s="8"/>
      <c r="AW2221" s="8"/>
      <c r="AX2221" s="4" t="s">
        <v>38</v>
      </c>
      <c r="AY2221" s="5" t="s">
        <v>9609</v>
      </c>
      <c r="AZ2221" s="5" t="s">
        <v>38</v>
      </c>
      <c r="BA2221" s="12"/>
      <c r="BB2221" s="12"/>
      <c r="BC2221" s="12"/>
      <c r="BD2221" s="11">
        <v>0</v>
      </c>
      <c r="BE2221" s="11">
        <v>0</v>
      </c>
    </row>
    <row x14ac:dyDescent="0.25" r="2222" customHeight="1" ht="17.25">
      <c r="A2222" s="11">
        <v>6642715</v>
      </c>
      <c r="B2222" s="4" t="s">
        <v>9610</v>
      </c>
      <c r="C2222" s="5" t="s">
        <v>9611</v>
      </c>
      <c r="D2222" s="5" t="s">
        <v>9612</v>
      </c>
      <c r="E2222" s="12"/>
      <c r="F2222" s="13">
        <f>""</f>
      </c>
      <c r="G2222" s="13">
        <f>""</f>
      </c>
      <c r="H2222" s="11">
        <v>0</v>
      </c>
      <c r="I2222" s="14">
        <v>4.13</v>
      </c>
      <c r="J2222" s="7" t="s">
        <v>2206</v>
      </c>
      <c r="K2222" s="5" t="s">
        <v>72</v>
      </c>
      <c r="L2222" s="11">
        <v>354</v>
      </c>
      <c r="M2222" s="11">
        <v>2010</v>
      </c>
      <c r="N2222" s="11">
        <v>2009</v>
      </c>
      <c r="O2222" s="15"/>
      <c r="P2222" s="8">
        <v>41358</v>
      </c>
      <c r="Q2222" s="8"/>
      <c r="R2222" s="8"/>
      <c r="S2222" s="8"/>
      <c r="T2222" s="8"/>
      <c r="U2222" s="8"/>
      <c r="V2222" s="8"/>
      <c r="W2222" s="8"/>
      <c r="X2222" s="8"/>
      <c r="Y2222" s="8"/>
      <c r="Z2222" s="8"/>
      <c r="AA2222" s="8"/>
      <c r="AB2222" s="8"/>
      <c r="AC2222" s="8"/>
      <c r="AD2222" s="8"/>
      <c r="AE2222" s="8"/>
      <c r="AF2222" s="8"/>
      <c r="AG2222" s="8"/>
      <c r="AH2222" s="8"/>
      <c r="AI2222" s="8"/>
      <c r="AJ2222" s="8"/>
      <c r="AK2222" s="8"/>
      <c r="AL2222" s="8"/>
      <c r="AM2222" s="8"/>
      <c r="AN2222" s="8"/>
      <c r="AO2222" s="8"/>
      <c r="AP2222" s="8"/>
      <c r="AQ2222" s="8"/>
      <c r="AR2222" s="8"/>
      <c r="AS2222" s="8"/>
      <c r="AT2222" s="8"/>
      <c r="AU2222" s="8"/>
      <c r="AV2222" s="8"/>
      <c r="AW2222" s="8"/>
      <c r="AX2222" s="4" t="s">
        <v>38</v>
      </c>
      <c r="AY2222" s="5" t="s">
        <v>9613</v>
      </c>
      <c r="AZ2222" s="5" t="s">
        <v>38</v>
      </c>
      <c r="BA2222" s="12"/>
      <c r="BB2222" s="12"/>
      <c r="BC2222" s="12"/>
      <c r="BD2222" s="11">
        <v>0</v>
      </c>
      <c r="BE2222" s="11">
        <v>0</v>
      </c>
    </row>
    <row x14ac:dyDescent="0.25" r="2223" customHeight="1" ht="17.25">
      <c r="A2223" s="11">
        <v>156427</v>
      </c>
      <c r="B2223" s="4" t="s">
        <v>9614</v>
      </c>
      <c r="C2223" s="5" t="s">
        <v>9615</v>
      </c>
      <c r="D2223" s="5" t="s">
        <v>9616</v>
      </c>
      <c r="E2223" s="12"/>
      <c r="F2223" s="13">
        <f>"0747545251"</f>
      </c>
      <c r="G2223" s="13">
        <f>"9780747545255"</f>
      </c>
      <c r="H2223" s="11">
        <v>0</v>
      </c>
      <c r="I2223" s="14">
        <v>4.12</v>
      </c>
      <c r="J2223" s="7" t="s">
        <v>1841</v>
      </c>
      <c r="K2223" s="5" t="s">
        <v>60</v>
      </c>
      <c r="L2223" s="11">
        <v>208</v>
      </c>
      <c r="M2223" s="11">
        <v>1999</v>
      </c>
      <c r="N2223" s="11">
        <v>1959</v>
      </c>
      <c r="O2223" s="15"/>
      <c r="P2223" s="8">
        <v>41348</v>
      </c>
      <c r="Q2223" s="8"/>
      <c r="R2223" s="8"/>
      <c r="S2223" s="8"/>
      <c r="T2223" s="8"/>
      <c r="U2223" s="8"/>
      <c r="V2223" s="8"/>
      <c r="W2223" s="8"/>
      <c r="X2223" s="8"/>
      <c r="Y2223" s="8"/>
      <c r="Z2223" s="8"/>
      <c r="AA2223" s="8"/>
      <c r="AB2223" s="8"/>
      <c r="AC2223" s="8"/>
      <c r="AD2223" s="8"/>
      <c r="AE2223" s="8"/>
      <c r="AF2223" s="8"/>
      <c r="AG2223" s="8"/>
      <c r="AH2223" s="8"/>
      <c r="AI2223" s="8"/>
      <c r="AJ2223" s="8"/>
      <c r="AK2223" s="8"/>
      <c r="AL2223" s="8"/>
      <c r="AM2223" s="8"/>
      <c r="AN2223" s="8"/>
      <c r="AO2223" s="8"/>
      <c r="AP2223" s="8"/>
      <c r="AQ2223" s="8"/>
      <c r="AR2223" s="8"/>
      <c r="AS2223" s="8"/>
      <c r="AT2223" s="8"/>
      <c r="AU2223" s="8"/>
      <c r="AV2223" s="8"/>
      <c r="AW2223" s="8"/>
      <c r="AX2223" s="4" t="s">
        <v>38</v>
      </c>
      <c r="AY2223" s="5" t="s">
        <v>9617</v>
      </c>
      <c r="AZ2223" s="5" t="s">
        <v>38</v>
      </c>
      <c r="BA2223" s="12"/>
      <c r="BB2223" s="12"/>
      <c r="BC2223" s="12"/>
      <c r="BD2223" s="11">
        <v>0</v>
      </c>
      <c r="BE2223" s="11">
        <v>0</v>
      </c>
    </row>
    <row x14ac:dyDescent="0.25" r="2224" customHeight="1" ht="17.25">
      <c r="A2224" s="11">
        <v>80660</v>
      </c>
      <c r="B2224" s="4" t="s">
        <v>9618</v>
      </c>
      <c r="C2224" s="5" t="s">
        <v>9619</v>
      </c>
      <c r="D2224" s="5" t="s">
        <v>9620</v>
      </c>
      <c r="E2224" s="12"/>
      <c r="F2224" s="13">
        <f>"006112429X"</f>
      </c>
      <c r="G2224" s="13">
        <f>"9780061124297"</f>
      </c>
      <c r="H2224" s="11">
        <v>0</v>
      </c>
      <c r="I2224" s="14">
        <v>4.08</v>
      </c>
      <c r="J2224" s="7" t="s">
        <v>505</v>
      </c>
      <c r="K2224" s="5" t="s">
        <v>60</v>
      </c>
      <c r="L2224" s="11">
        <v>400</v>
      </c>
      <c r="M2224" s="11">
        <v>2006</v>
      </c>
      <c r="N2224" s="11">
        <v>2003</v>
      </c>
      <c r="O2224" s="15"/>
      <c r="P2224" s="8">
        <v>41341</v>
      </c>
      <c r="Q2224" s="8"/>
      <c r="R2224" s="8"/>
      <c r="S2224" s="8"/>
      <c r="T2224" s="8"/>
      <c r="U2224" s="8"/>
      <c r="V2224" s="8"/>
      <c r="W2224" s="8"/>
      <c r="X2224" s="8"/>
      <c r="Y2224" s="8"/>
      <c r="Z2224" s="8"/>
      <c r="AA2224" s="8"/>
      <c r="AB2224" s="8"/>
      <c r="AC2224" s="8"/>
      <c r="AD2224" s="8"/>
      <c r="AE2224" s="8"/>
      <c r="AF2224" s="8"/>
      <c r="AG2224" s="8"/>
      <c r="AH2224" s="8"/>
      <c r="AI2224" s="8"/>
      <c r="AJ2224" s="8"/>
      <c r="AK2224" s="8"/>
      <c r="AL2224" s="8"/>
      <c r="AM2224" s="8"/>
      <c r="AN2224" s="8"/>
      <c r="AO2224" s="8"/>
      <c r="AP2224" s="8"/>
      <c r="AQ2224" s="8"/>
      <c r="AR2224" s="8"/>
      <c r="AS2224" s="8"/>
      <c r="AT2224" s="8"/>
      <c r="AU2224" s="8"/>
      <c r="AV2224" s="8"/>
      <c r="AW2224" s="8"/>
      <c r="AX2224" s="4" t="s">
        <v>38</v>
      </c>
      <c r="AY2224" s="5" t="s">
        <v>9621</v>
      </c>
      <c r="AZ2224" s="5" t="s">
        <v>38</v>
      </c>
      <c r="BA2224" s="12"/>
      <c r="BB2224" s="12"/>
      <c r="BC2224" s="12"/>
      <c r="BD2224" s="11">
        <v>0</v>
      </c>
      <c r="BE2224" s="11">
        <v>0</v>
      </c>
    </row>
    <row x14ac:dyDescent="0.25" r="2225" customHeight="1" ht="17.25">
      <c r="A2225" s="11">
        <v>2657</v>
      </c>
      <c r="B2225" s="4" t="s">
        <v>4768</v>
      </c>
      <c r="C2225" s="5" t="s">
        <v>4769</v>
      </c>
      <c r="D2225" s="5" t="s">
        <v>4770</v>
      </c>
      <c r="E2225" s="12"/>
      <c r="F2225" s="13">
        <f>""</f>
      </c>
      <c r="G2225" s="13">
        <f>""</f>
      </c>
      <c r="H2225" s="11">
        <v>5</v>
      </c>
      <c r="I2225" s="14">
        <v>4.26</v>
      </c>
      <c r="J2225" s="7" t="s">
        <v>1061</v>
      </c>
      <c r="K2225" s="5" t="s">
        <v>60</v>
      </c>
      <c r="L2225" s="11">
        <v>323</v>
      </c>
      <c r="M2225" s="11">
        <v>2006</v>
      </c>
      <c r="N2225" s="11">
        <v>1960</v>
      </c>
      <c r="O2225" s="8">
        <v>41323</v>
      </c>
      <c r="P2225" s="8">
        <v>41310</v>
      </c>
      <c r="Q2225" s="8"/>
      <c r="R2225" s="8"/>
      <c r="S2225" s="8"/>
      <c r="T2225" s="8"/>
      <c r="U2225" s="8"/>
      <c r="V2225" s="8"/>
      <c r="W2225" s="8"/>
      <c r="X2225" s="8"/>
      <c r="Y2225" s="8"/>
      <c r="Z2225" s="8"/>
      <c r="AA2225" s="8"/>
      <c r="AB2225" s="8"/>
      <c r="AC2225" s="8"/>
      <c r="AD2225" s="8"/>
      <c r="AE2225" s="8"/>
      <c r="AF2225" s="8"/>
      <c r="AG2225" s="8"/>
      <c r="AH2225" s="8"/>
      <c r="AI2225" s="8"/>
      <c r="AJ2225" s="8"/>
      <c r="AK2225" s="8"/>
      <c r="AL2225" s="8"/>
      <c r="AM2225" s="8"/>
      <c r="AN2225" s="8"/>
      <c r="AO2225" s="8"/>
      <c r="AP2225" s="8"/>
      <c r="AQ2225" s="8"/>
      <c r="AR2225" s="8"/>
      <c r="AS2225" s="8"/>
      <c r="AT2225" s="8"/>
      <c r="AU2225" s="8"/>
      <c r="AV2225" s="8"/>
      <c r="AW2225" s="8"/>
      <c r="AX2225" s="16"/>
      <c r="AY2225" s="12"/>
      <c r="AZ2225" s="5" t="s">
        <v>158</v>
      </c>
      <c r="BA2225" s="12"/>
      <c r="BB2225" s="12"/>
      <c r="BC2225" s="12"/>
      <c r="BD2225" s="11">
        <v>1</v>
      </c>
      <c r="BE2225" s="11">
        <v>0</v>
      </c>
    </row>
    <row x14ac:dyDescent="0.25" r="2226" customHeight="1" ht="17.25">
      <c r="A2226" s="11">
        <v>430560</v>
      </c>
      <c r="B2226" s="4" t="s">
        <v>9622</v>
      </c>
      <c r="C2226" s="5" t="s">
        <v>9623</v>
      </c>
      <c r="D2226" s="5" t="s">
        <v>9624</v>
      </c>
      <c r="E2226" s="5" t="s">
        <v>9625</v>
      </c>
      <c r="F2226" s="13">
        <f>"0312190867"</f>
      </c>
      <c r="G2226" s="13">
        <f>"9780312190866"</f>
      </c>
      <c r="H2226" s="11">
        <v>0</v>
      </c>
      <c r="I2226" s="14">
        <v>4.35</v>
      </c>
      <c r="J2226" s="7" t="s">
        <v>2025</v>
      </c>
      <c r="K2226" s="5" t="s">
        <v>72</v>
      </c>
      <c r="L2226" s="11">
        <v>96</v>
      </c>
      <c r="M2226" s="11">
        <v>1998</v>
      </c>
      <c r="N2226" s="16"/>
      <c r="O2226" s="8">
        <v>41290</v>
      </c>
      <c r="P2226" s="9">
        <v>41266</v>
      </c>
      <c r="Q2226" s="9"/>
      <c r="R2226" s="9"/>
      <c r="S2226" s="9"/>
      <c r="T2226" s="9"/>
      <c r="U2226" s="9"/>
      <c r="V2226" s="9"/>
      <c r="W2226" s="9"/>
      <c r="X2226" s="9"/>
      <c r="Y2226" s="9"/>
      <c r="Z2226" s="9"/>
      <c r="AA2226" s="9"/>
      <c r="AB2226" s="9"/>
      <c r="AC2226" s="9"/>
      <c r="AD2226" s="9"/>
      <c r="AE2226" s="9"/>
      <c r="AF2226" s="9"/>
      <c r="AG2226" s="9"/>
      <c r="AH2226" s="9"/>
      <c r="AI2226" s="9"/>
      <c r="AJ2226" s="9"/>
      <c r="AK2226" s="9"/>
      <c r="AL2226" s="9"/>
      <c r="AM2226" s="9"/>
      <c r="AN2226" s="9"/>
      <c r="AO2226" s="9"/>
      <c r="AP2226" s="9"/>
      <c r="AQ2226" s="9"/>
      <c r="AR2226" s="9"/>
      <c r="AS2226" s="9"/>
      <c r="AT2226" s="9"/>
      <c r="AU2226" s="9"/>
      <c r="AV2226" s="9"/>
      <c r="AW2226" s="9"/>
      <c r="AX2226" s="16"/>
      <c r="AY2226" s="12"/>
      <c r="AZ2226" s="5" t="s">
        <v>158</v>
      </c>
      <c r="BA2226" s="12"/>
      <c r="BB2226" s="12"/>
      <c r="BC2226" s="12"/>
      <c r="BD2226" s="11">
        <v>1</v>
      </c>
      <c r="BE2226" s="11">
        <v>0</v>
      </c>
    </row>
    <row x14ac:dyDescent="0.25" r="2227" customHeight="1" ht="17.25">
      <c r="A2227" s="11">
        <v>13155510</v>
      </c>
      <c r="B2227" s="4" t="s">
        <v>9626</v>
      </c>
      <c r="C2227" s="5" t="s">
        <v>8034</v>
      </c>
      <c r="D2227" s="5" t="s">
        <v>8035</v>
      </c>
      <c r="E2227" s="5" t="s">
        <v>9627</v>
      </c>
      <c r="F2227" s="13">
        <f>"1570617783"</f>
      </c>
      <c r="G2227" s="13">
        <f>"9781570617782"</f>
      </c>
      <c r="H2227" s="11">
        <v>4</v>
      </c>
      <c r="I2227" s="14">
        <v>3.37</v>
      </c>
      <c r="J2227" s="7" t="s">
        <v>9628</v>
      </c>
      <c r="K2227" s="5" t="s">
        <v>60</v>
      </c>
      <c r="L2227" s="11">
        <v>272</v>
      </c>
      <c r="M2227" s="11">
        <v>2012</v>
      </c>
      <c r="N2227" s="11">
        <v>2012</v>
      </c>
      <c r="O2227" s="15"/>
      <c r="P2227" s="8">
        <v>41280</v>
      </c>
      <c r="Q2227" s="8"/>
      <c r="R2227" s="8"/>
      <c r="S2227" s="8"/>
      <c r="T2227" s="8"/>
      <c r="U2227" s="8"/>
      <c r="V2227" s="8"/>
      <c r="W2227" s="8"/>
      <c r="X2227" s="8"/>
      <c r="Y2227" s="8"/>
      <c r="Z2227" s="8"/>
      <c r="AA2227" s="8"/>
      <c r="AB2227" s="8"/>
      <c r="AC2227" s="8"/>
      <c r="AD2227" s="8"/>
      <c r="AE2227" s="8"/>
      <c r="AF2227" s="8"/>
      <c r="AG2227" s="8"/>
      <c r="AH2227" s="8"/>
      <c r="AI2227" s="8"/>
      <c r="AJ2227" s="8"/>
      <c r="AK2227" s="8"/>
      <c r="AL2227" s="8"/>
      <c r="AM2227" s="8"/>
      <c r="AN2227" s="8"/>
      <c r="AO2227" s="8"/>
      <c r="AP2227" s="8"/>
      <c r="AQ2227" s="8"/>
      <c r="AR2227" s="8"/>
      <c r="AS2227" s="8"/>
      <c r="AT2227" s="8"/>
      <c r="AU2227" s="8"/>
      <c r="AV2227" s="8"/>
      <c r="AW2227" s="8"/>
      <c r="AX2227" s="16"/>
      <c r="AY2227" s="12"/>
      <c r="AZ2227" s="5" t="s">
        <v>158</v>
      </c>
      <c r="BA2227" s="12"/>
      <c r="BB2227" s="12"/>
      <c r="BC2227" s="12"/>
      <c r="BD2227" s="11">
        <v>1</v>
      </c>
      <c r="BE2227" s="11">
        <v>0</v>
      </c>
    </row>
    <row x14ac:dyDescent="0.25" r="2228" customHeight="1" ht="17.25">
      <c r="A2228" s="11">
        <v>6753</v>
      </c>
      <c r="B2228" s="4" t="s">
        <v>9629</v>
      </c>
      <c r="C2228" s="5" t="s">
        <v>2323</v>
      </c>
      <c r="D2228" s="5" t="s">
        <v>2324</v>
      </c>
      <c r="E2228" s="12"/>
      <c r="F2228" s="13">
        <f>"034911188X"</f>
      </c>
      <c r="G2228" s="13">
        <f>"9780349111889"</f>
      </c>
      <c r="H2228" s="11">
        <v>0</v>
      </c>
      <c r="I2228" s="14">
        <v>3.84</v>
      </c>
      <c r="J2228" s="7" t="s">
        <v>1624</v>
      </c>
      <c r="K2228" s="5" t="s">
        <v>60</v>
      </c>
      <c r="L2228" s="11">
        <v>273</v>
      </c>
      <c r="M2228" s="11">
        <v>2000</v>
      </c>
      <c r="N2228" s="11">
        <v>1999</v>
      </c>
      <c r="O2228" s="15"/>
      <c r="P2228" s="9">
        <v>41268</v>
      </c>
      <c r="Q2228" s="9"/>
      <c r="R2228" s="9"/>
      <c r="S2228" s="9"/>
      <c r="T2228" s="9"/>
      <c r="U2228" s="9"/>
      <c r="V2228" s="9"/>
      <c r="W2228" s="9"/>
      <c r="X2228" s="9"/>
      <c r="Y2228" s="9"/>
      <c r="Z2228" s="9"/>
      <c r="AA2228" s="9"/>
      <c r="AB2228" s="9"/>
      <c r="AC2228" s="9"/>
      <c r="AD2228" s="9"/>
      <c r="AE2228" s="9"/>
      <c r="AF2228" s="9"/>
      <c r="AG2228" s="9"/>
      <c r="AH2228" s="9"/>
      <c r="AI2228" s="9"/>
      <c r="AJ2228" s="9"/>
      <c r="AK2228" s="9"/>
      <c r="AL2228" s="9"/>
      <c r="AM2228" s="9"/>
      <c r="AN2228" s="9"/>
      <c r="AO2228" s="9"/>
      <c r="AP2228" s="9"/>
      <c r="AQ2228" s="9"/>
      <c r="AR2228" s="9"/>
      <c r="AS2228" s="9"/>
      <c r="AT2228" s="9"/>
      <c r="AU2228" s="9"/>
      <c r="AV2228" s="9"/>
      <c r="AW2228" s="9"/>
      <c r="AX2228" s="4" t="s">
        <v>38</v>
      </c>
      <c r="AY2228" s="5" t="s">
        <v>9630</v>
      </c>
      <c r="AZ2228" s="5" t="s">
        <v>38</v>
      </c>
      <c r="BA2228" s="12"/>
      <c r="BB2228" s="12"/>
      <c r="BC2228" s="12"/>
      <c r="BD2228" s="11">
        <v>0</v>
      </c>
      <c r="BE2228" s="11">
        <v>0</v>
      </c>
    </row>
    <row x14ac:dyDescent="0.25" r="2229" customHeight="1" ht="17.25">
      <c r="A2229" s="11">
        <v>8909</v>
      </c>
      <c r="B2229" s="4" t="s">
        <v>9631</v>
      </c>
      <c r="C2229" s="5" t="s">
        <v>4824</v>
      </c>
      <c r="D2229" s="5" t="s">
        <v>4825</v>
      </c>
      <c r="E2229" s="5" t="s">
        <v>9632</v>
      </c>
      <c r="F2229" s="13">
        <f>"0375759239"</f>
      </c>
      <c r="G2229" s="13">
        <f>"9780375759239"</f>
      </c>
      <c r="H2229" s="11">
        <v>0</v>
      </c>
      <c r="I2229" s="14">
        <v>3.83</v>
      </c>
      <c r="J2229" s="7" t="s">
        <v>553</v>
      </c>
      <c r="K2229" s="5" t="s">
        <v>60</v>
      </c>
      <c r="L2229" s="11">
        <v>192</v>
      </c>
      <c r="M2229" s="11">
        <v>2002</v>
      </c>
      <c r="N2229" s="11">
        <v>1897</v>
      </c>
      <c r="O2229" s="15"/>
      <c r="P2229" s="9">
        <v>41231</v>
      </c>
      <c r="Q2229" s="9"/>
      <c r="R2229" s="9"/>
      <c r="S2229" s="9"/>
      <c r="T2229" s="9"/>
      <c r="U2229" s="9"/>
      <c r="V2229" s="9"/>
      <c r="W2229" s="9"/>
      <c r="X2229" s="9"/>
      <c r="Y2229" s="9"/>
      <c r="Z2229" s="9"/>
      <c r="AA2229" s="9"/>
      <c r="AB2229" s="9"/>
      <c r="AC2229" s="9"/>
      <c r="AD2229" s="9"/>
      <c r="AE2229" s="9"/>
      <c r="AF2229" s="9"/>
      <c r="AG2229" s="9"/>
      <c r="AH2229" s="9"/>
      <c r="AI2229" s="9"/>
      <c r="AJ2229" s="9"/>
      <c r="AK2229" s="9"/>
      <c r="AL2229" s="9"/>
      <c r="AM2229" s="9"/>
      <c r="AN2229" s="9"/>
      <c r="AO2229" s="9"/>
      <c r="AP2229" s="9"/>
      <c r="AQ2229" s="9"/>
      <c r="AR2229" s="9"/>
      <c r="AS2229" s="9"/>
      <c r="AT2229" s="9"/>
      <c r="AU2229" s="9"/>
      <c r="AV2229" s="9"/>
      <c r="AW2229" s="9"/>
      <c r="AX2229" s="4" t="s">
        <v>38</v>
      </c>
      <c r="AY2229" s="5" t="s">
        <v>9633</v>
      </c>
      <c r="AZ2229" s="5" t="s">
        <v>38</v>
      </c>
      <c r="BA2229" s="12"/>
      <c r="BB2229" s="12"/>
      <c r="BC2229" s="12"/>
      <c r="BD2229" s="11">
        <v>0</v>
      </c>
      <c r="BE2229" s="11">
        <v>0</v>
      </c>
    </row>
    <row x14ac:dyDescent="0.25" r="2230" customHeight="1" ht="17.25">
      <c r="A2230" s="11">
        <v>13547180</v>
      </c>
      <c r="B2230" s="4" t="s">
        <v>9634</v>
      </c>
      <c r="C2230" s="5" t="s">
        <v>9635</v>
      </c>
      <c r="D2230" s="5" t="s">
        <v>9636</v>
      </c>
      <c r="E2230" s="12"/>
      <c r="F2230" s="13">
        <f>"145162137X"</f>
      </c>
      <c r="G2230" s="13">
        <f>"9781451621372"</f>
      </c>
      <c r="H2230" s="11">
        <v>0</v>
      </c>
      <c r="I2230" s="14">
        <v>4.08</v>
      </c>
      <c r="J2230" s="7" t="s">
        <v>311</v>
      </c>
      <c r="K2230" s="5" t="s">
        <v>72</v>
      </c>
      <c r="L2230" s="11">
        <v>250</v>
      </c>
      <c r="M2230" s="11">
        <v>2012</v>
      </c>
      <c r="N2230" s="11">
        <v>2012</v>
      </c>
      <c r="O2230" s="15"/>
      <c r="P2230" s="9">
        <v>41231</v>
      </c>
      <c r="Q2230" s="9"/>
      <c r="R2230" s="9"/>
      <c r="S2230" s="9"/>
      <c r="T2230" s="9"/>
      <c r="U2230" s="9"/>
      <c r="V2230" s="9"/>
      <c r="W2230" s="9"/>
      <c r="X2230" s="9"/>
      <c r="Y2230" s="9"/>
      <c r="Z2230" s="9"/>
      <c r="AA2230" s="9"/>
      <c r="AB2230" s="9"/>
      <c r="AC2230" s="9"/>
      <c r="AD2230" s="9"/>
      <c r="AE2230" s="9"/>
      <c r="AF2230" s="9"/>
      <c r="AG2230" s="9"/>
      <c r="AH2230" s="9"/>
      <c r="AI2230" s="9"/>
      <c r="AJ2230" s="9"/>
      <c r="AK2230" s="9"/>
      <c r="AL2230" s="9"/>
      <c r="AM2230" s="9"/>
      <c r="AN2230" s="9"/>
      <c r="AO2230" s="9"/>
      <c r="AP2230" s="9"/>
      <c r="AQ2230" s="9"/>
      <c r="AR2230" s="9"/>
      <c r="AS2230" s="9"/>
      <c r="AT2230" s="9"/>
      <c r="AU2230" s="9"/>
      <c r="AV2230" s="9"/>
      <c r="AW2230" s="9"/>
      <c r="AX2230" s="4" t="s">
        <v>38</v>
      </c>
      <c r="AY2230" s="5" t="s">
        <v>9637</v>
      </c>
      <c r="AZ2230" s="5" t="s">
        <v>38</v>
      </c>
      <c r="BA2230" s="12"/>
      <c r="BB2230" s="12"/>
      <c r="BC2230" s="12"/>
      <c r="BD2230" s="11">
        <v>0</v>
      </c>
      <c r="BE2230" s="11">
        <v>0</v>
      </c>
    </row>
    <row x14ac:dyDescent="0.25" r="2231" customHeight="1" ht="17.25">
      <c r="A2231" s="11">
        <v>65605</v>
      </c>
      <c r="B2231" s="4" t="s">
        <v>9638</v>
      </c>
      <c r="C2231" s="5" t="s">
        <v>1607</v>
      </c>
      <c r="D2231" s="5" t="s">
        <v>1608</v>
      </c>
      <c r="E2231" s="12"/>
      <c r="F2231" s="13">
        <f>"0060764902"</f>
      </c>
      <c r="G2231" s="13">
        <f>"9780060764906"</f>
      </c>
      <c r="H2231" s="11">
        <v>5</v>
      </c>
      <c r="I2231" s="14">
        <v>4.05</v>
      </c>
      <c r="J2231" s="7" t="s">
        <v>9639</v>
      </c>
      <c r="K2231" s="5" t="s">
        <v>346</v>
      </c>
      <c r="L2231" s="11">
        <v>221</v>
      </c>
      <c r="M2231" s="11">
        <v>2005</v>
      </c>
      <c r="N2231" s="11">
        <v>1955</v>
      </c>
      <c r="O2231" s="15"/>
      <c r="P2231" s="8">
        <v>41139</v>
      </c>
      <c r="Q2231" s="8"/>
      <c r="R2231" s="8"/>
      <c r="S2231" s="8"/>
      <c r="T2231" s="8"/>
      <c r="U2231" s="8"/>
      <c r="V2231" s="8"/>
      <c r="W2231" s="8"/>
      <c r="X2231" s="8"/>
      <c r="Y2231" s="8"/>
      <c r="Z2231" s="8"/>
      <c r="AA2231" s="8"/>
      <c r="AB2231" s="8"/>
      <c r="AC2231" s="8"/>
      <c r="AD2231" s="8"/>
      <c r="AE2231" s="8"/>
      <c r="AF2231" s="8"/>
      <c r="AG2231" s="8"/>
      <c r="AH2231" s="8"/>
      <c r="AI2231" s="8"/>
      <c r="AJ2231" s="8"/>
      <c r="AK2231" s="8"/>
      <c r="AL2231" s="8"/>
      <c r="AM2231" s="8"/>
      <c r="AN2231" s="8"/>
      <c r="AO2231" s="8"/>
      <c r="AP2231" s="8"/>
      <c r="AQ2231" s="8"/>
      <c r="AR2231" s="8"/>
      <c r="AS2231" s="8"/>
      <c r="AT2231" s="8"/>
      <c r="AU2231" s="8"/>
      <c r="AV2231" s="8"/>
      <c r="AW2231" s="8"/>
      <c r="AX2231" s="16"/>
      <c r="AY2231" s="12"/>
      <c r="AZ2231" s="5" t="s">
        <v>158</v>
      </c>
      <c r="BA2231" s="12"/>
      <c r="BB2231" s="12"/>
      <c r="BC2231" s="12"/>
      <c r="BD2231" s="11">
        <v>1</v>
      </c>
      <c r="BE2231" s="11">
        <v>0</v>
      </c>
    </row>
    <row x14ac:dyDescent="0.25" r="2232" customHeight="1" ht="17.25">
      <c r="A2232" s="11">
        <v>10954979</v>
      </c>
      <c r="B2232" s="4" t="s">
        <v>9640</v>
      </c>
      <c r="C2232" s="5" t="s">
        <v>9641</v>
      </c>
      <c r="D2232" s="5" t="s">
        <v>9642</v>
      </c>
      <c r="E2232" s="12"/>
      <c r="F2232" s="13">
        <f>"0393064476"</f>
      </c>
      <c r="G2232" s="13">
        <f>"9780393064476"</f>
      </c>
      <c r="H2232" s="11">
        <v>0</v>
      </c>
      <c r="I2232" s="14">
        <v>3.86</v>
      </c>
      <c r="J2232" s="7" t="s">
        <v>144</v>
      </c>
      <c r="K2232" s="5" t="s">
        <v>72</v>
      </c>
      <c r="L2232" s="11">
        <v>356</v>
      </c>
      <c r="M2232" s="11">
        <v>2011</v>
      </c>
      <c r="N2232" s="11">
        <v>2011</v>
      </c>
      <c r="O2232" s="15"/>
      <c r="P2232" s="8">
        <v>41053</v>
      </c>
      <c r="Q2232" s="8"/>
      <c r="R2232" s="8"/>
      <c r="S2232" s="8"/>
      <c r="T2232" s="8"/>
      <c r="U2232" s="8"/>
      <c r="V2232" s="8"/>
      <c r="W2232" s="8"/>
      <c r="X2232" s="8"/>
      <c r="Y2232" s="8"/>
      <c r="Z2232" s="8"/>
      <c r="AA2232" s="8"/>
      <c r="AB2232" s="8"/>
      <c r="AC2232" s="8"/>
      <c r="AD2232" s="8"/>
      <c r="AE2232" s="8"/>
      <c r="AF2232" s="8"/>
      <c r="AG2232" s="8"/>
      <c r="AH2232" s="8"/>
      <c r="AI2232" s="8"/>
      <c r="AJ2232" s="8"/>
      <c r="AK2232" s="8"/>
      <c r="AL2232" s="8"/>
      <c r="AM2232" s="8"/>
      <c r="AN2232" s="8"/>
      <c r="AO2232" s="8"/>
      <c r="AP2232" s="8"/>
      <c r="AQ2232" s="8"/>
      <c r="AR2232" s="8"/>
      <c r="AS2232" s="8"/>
      <c r="AT2232" s="8"/>
      <c r="AU2232" s="8"/>
      <c r="AV2232" s="8"/>
      <c r="AW2232" s="8"/>
      <c r="AX2232" s="4" t="s">
        <v>38</v>
      </c>
      <c r="AY2232" s="5" t="s">
        <v>9643</v>
      </c>
      <c r="AZ2232" s="5" t="s">
        <v>38</v>
      </c>
      <c r="BA2232" s="12"/>
      <c r="BB2232" s="12"/>
      <c r="BC2232" s="12"/>
      <c r="BD2232" s="11">
        <v>0</v>
      </c>
      <c r="BE2232" s="11">
        <v>0</v>
      </c>
    </row>
    <row x14ac:dyDescent="0.25" r="2233" customHeight="1" ht="17.25">
      <c r="A2233" s="11">
        <v>227265</v>
      </c>
      <c r="B2233" s="4" t="s">
        <v>9644</v>
      </c>
      <c r="C2233" s="5" t="s">
        <v>9645</v>
      </c>
      <c r="D2233" s="5" t="s">
        <v>9646</v>
      </c>
      <c r="E2233" s="12"/>
      <c r="F2233" s="13">
        <f>"0553375407"</f>
      </c>
      <c r="G2233" s="13">
        <f>"9780553375404"</f>
      </c>
      <c r="H2233" s="11">
        <v>0</v>
      </c>
      <c r="I2233" s="11">
        <v>4</v>
      </c>
      <c r="J2233" s="7" t="s">
        <v>1911</v>
      </c>
      <c r="K2233" s="5" t="s">
        <v>60</v>
      </c>
      <c r="L2233" s="11">
        <v>266</v>
      </c>
      <c r="M2233" s="11">
        <v>1995</v>
      </c>
      <c r="N2233" s="11">
        <v>1992</v>
      </c>
      <c r="O2233" s="15"/>
      <c r="P2233" s="8">
        <v>41053</v>
      </c>
      <c r="Q2233" s="8"/>
      <c r="R2233" s="8"/>
      <c r="S2233" s="8"/>
      <c r="T2233" s="8"/>
      <c r="U2233" s="8"/>
      <c r="V2233" s="8"/>
      <c r="W2233" s="8"/>
      <c r="X2233" s="8"/>
      <c r="Y2233" s="8"/>
      <c r="Z2233" s="8"/>
      <c r="AA2233" s="8"/>
      <c r="AB2233" s="8"/>
      <c r="AC2233" s="8"/>
      <c r="AD2233" s="8"/>
      <c r="AE2233" s="8"/>
      <c r="AF2233" s="8"/>
      <c r="AG2233" s="8"/>
      <c r="AH2233" s="8"/>
      <c r="AI2233" s="8"/>
      <c r="AJ2233" s="8"/>
      <c r="AK2233" s="8"/>
      <c r="AL2233" s="8"/>
      <c r="AM2233" s="8"/>
      <c r="AN2233" s="8"/>
      <c r="AO2233" s="8"/>
      <c r="AP2233" s="8"/>
      <c r="AQ2233" s="8"/>
      <c r="AR2233" s="8"/>
      <c r="AS2233" s="8"/>
      <c r="AT2233" s="8"/>
      <c r="AU2233" s="8"/>
      <c r="AV2233" s="8"/>
      <c r="AW2233" s="8"/>
      <c r="AX2233" s="4" t="s">
        <v>38</v>
      </c>
      <c r="AY2233" s="5" t="s">
        <v>9647</v>
      </c>
      <c r="AZ2233" s="5" t="s">
        <v>38</v>
      </c>
      <c r="BA2233" s="12"/>
      <c r="BB2233" s="12"/>
      <c r="BC2233" s="12"/>
      <c r="BD2233" s="11">
        <v>0</v>
      </c>
      <c r="BE2233" s="11">
        <v>0</v>
      </c>
    </row>
    <row x14ac:dyDescent="0.25" r="2234" customHeight="1" ht="17.25">
      <c r="A2234" s="11">
        <v>1078</v>
      </c>
      <c r="B2234" s="4" t="s">
        <v>9648</v>
      </c>
      <c r="C2234" s="5" t="s">
        <v>9649</v>
      </c>
      <c r="D2234" s="5" t="s">
        <v>9650</v>
      </c>
      <c r="E2234" s="5" t="s">
        <v>9651</v>
      </c>
      <c r="F2234" s="13">
        <f>"1416500189"</f>
      </c>
      <c r="G2234" s="13">
        <f>"9781416500186"</f>
      </c>
      <c r="H2234" s="11">
        <v>0</v>
      </c>
      <c r="I2234" s="11">
        <v>4</v>
      </c>
      <c r="J2234" s="7" t="s">
        <v>9652</v>
      </c>
      <c r="K2234" s="5" t="s">
        <v>60</v>
      </c>
      <c r="L2234" s="11">
        <v>418</v>
      </c>
      <c r="M2234" s="11">
        <v>2005</v>
      </c>
      <c r="N2234" s="11">
        <v>1931</v>
      </c>
      <c r="O2234" s="15"/>
      <c r="P2234" s="8">
        <v>41018</v>
      </c>
      <c r="Q2234" s="8"/>
      <c r="R2234" s="8"/>
      <c r="S2234" s="8"/>
      <c r="T2234" s="8"/>
      <c r="U2234" s="8"/>
      <c r="V2234" s="8"/>
      <c r="W2234" s="8"/>
      <c r="X2234" s="8"/>
      <c r="Y2234" s="8"/>
      <c r="Z2234" s="8"/>
      <c r="AA2234" s="8"/>
      <c r="AB2234" s="8"/>
      <c r="AC2234" s="8"/>
      <c r="AD2234" s="8"/>
      <c r="AE2234" s="8"/>
      <c r="AF2234" s="8"/>
      <c r="AG2234" s="8"/>
      <c r="AH2234" s="8"/>
      <c r="AI2234" s="8"/>
      <c r="AJ2234" s="8"/>
      <c r="AK2234" s="8"/>
      <c r="AL2234" s="8"/>
      <c r="AM2234" s="8"/>
      <c r="AN2234" s="8"/>
      <c r="AO2234" s="8"/>
      <c r="AP2234" s="8"/>
      <c r="AQ2234" s="8"/>
      <c r="AR2234" s="8"/>
      <c r="AS2234" s="8"/>
      <c r="AT2234" s="8"/>
      <c r="AU2234" s="8"/>
      <c r="AV2234" s="8"/>
      <c r="AW2234" s="8"/>
      <c r="AX2234" s="16"/>
      <c r="AY2234" s="12"/>
      <c r="AZ2234" s="5" t="s">
        <v>158</v>
      </c>
      <c r="BA2234" s="12"/>
      <c r="BB2234" s="12"/>
      <c r="BC2234" s="12"/>
      <c r="BD2234" s="11">
        <v>1</v>
      </c>
      <c r="BE2234" s="11">
        <v>0</v>
      </c>
    </row>
    <row x14ac:dyDescent="0.25" r="2235" customHeight="1" ht="17.25">
      <c r="A2235" s="11">
        <v>9915</v>
      </c>
      <c r="B2235" s="4" t="s">
        <v>3930</v>
      </c>
      <c r="C2235" s="5" t="s">
        <v>3931</v>
      </c>
      <c r="D2235" s="5" t="s">
        <v>3932</v>
      </c>
      <c r="E2235" s="12"/>
      <c r="F2235" s="13">
        <f>""</f>
      </c>
      <c r="G2235" s="13">
        <f>""</f>
      </c>
      <c r="H2235" s="11">
        <v>0</v>
      </c>
      <c r="I2235" s="14">
        <v>3.6</v>
      </c>
      <c r="J2235" s="7" t="s">
        <v>294</v>
      </c>
      <c r="K2235" s="5" t="s">
        <v>60</v>
      </c>
      <c r="L2235" s="11">
        <v>208</v>
      </c>
      <c r="M2235" s="11">
        <v>2010</v>
      </c>
      <c r="N2235" s="11">
        <v>1985</v>
      </c>
      <c r="O2235" s="15"/>
      <c r="P2235" s="8">
        <v>40971</v>
      </c>
      <c r="Q2235" s="8"/>
      <c r="R2235" s="8"/>
      <c r="S2235" s="8"/>
      <c r="T2235" s="8"/>
      <c r="U2235" s="8"/>
      <c r="V2235" s="8"/>
      <c r="W2235" s="8"/>
      <c r="X2235" s="8"/>
      <c r="Y2235" s="8"/>
      <c r="Z2235" s="8"/>
      <c r="AA2235" s="8"/>
      <c r="AB2235" s="8"/>
      <c r="AC2235" s="8"/>
      <c r="AD2235" s="8"/>
      <c r="AE2235" s="8"/>
      <c r="AF2235" s="8"/>
      <c r="AG2235" s="8"/>
      <c r="AH2235" s="8"/>
      <c r="AI2235" s="8"/>
      <c r="AJ2235" s="8"/>
      <c r="AK2235" s="8"/>
      <c r="AL2235" s="8"/>
      <c r="AM2235" s="8"/>
      <c r="AN2235" s="8"/>
      <c r="AO2235" s="8"/>
      <c r="AP2235" s="8"/>
      <c r="AQ2235" s="8"/>
      <c r="AR2235" s="8"/>
      <c r="AS2235" s="8"/>
      <c r="AT2235" s="8"/>
      <c r="AU2235" s="8"/>
      <c r="AV2235" s="8"/>
      <c r="AW2235" s="8"/>
      <c r="AX2235" s="16"/>
      <c r="AY2235" s="12"/>
      <c r="AZ2235" s="5" t="s">
        <v>158</v>
      </c>
      <c r="BA2235" s="12"/>
      <c r="BB2235" s="12"/>
      <c r="BC2235" s="12"/>
      <c r="BD2235" s="11">
        <v>1</v>
      </c>
      <c r="BE2235" s="11">
        <v>0</v>
      </c>
    </row>
    <row x14ac:dyDescent="0.25" r="2236" customHeight="1" ht="17.25">
      <c r="A2236" s="11">
        <v>17184</v>
      </c>
      <c r="B2236" s="4" t="s">
        <v>9653</v>
      </c>
      <c r="C2236" s="5" t="s">
        <v>4824</v>
      </c>
      <c r="D2236" s="5" t="s">
        <v>4825</v>
      </c>
      <c r="E2236" s="5" t="s">
        <v>9654</v>
      </c>
      <c r="F2236" s="13">
        <f>"0451528522"</f>
      </c>
      <c r="G2236" s="13">
        <f>"9780451528520"</f>
      </c>
      <c r="H2236" s="11">
        <v>0</v>
      </c>
      <c r="I2236" s="14">
        <v>3.64</v>
      </c>
      <c r="J2236" s="7" t="s">
        <v>9655</v>
      </c>
      <c r="K2236" s="5" t="s">
        <v>346</v>
      </c>
      <c r="L2236" s="11">
        <v>192</v>
      </c>
      <c r="M2236" s="11">
        <v>2002</v>
      </c>
      <c r="N2236" s="11">
        <v>1897</v>
      </c>
      <c r="O2236" s="15"/>
      <c r="P2236" s="8">
        <v>40964</v>
      </c>
      <c r="Q2236" s="8"/>
      <c r="R2236" s="8"/>
      <c r="S2236" s="8"/>
      <c r="T2236" s="8"/>
      <c r="U2236" s="8"/>
      <c r="V2236" s="8"/>
      <c r="W2236" s="8"/>
      <c r="X2236" s="8"/>
      <c r="Y2236" s="8"/>
      <c r="Z2236" s="8"/>
      <c r="AA2236" s="8"/>
      <c r="AB2236" s="8"/>
      <c r="AC2236" s="8"/>
      <c r="AD2236" s="8"/>
      <c r="AE2236" s="8"/>
      <c r="AF2236" s="8"/>
      <c r="AG2236" s="8"/>
      <c r="AH2236" s="8"/>
      <c r="AI2236" s="8"/>
      <c r="AJ2236" s="8"/>
      <c r="AK2236" s="8"/>
      <c r="AL2236" s="8"/>
      <c r="AM2236" s="8"/>
      <c r="AN2236" s="8"/>
      <c r="AO2236" s="8"/>
      <c r="AP2236" s="8"/>
      <c r="AQ2236" s="8"/>
      <c r="AR2236" s="8"/>
      <c r="AS2236" s="8"/>
      <c r="AT2236" s="8"/>
      <c r="AU2236" s="8"/>
      <c r="AV2236" s="8"/>
      <c r="AW2236" s="8"/>
      <c r="AX2236" s="16"/>
      <c r="AY2236" s="12"/>
      <c r="AZ2236" s="5" t="s">
        <v>158</v>
      </c>
      <c r="BA2236" s="12"/>
      <c r="BB2236" s="12"/>
      <c r="BC2236" s="12"/>
      <c r="BD2236" s="11">
        <v>1</v>
      </c>
      <c r="BE2236" s="11">
        <v>0</v>
      </c>
    </row>
    <row x14ac:dyDescent="0.25" r="2237" customHeight="1" ht="17.25">
      <c r="A2237" s="11">
        <v>774963</v>
      </c>
      <c r="B2237" s="4" t="s">
        <v>9656</v>
      </c>
      <c r="C2237" s="5" t="s">
        <v>9657</v>
      </c>
      <c r="D2237" s="5" t="s">
        <v>9658</v>
      </c>
      <c r="E2237" s="12"/>
      <c r="F2237" s="13">
        <f>"0393315819"</f>
      </c>
      <c r="G2237" s="13">
        <f>"9780393315813"</f>
      </c>
      <c r="H2237" s="11">
        <v>0</v>
      </c>
      <c r="I2237" s="14">
        <v>3.6</v>
      </c>
      <c r="J2237" s="7" t="s">
        <v>144</v>
      </c>
      <c r="K2237" s="5" t="s">
        <v>60</v>
      </c>
      <c r="L2237" s="11">
        <v>290</v>
      </c>
      <c r="M2237" s="11">
        <v>1996</v>
      </c>
      <c r="N2237" s="11">
        <v>1996</v>
      </c>
      <c r="O2237" s="15"/>
      <c r="P2237" s="8">
        <v>41035</v>
      </c>
      <c r="Q2237" s="8"/>
      <c r="R2237" s="8"/>
      <c r="S2237" s="8"/>
      <c r="T2237" s="8"/>
      <c r="U2237" s="8"/>
      <c r="V2237" s="8"/>
      <c r="W2237" s="8"/>
      <c r="X2237" s="8"/>
      <c r="Y2237" s="8"/>
      <c r="Z2237" s="8"/>
      <c r="AA2237" s="8"/>
      <c r="AB2237" s="8"/>
      <c r="AC2237" s="8"/>
      <c r="AD2237" s="8"/>
      <c r="AE2237" s="8"/>
      <c r="AF2237" s="8"/>
      <c r="AG2237" s="8"/>
      <c r="AH2237" s="8"/>
      <c r="AI2237" s="8"/>
      <c r="AJ2237" s="8"/>
      <c r="AK2237" s="8"/>
      <c r="AL2237" s="8"/>
      <c r="AM2237" s="8"/>
      <c r="AN2237" s="8"/>
      <c r="AO2237" s="8"/>
      <c r="AP2237" s="8"/>
      <c r="AQ2237" s="8"/>
      <c r="AR2237" s="8"/>
      <c r="AS2237" s="8"/>
      <c r="AT2237" s="8"/>
      <c r="AU2237" s="8"/>
      <c r="AV2237" s="8"/>
      <c r="AW2237" s="8"/>
      <c r="AX2237" s="4" t="s">
        <v>38</v>
      </c>
      <c r="AY2237" s="5" t="s">
        <v>9659</v>
      </c>
      <c r="AZ2237" s="5" t="s">
        <v>38</v>
      </c>
      <c r="BA2237" s="12"/>
      <c r="BB2237" s="12"/>
      <c r="BC2237" s="12"/>
      <c r="BD2237" s="11">
        <v>0</v>
      </c>
      <c r="BE2237" s="11">
        <v>0</v>
      </c>
    </row>
    <row x14ac:dyDescent="0.25" r="2238" customHeight="1" ht="17.25">
      <c r="A2238" s="11">
        <v>23940</v>
      </c>
      <c r="B2238" s="4" t="s">
        <v>9660</v>
      </c>
      <c r="C2238" s="5" t="s">
        <v>4379</v>
      </c>
      <c r="D2238" s="5" t="s">
        <v>4380</v>
      </c>
      <c r="E2238" s="5" t="s">
        <v>9661</v>
      </c>
      <c r="F2238" s="13">
        <f>"0142003166"</f>
      </c>
      <c r="G2238" s="13">
        <f>"9780142003169"</f>
      </c>
      <c r="H2238" s="11">
        <v>0</v>
      </c>
      <c r="I2238" s="14">
        <v>3.85</v>
      </c>
      <c r="J2238" s="7" t="s">
        <v>182</v>
      </c>
      <c r="K2238" s="5" t="s">
        <v>60</v>
      </c>
      <c r="L2238" s="11">
        <v>166</v>
      </c>
      <c r="M2238" s="11">
        <v>2003</v>
      </c>
      <c r="N2238" s="11">
        <v>1953</v>
      </c>
      <c r="O2238" s="15"/>
      <c r="P2238" s="8">
        <v>41035</v>
      </c>
      <c r="Q2238" s="8"/>
      <c r="R2238" s="8"/>
      <c r="S2238" s="8"/>
      <c r="T2238" s="8"/>
      <c r="U2238" s="8"/>
      <c r="V2238" s="8"/>
      <c r="W2238" s="8"/>
      <c r="X2238" s="8"/>
      <c r="Y2238" s="8"/>
      <c r="Z2238" s="8"/>
      <c r="AA2238" s="8"/>
      <c r="AB2238" s="8"/>
      <c r="AC2238" s="8"/>
      <c r="AD2238" s="8"/>
      <c r="AE2238" s="8"/>
      <c r="AF2238" s="8"/>
      <c r="AG2238" s="8"/>
      <c r="AH2238" s="8"/>
      <c r="AI2238" s="8"/>
      <c r="AJ2238" s="8"/>
      <c r="AK2238" s="8"/>
      <c r="AL2238" s="8"/>
      <c r="AM2238" s="8"/>
      <c r="AN2238" s="8"/>
      <c r="AO2238" s="8"/>
      <c r="AP2238" s="8"/>
      <c r="AQ2238" s="8"/>
      <c r="AR2238" s="8"/>
      <c r="AS2238" s="8"/>
      <c r="AT2238" s="8"/>
      <c r="AU2238" s="8"/>
      <c r="AV2238" s="8"/>
      <c r="AW2238" s="8"/>
      <c r="AX2238" s="4" t="s">
        <v>38</v>
      </c>
      <c r="AY2238" s="5" t="s">
        <v>9662</v>
      </c>
      <c r="AZ2238" s="5" t="s">
        <v>38</v>
      </c>
      <c r="BA2238" s="12"/>
      <c r="BB2238" s="12"/>
      <c r="BC2238" s="12"/>
      <c r="BD2238" s="11">
        <v>0</v>
      </c>
      <c r="BE2238" s="11">
        <v>0</v>
      </c>
    </row>
    <row x14ac:dyDescent="0.25" r="2239" customHeight="1" ht="17.25">
      <c r="A2239" s="11">
        <v>29488</v>
      </c>
      <c r="B2239" s="4" t="s">
        <v>9663</v>
      </c>
      <c r="C2239" s="5" t="s">
        <v>9664</v>
      </c>
      <c r="D2239" s="5" t="s">
        <v>9665</v>
      </c>
      <c r="E2239" s="12"/>
      <c r="F2239" s="13">
        <f>"0345423879"</f>
      </c>
      <c r="G2239" s="13">
        <f>"9780345423870"</f>
      </c>
      <c r="H2239" s="11">
        <v>0</v>
      </c>
      <c r="I2239" s="14">
        <v>4.12</v>
      </c>
      <c r="J2239" s="7" t="s">
        <v>352</v>
      </c>
      <c r="K2239" s="5" t="s">
        <v>60</v>
      </c>
      <c r="L2239" s="11">
        <v>304</v>
      </c>
      <c r="M2239" s="11">
        <v>1998</v>
      </c>
      <c r="N2239" s="11">
        <v>1997</v>
      </c>
      <c r="O2239" s="15"/>
      <c r="P2239" s="8">
        <v>41035</v>
      </c>
      <c r="Q2239" s="8"/>
      <c r="R2239" s="8"/>
      <c r="S2239" s="8"/>
      <c r="T2239" s="8"/>
      <c r="U2239" s="8"/>
      <c r="V2239" s="8"/>
      <c r="W2239" s="8"/>
      <c r="X2239" s="8"/>
      <c r="Y2239" s="8"/>
      <c r="Z2239" s="8"/>
      <c r="AA2239" s="8"/>
      <c r="AB2239" s="8"/>
      <c r="AC2239" s="8"/>
      <c r="AD2239" s="8"/>
      <c r="AE2239" s="8"/>
      <c r="AF2239" s="8"/>
      <c r="AG2239" s="8"/>
      <c r="AH2239" s="8"/>
      <c r="AI2239" s="8"/>
      <c r="AJ2239" s="8"/>
      <c r="AK2239" s="8"/>
      <c r="AL2239" s="8"/>
      <c r="AM2239" s="8"/>
      <c r="AN2239" s="8"/>
      <c r="AO2239" s="8"/>
      <c r="AP2239" s="8"/>
      <c r="AQ2239" s="8"/>
      <c r="AR2239" s="8"/>
      <c r="AS2239" s="8"/>
      <c r="AT2239" s="8"/>
      <c r="AU2239" s="8"/>
      <c r="AV2239" s="8"/>
      <c r="AW2239" s="8"/>
      <c r="AX2239" s="4" t="s">
        <v>38</v>
      </c>
      <c r="AY2239" s="5" t="s">
        <v>9666</v>
      </c>
      <c r="AZ2239" s="5" t="s">
        <v>38</v>
      </c>
      <c r="BA2239" s="12"/>
      <c r="BB2239" s="12"/>
      <c r="BC2239" s="12"/>
      <c r="BD2239" s="11">
        <v>0</v>
      </c>
      <c r="BE2239" s="11">
        <v>0</v>
      </c>
    </row>
    <row x14ac:dyDescent="0.25" r="2240" customHeight="1" ht="17.25">
      <c r="A2240" s="11">
        <v>1241</v>
      </c>
      <c r="B2240" s="4" t="s">
        <v>9667</v>
      </c>
      <c r="C2240" s="5" t="s">
        <v>9668</v>
      </c>
      <c r="D2240" s="5" t="s">
        <v>9669</v>
      </c>
      <c r="E2240" s="12"/>
      <c r="F2240" s="13">
        <f>"0307276902"</f>
      </c>
      <c r="G2240" s="13">
        <f>"9780307276902"</f>
      </c>
      <c r="H2240" s="11">
        <v>0</v>
      </c>
      <c r="I2240" s="14">
        <v>3.68</v>
      </c>
      <c r="J2240" s="7" t="s">
        <v>4580</v>
      </c>
      <c r="K2240" s="5" t="s">
        <v>60</v>
      </c>
      <c r="L2240" s="11">
        <v>515</v>
      </c>
      <c r="M2240" s="11">
        <v>2005</v>
      </c>
      <c r="N2240" s="11">
        <v>2003</v>
      </c>
      <c r="O2240" s="15"/>
      <c r="P2240" s="8">
        <v>41035</v>
      </c>
      <c r="Q2240" s="8"/>
      <c r="R2240" s="8"/>
      <c r="S2240" s="8"/>
      <c r="T2240" s="8"/>
      <c r="U2240" s="8"/>
      <c r="V2240" s="8"/>
      <c r="W2240" s="8"/>
      <c r="X2240" s="8"/>
      <c r="Y2240" s="8"/>
      <c r="Z2240" s="8"/>
      <c r="AA2240" s="8"/>
      <c r="AB2240" s="8"/>
      <c r="AC2240" s="8"/>
      <c r="AD2240" s="8"/>
      <c r="AE2240" s="8"/>
      <c r="AF2240" s="8"/>
      <c r="AG2240" s="8"/>
      <c r="AH2240" s="8"/>
      <c r="AI2240" s="8"/>
      <c r="AJ2240" s="8"/>
      <c r="AK2240" s="8"/>
      <c r="AL2240" s="8"/>
      <c r="AM2240" s="8"/>
      <c r="AN2240" s="8"/>
      <c r="AO2240" s="8"/>
      <c r="AP2240" s="8"/>
      <c r="AQ2240" s="8"/>
      <c r="AR2240" s="8"/>
      <c r="AS2240" s="8"/>
      <c r="AT2240" s="8"/>
      <c r="AU2240" s="8"/>
      <c r="AV2240" s="8"/>
      <c r="AW2240" s="8"/>
      <c r="AX2240" s="4" t="s">
        <v>38</v>
      </c>
      <c r="AY2240" s="5" t="s">
        <v>9670</v>
      </c>
      <c r="AZ2240" s="5" t="s">
        <v>38</v>
      </c>
      <c r="BA2240" s="12"/>
      <c r="BB2240" s="12"/>
      <c r="BC2240" s="12"/>
      <c r="BD2240" s="11">
        <v>0</v>
      </c>
      <c r="BE2240" s="11">
        <v>0</v>
      </c>
    </row>
    <row x14ac:dyDescent="0.25" r="2241" customHeight="1" ht="17.25">
      <c r="A2241" s="11">
        <v>527869</v>
      </c>
      <c r="B2241" s="4" t="s">
        <v>9671</v>
      </c>
      <c r="C2241" s="5" t="s">
        <v>9657</v>
      </c>
      <c r="D2241" s="5" t="s">
        <v>9658</v>
      </c>
      <c r="E2241" s="12"/>
      <c r="F2241" s="13">
        <f>"0393314804"</f>
      </c>
      <c r="G2241" s="13">
        <f>"9780393314809"</f>
      </c>
      <c r="H2241" s="11">
        <v>0</v>
      </c>
      <c r="I2241" s="14">
        <v>4.1</v>
      </c>
      <c r="J2241" s="7" t="s">
        <v>144</v>
      </c>
      <c r="K2241" s="5" t="s">
        <v>60</v>
      </c>
      <c r="L2241" s="11">
        <v>349</v>
      </c>
      <c r="M2241" s="11">
        <v>1996</v>
      </c>
      <c r="N2241" s="11">
        <v>1993</v>
      </c>
      <c r="O2241" s="15"/>
      <c r="P2241" s="8">
        <v>41035</v>
      </c>
      <c r="Q2241" s="8"/>
      <c r="R2241" s="8"/>
      <c r="S2241" s="8"/>
      <c r="T2241" s="8"/>
      <c r="U2241" s="8"/>
      <c r="V2241" s="8"/>
      <c r="W2241" s="8"/>
      <c r="X2241" s="8"/>
      <c r="Y2241" s="8"/>
      <c r="Z2241" s="8"/>
      <c r="AA2241" s="8"/>
      <c r="AB2241" s="8"/>
      <c r="AC2241" s="8"/>
      <c r="AD2241" s="8"/>
      <c r="AE2241" s="8"/>
      <c r="AF2241" s="8"/>
      <c r="AG2241" s="8"/>
      <c r="AH2241" s="8"/>
      <c r="AI2241" s="8"/>
      <c r="AJ2241" s="8"/>
      <c r="AK2241" s="8"/>
      <c r="AL2241" s="8"/>
      <c r="AM2241" s="8"/>
      <c r="AN2241" s="8"/>
      <c r="AO2241" s="8"/>
      <c r="AP2241" s="8"/>
      <c r="AQ2241" s="8"/>
      <c r="AR2241" s="8"/>
      <c r="AS2241" s="8"/>
      <c r="AT2241" s="8"/>
      <c r="AU2241" s="8"/>
      <c r="AV2241" s="8"/>
      <c r="AW2241" s="8"/>
      <c r="AX2241" s="4" t="s">
        <v>38</v>
      </c>
      <c r="AY2241" s="5" t="s">
        <v>9672</v>
      </c>
      <c r="AZ2241" s="5" t="s">
        <v>38</v>
      </c>
      <c r="BA2241" s="12"/>
      <c r="BB2241" s="12"/>
      <c r="BC2241" s="12"/>
      <c r="BD2241" s="11">
        <v>0</v>
      </c>
      <c r="BE2241" s="11">
        <v>0</v>
      </c>
    </row>
    <row x14ac:dyDescent="0.25" r="2242" customHeight="1" ht="17.25">
      <c r="A2242" s="11">
        <v>358725</v>
      </c>
      <c r="B2242" s="4" t="s">
        <v>9673</v>
      </c>
      <c r="C2242" s="5" t="s">
        <v>9674</v>
      </c>
      <c r="D2242" s="5" t="s">
        <v>9675</v>
      </c>
      <c r="E2242" s="12"/>
      <c r="F2242" s="13">
        <f>"1400066050"</f>
      </c>
      <c r="G2242" s="13">
        <f>"9781400066056"</f>
      </c>
      <c r="H2242" s="11">
        <v>4</v>
      </c>
      <c r="I2242" s="14">
        <v>3.27</v>
      </c>
      <c r="J2242" s="7" t="s">
        <v>1018</v>
      </c>
      <c r="K2242" s="5" t="s">
        <v>72</v>
      </c>
      <c r="L2242" s="11">
        <v>240</v>
      </c>
      <c r="M2242" s="11">
        <v>2007</v>
      </c>
      <c r="N2242" s="11">
        <v>2007</v>
      </c>
      <c r="O2242" s="8">
        <v>41021</v>
      </c>
      <c r="P2242" s="8">
        <v>41018</v>
      </c>
      <c r="Q2242" s="8"/>
      <c r="R2242" s="8"/>
      <c r="S2242" s="8"/>
      <c r="T2242" s="8"/>
      <c r="U2242" s="8"/>
      <c r="V2242" s="8"/>
      <c r="W2242" s="8"/>
      <c r="X2242" s="8"/>
      <c r="Y2242" s="8"/>
      <c r="Z2242" s="8"/>
      <c r="AA2242" s="8"/>
      <c r="AB2242" s="8"/>
      <c r="AC2242" s="8"/>
      <c r="AD2242" s="8"/>
      <c r="AE2242" s="8"/>
      <c r="AF2242" s="8"/>
      <c r="AG2242" s="8"/>
      <c r="AH2242" s="8"/>
      <c r="AI2242" s="8"/>
      <c r="AJ2242" s="8"/>
      <c r="AK2242" s="8"/>
      <c r="AL2242" s="8"/>
      <c r="AM2242" s="8"/>
      <c r="AN2242" s="8"/>
      <c r="AO2242" s="8"/>
      <c r="AP2242" s="8"/>
      <c r="AQ2242" s="8"/>
      <c r="AR2242" s="8"/>
      <c r="AS2242" s="8"/>
      <c r="AT2242" s="8"/>
      <c r="AU2242" s="8"/>
      <c r="AV2242" s="8"/>
      <c r="AW2242" s="8"/>
      <c r="AX2242" s="16"/>
      <c r="AY2242" s="12"/>
      <c r="AZ2242" s="5" t="s">
        <v>158</v>
      </c>
      <c r="BA2242" s="12"/>
      <c r="BB2242" s="12"/>
      <c r="BC2242" s="12"/>
      <c r="BD2242" s="11">
        <v>1</v>
      </c>
      <c r="BE2242" s="11">
        <v>0</v>
      </c>
    </row>
    <row x14ac:dyDescent="0.25" r="2243" customHeight="1" ht="17.25">
      <c r="A2243" s="11">
        <v>52036</v>
      </c>
      <c r="B2243" s="4" t="s">
        <v>9676</v>
      </c>
      <c r="C2243" s="5" t="s">
        <v>8132</v>
      </c>
      <c r="D2243" s="5" t="s">
        <v>8133</v>
      </c>
      <c r="E2243" s="5" t="s">
        <v>9677</v>
      </c>
      <c r="F2243" s="13">
        <f>""</f>
      </c>
      <c r="G2243" s="13">
        <f>""</f>
      </c>
      <c r="H2243" s="11">
        <v>0</v>
      </c>
      <c r="I2243" s="14">
        <v>4.06</v>
      </c>
      <c r="J2243" s="7" t="s">
        <v>1950</v>
      </c>
      <c r="K2243" s="5" t="s">
        <v>346</v>
      </c>
      <c r="L2243" s="11">
        <v>152</v>
      </c>
      <c r="M2243" s="11">
        <v>1981</v>
      </c>
      <c r="N2243" s="11">
        <v>1922</v>
      </c>
      <c r="O2243" s="15"/>
      <c r="P2243" s="8">
        <v>41020</v>
      </c>
      <c r="Q2243" s="8"/>
      <c r="R2243" s="8"/>
      <c r="S2243" s="8"/>
      <c r="T2243" s="8"/>
      <c r="U2243" s="8"/>
      <c r="V2243" s="8"/>
      <c r="W2243" s="8"/>
      <c r="X2243" s="8"/>
      <c r="Y2243" s="8"/>
      <c r="Z2243" s="8"/>
      <c r="AA2243" s="8"/>
      <c r="AB2243" s="8"/>
      <c r="AC2243" s="8"/>
      <c r="AD2243" s="8"/>
      <c r="AE2243" s="8"/>
      <c r="AF2243" s="8"/>
      <c r="AG2243" s="8"/>
      <c r="AH2243" s="8"/>
      <c r="AI2243" s="8"/>
      <c r="AJ2243" s="8"/>
      <c r="AK2243" s="8"/>
      <c r="AL2243" s="8"/>
      <c r="AM2243" s="8"/>
      <c r="AN2243" s="8"/>
      <c r="AO2243" s="8"/>
      <c r="AP2243" s="8"/>
      <c r="AQ2243" s="8"/>
      <c r="AR2243" s="8"/>
      <c r="AS2243" s="8"/>
      <c r="AT2243" s="8"/>
      <c r="AU2243" s="8"/>
      <c r="AV2243" s="8"/>
      <c r="AW2243" s="8"/>
      <c r="AX2243" s="4" t="s">
        <v>38</v>
      </c>
      <c r="AY2243" s="5" t="s">
        <v>9678</v>
      </c>
      <c r="AZ2243" s="5" t="s">
        <v>38</v>
      </c>
      <c r="BA2243" s="12"/>
      <c r="BB2243" s="12"/>
      <c r="BC2243" s="12"/>
      <c r="BD2243" s="11">
        <v>0</v>
      </c>
      <c r="BE2243" s="11">
        <v>0</v>
      </c>
    </row>
    <row x14ac:dyDescent="0.25" r="2244" customHeight="1" ht="17.25">
      <c r="A2244" s="11">
        <v>16631</v>
      </c>
      <c r="B2244" s="4" t="s">
        <v>9679</v>
      </c>
      <c r="C2244" s="5" t="s">
        <v>8132</v>
      </c>
      <c r="D2244" s="5" t="s">
        <v>8133</v>
      </c>
      <c r="E2244" s="5" t="s">
        <v>9680</v>
      </c>
      <c r="F2244" s="13">
        <f>"0140282580"</f>
      </c>
      <c r="G2244" s="13">
        <f>"9780140282580"</f>
      </c>
      <c r="H2244" s="11">
        <v>0</v>
      </c>
      <c r="I2244" s="14">
        <v>4.13</v>
      </c>
      <c r="J2244" s="7" t="s">
        <v>182</v>
      </c>
      <c r="K2244" s="5" t="s">
        <v>60</v>
      </c>
      <c r="L2244" s="11">
        <v>256</v>
      </c>
      <c r="M2244" s="11">
        <v>1999</v>
      </c>
      <c r="N2244" s="11">
        <v>1927</v>
      </c>
      <c r="O2244" s="15"/>
      <c r="P2244" s="8">
        <v>41020</v>
      </c>
      <c r="Q2244" s="8"/>
      <c r="R2244" s="8"/>
      <c r="S2244" s="8"/>
      <c r="T2244" s="8"/>
      <c r="U2244" s="8"/>
      <c r="V2244" s="8"/>
      <c r="W2244" s="8"/>
      <c r="X2244" s="8"/>
      <c r="Y2244" s="8"/>
      <c r="Z2244" s="8"/>
      <c r="AA2244" s="8"/>
      <c r="AB2244" s="8"/>
      <c r="AC2244" s="8"/>
      <c r="AD2244" s="8"/>
      <c r="AE2244" s="8"/>
      <c r="AF2244" s="8"/>
      <c r="AG2244" s="8"/>
      <c r="AH2244" s="8"/>
      <c r="AI2244" s="8"/>
      <c r="AJ2244" s="8"/>
      <c r="AK2244" s="8"/>
      <c r="AL2244" s="8"/>
      <c r="AM2244" s="8"/>
      <c r="AN2244" s="8"/>
      <c r="AO2244" s="8"/>
      <c r="AP2244" s="8"/>
      <c r="AQ2244" s="8"/>
      <c r="AR2244" s="8"/>
      <c r="AS2244" s="8"/>
      <c r="AT2244" s="8"/>
      <c r="AU2244" s="8"/>
      <c r="AV2244" s="8"/>
      <c r="AW2244" s="8"/>
      <c r="AX2244" s="4" t="s">
        <v>38</v>
      </c>
      <c r="AY2244" s="5" t="s">
        <v>9681</v>
      </c>
      <c r="AZ2244" s="5" t="s">
        <v>38</v>
      </c>
      <c r="BA2244" s="12"/>
      <c r="BB2244" s="12"/>
      <c r="BC2244" s="12"/>
      <c r="BD2244" s="11">
        <v>0</v>
      </c>
      <c r="BE2244" s="11">
        <v>0</v>
      </c>
    </row>
    <row x14ac:dyDescent="0.25" r="2245" customHeight="1" ht="17.25">
      <c r="A2245" s="11">
        <v>7745</v>
      </c>
      <c r="B2245" s="4" t="s">
        <v>9682</v>
      </c>
      <c r="C2245" s="5" t="s">
        <v>9683</v>
      </c>
      <c r="D2245" s="5" t="s">
        <v>9684</v>
      </c>
      <c r="E2245" s="5" t="s">
        <v>9685</v>
      </c>
      <c r="F2245" s="13">
        <f>"0679785892"</f>
      </c>
      <c r="G2245" s="13">
        <f>"9780679785897"</f>
      </c>
      <c r="H2245" s="11">
        <v>0</v>
      </c>
      <c r="I2245" s="14">
        <v>4.07</v>
      </c>
      <c r="J2245" s="7" t="s">
        <v>294</v>
      </c>
      <c r="K2245" s="5" t="s">
        <v>60</v>
      </c>
      <c r="L2245" s="11">
        <v>204</v>
      </c>
      <c r="M2245" s="11">
        <v>1998</v>
      </c>
      <c r="N2245" s="11">
        <v>1971</v>
      </c>
      <c r="O2245" s="15"/>
      <c r="P2245" s="8">
        <v>41020</v>
      </c>
      <c r="Q2245" s="8"/>
      <c r="R2245" s="8"/>
      <c r="S2245" s="8"/>
      <c r="T2245" s="8"/>
      <c r="U2245" s="8"/>
      <c r="V2245" s="8"/>
      <c r="W2245" s="8"/>
      <c r="X2245" s="8"/>
      <c r="Y2245" s="8"/>
      <c r="Z2245" s="8"/>
      <c r="AA2245" s="8"/>
      <c r="AB2245" s="8"/>
      <c r="AC2245" s="8"/>
      <c r="AD2245" s="8"/>
      <c r="AE2245" s="8"/>
      <c r="AF2245" s="8"/>
      <c r="AG2245" s="8"/>
      <c r="AH2245" s="8"/>
      <c r="AI2245" s="8"/>
      <c r="AJ2245" s="8"/>
      <c r="AK2245" s="8"/>
      <c r="AL2245" s="8"/>
      <c r="AM2245" s="8"/>
      <c r="AN2245" s="8"/>
      <c r="AO2245" s="8"/>
      <c r="AP2245" s="8"/>
      <c r="AQ2245" s="8"/>
      <c r="AR2245" s="8"/>
      <c r="AS2245" s="8"/>
      <c r="AT2245" s="8"/>
      <c r="AU2245" s="8"/>
      <c r="AV2245" s="8"/>
      <c r="AW2245" s="8"/>
      <c r="AX2245" s="4" t="s">
        <v>38</v>
      </c>
      <c r="AY2245" s="5" t="s">
        <v>9686</v>
      </c>
      <c r="AZ2245" s="5" t="s">
        <v>38</v>
      </c>
      <c r="BA2245" s="12"/>
      <c r="BB2245" s="12"/>
      <c r="BC2245" s="12"/>
      <c r="BD2245" s="11">
        <v>0</v>
      </c>
      <c r="BE2245" s="11">
        <v>0</v>
      </c>
    </row>
    <row x14ac:dyDescent="0.25" r="2246" customHeight="1" ht="17.25">
      <c r="A2246" s="11">
        <v>128453</v>
      </c>
      <c r="B2246" s="4" t="s">
        <v>9687</v>
      </c>
      <c r="C2246" s="5" t="s">
        <v>7683</v>
      </c>
      <c r="D2246" s="5" t="s">
        <v>7684</v>
      </c>
      <c r="E2246" s="5" t="s">
        <v>9688</v>
      </c>
      <c r="F2246" s="13">
        <f>"0060955503"</f>
      </c>
      <c r="G2246" s="13">
        <f>"9780060955502"</f>
      </c>
      <c r="H2246" s="11">
        <v>0</v>
      </c>
      <c r="I2246" s="14">
        <v>4.41</v>
      </c>
      <c r="J2246" s="7" t="s">
        <v>9689</v>
      </c>
      <c r="K2246" s="5" t="s">
        <v>60</v>
      </c>
      <c r="L2246" s="11">
        <v>384</v>
      </c>
      <c r="M2246" s="11">
        <v>2000</v>
      </c>
      <c r="N2246" s="11">
        <v>1870</v>
      </c>
      <c r="O2246" s="15"/>
      <c r="P2246" s="8">
        <v>41020</v>
      </c>
      <c r="Q2246" s="8"/>
      <c r="R2246" s="8"/>
      <c r="S2246" s="8"/>
      <c r="T2246" s="8"/>
      <c r="U2246" s="8"/>
      <c r="V2246" s="8"/>
      <c r="W2246" s="8"/>
      <c r="X2246" s="8"/>
      <c r="Y2246" s="8"/>
      <c r="Z2246" s="8"/>
      <c r="AA2246" s="8"/>
      <c r="AB2246" s="8"/>
      <c r="AC2246" s="8"/>
      <c r="AD2246" s="8"/>
      <c r="AE2246" s="8"/>
      <c r="AF2246" s="8"/>
      <c r="AG2246" s="8"/>
      <c r="AH2246" s="8"/>
      <c r="AI2246" s="8"/>
      <c r="AJ2246" s="8"/>
      <c r="AK2246" s="8"/>
      <c r="AL2246" s="8"/>
      <c r="AM2246" s="8"/>
      <c r="AN2246" s="8"/>
      <c r="AO2246" s="8"/>
      <c r="AP2246" s="8"/>
      <c r="AQ2246" s="8"/>
      <c r="AR2246" s="8"/>
      <c r="AS2246" s="8"/>
      <c r="AT2246" s="8"/>
      <c r="AU2246" s="8"/>
      <c r="AV2246" s="8"/>
      <c r="AW2246" s="8"/>
      <c r="AX2246" s="4" t="s">
        <v>38</v>
      </c>
      <c r="AY2246" s="5" t="s">
        <v>9690</v>
      </c>
      <c r="AZ2246" s="5" t="s">
        <v>38</v>
      </c>
      <c r="BA2246" s="12"/>
      <c r="BB2246" s="12"/>
      <c r="BC2246" s="12"/>
      <c r="BD2246" s="11">
        <v>0</v>
      </c>
      <c r="BE2246" s="11">
        <v>0</v>
      </c>
    </row>
    <row x14ac:dyDescent="0.25" r="2247" customHeight="1" ht="17.25">
      <c r="A2247" s="11">
        <v>22628</v>
      </c>
      <c r="B2247" s="4" t="s">
        <v>4552</v>
      </c>
      <c r="C2247" s="5" t="s">
        <v>4553</v>
      </c>
      <c r="D2247" s="5" t="s">
        <v>4554</v>
      </c>
      <c r="E2247" s="12"/>
      <c r="F2247" s="13">
        <f>""</f>
      </c>
      <c r="G2247" s="13">
        <f>""</f>
      </c>
      <c r="H2247" s="11">
        <v>5</v>
      </c>
      <c r="I2247" s="14">
        <v>4.23</v>
      </c>
      <c r="J2247" s="7" t="s">
        <v>4555</v>
      </c>
      <c r="K2247" s="5" t="s">
        <v>60</v>
      </c>
      <c r="L2247" s="11">
        <v>213</v>
      </c>
      <c r="M2247" s="11">
        <v>1999</v>
      </c>
      <c r="N2247" s="11">
        <v>1999</v>
      </c>
      <c r="O2247" s="8">
        <v>40981</v>
      </c>
      <c r="P2247" s="9">
        <v>40894</v>
      </c>
      <c r="Q2247" s="9"/>
      <c r="R2247" s="9"/>
      <c r="S2247" s="9"/>
      <c r="T2247" s="9"/>
      <c r="U2247" s="9"/>
      <c r="V2247" s="9"/>
      <c r="W2247" s="9"/>
      <c r="X2247" s="9"/>
      <c r="Y2247" s="9"/>
      <c r="Z2247" s="9"/>
      <c r="AA2247" s="9"/>
      <c r="AB2247" s="9"/>
      <c r="AC2247" s="9"/>
      <c r="AD2247" s="9"/>
      <c r="AE2247" s="9"/>
      <c r="AF2247" s="9"/>
      <c r="AG2247" s="9"/>
      <c r="AH2247" s="9"/>
      <c r="AI2247" s="9"/>
      <c r="AJ2247" s="9"/>
      <c r="AK2247" s="9"/>
      <c r="AL2247" s="9"/>
      <c r="AM2247" s="9"/>
      <c r="AN2247" s="9"/>
      <c r="AO2247" s="9"/>
      <c r="AP2247" s="9"/>
      <c r="AQ2247" s="9"/>
      <c r="AR2247" s="9"/>
      <c r="AS2247" s="9"/>
      <c r="AT2247" s="9"/>
      <c r="AU2247" s="9"/>
      <c r="AV2247" s="9"/>
      <c r="AW2247" s="9"/>
      <c r="AX2247" s="16"/>
      <c r="AY2247" s="12"/>
      <c r="AZ2247" s="5" t="s">
        <v>158</v>
      </c>
      <c r="BA2247" s="12"/>
      <c r="BB2247" s="12"/>
      <c r="BC2247" s="12"/>
      <c r="BD2247" s="11">
        <v>1</v>
      </c>
      <c r="BE2247" s="11">
        <v>0</v>
      </c>
    </row>
    <row x14ac:dyDescent="0.25" r="2248" customHeight="1" ht="17.25">
      <c r="A2248" s="11">
        <v>2493</v>
      </c>
      <c r="B2248" s="4" t="s">
        <v>9691</v>
      </c>
      <c r="C2248" s="5" t="s">
        <v>4824</v>
      </c>
      <c r="D2248" s="5" t="s">
        <v>4825</v>
      </c>
      <c r="E2248" s="5" t="s">
        <v>9692</v>
      </c>
      <c r="F2248" s="13">
        <f>""</f>
      </c>
      <c r="G2248" s="13">
        <f>""</f>
      </c>
      <c r="H2248" s="11">
        <v>5</v>
      </c>
      <c r="I2248" s="14">
        <v>3.9</v>
      </c>
      <c r="J2248" s="7" t="s">
        <v>9693</v>
      </c>
      <c r="K2248" s="5" t="s">
        <v>60</v>
      </c>
      <c r="L2248" s="11">
        <v>118</v>
      </c>
      <c r="M2248" s="11">
        <v>2002</v>
      </c>
      <c r="N2248" s="11">
        <v>1895</v>
      </c>
      <c r="O2248" s="8">
        <v>40964</v>
      </c>
      <c r="P2248" s="8">
        <v>40952</v>
      </c>
      <c r="Q2248" s="8"/>
      <c r="R2248" s="8"/>
      <c r="S2248" s="8"/>
      <c r="T2248" s="8"/>
      <c r="U2248" s="8"/>
      <c r="V2248" s="8"/>
      <c r="W2248" s="8"/>
      <c r="X2248" s="8"/>
      <c r="Y2248" s="8"/>
      <c r="Z2248" s="8"/>
      <c r="AA2248" s="8"/>
      <c r="AB2248" s="8"/>
      <c r="AC2248" s="8"/>
      <c r="AD2248" s="8"/>
      <c r="AE2248" s="8"/>
      <c r="AF2248" s="8"/>
      <c r="AG2248" s="8"/>
      <c r="AH2248" s="8"/>
      <c r="AI2248" s="8"/>
      <c r="AJ2248" s="8"/>
      <c r="AK2248" s="8"/>
      <c r="AL2248" s="8"/>
      <c r="AM2248" s="8"/>
      <c r="AN2248" s="8"/>
      <c r="AO2248" s="8"/>
      <c r="AP2248" s="8"/>
      <c r="AQ2248" s="8"/>
      <c r="AR2248" s="8"/>
      <c r="AS2248" s="8"/>
      <c r="AT2248" s="8"/>
      <c r="AU2248" s="8"/>
      <c r="AV2248" s="8"/>
      <c r="AW2248" s="8"/>
      <c r="AX2248" s="16"/>
      <c r="AY2248" s="12"/>
      <c r="AZ2248" s="5" t="s">
        <v>158</v>
      </c>
      <c r="BA2248" s="12"/>
      <c r="BB2248" s="12"/>
      <c r="BC2248" s="12"/>
      <c r="BD2248" s="11">
        <v>1</v>
      </c>
      <c r="BE2248" s="11">
        <v>0</v>
      </c>
    </row>
    <row x14ac:dyDescent="0.25" r="2249" customHeight="1" ht="17.25">
      <c r="A2249" s="11">
        <v>2813153</v>
      </c>
      <c r="B2249" s="4" t="s">
        <v>9694</v>
      </c>
      <c r="C2249" s="5" t="s">
        <v>9695</v>
      </c>
      <c r="D2249" s="5" t="s">
        <v>9696</v>
      </c>
      <c r="E2249" s="12"/>
      <c r="F2249" s="13">
        <f>"159514188X"</f>
      </c>
      <c r="G2249" s="13">
        <f>"9781595141880"</f>
      </c>
      <c r="H2249" s="11">
        <v>5</v>
      </c>
      <c r="I2249" s="14">
        <v>3.85</v>
      </c>
      <c r="J2249" s="7" t="s">
        <v>9697</v>
      </c>
      <c r="K2249" s="5" t="s">
        <v>60</v>
      </c>
      <c r="L2249" s="11">
        <v>288</v>
      </c>
      <c r="M2249" s="11">
        <v>2011</v>
      </c>
      <c r="N2249" s="11">
        <v>2007</v>
      </c>
      <c r="O2249" s="8">
        <v>40915</v>
      </c>
      <c r="P2249" s="9">
        <v>40894</v>
      </c>
      <c r="Q2249" s="9"/>
      <c r="R2249" s="9"/>
      <c r="S2249" s="9"/>
      <c r="T2249" s="9"/>
      <c r="U2249" s="9"/>
      <c r="V2249" s="9"/>
      <c r="W2249" s="9"/>
      <c r="X2249" s="9"/>
      <c r="Y2249" s="9"/>
      <c r="Z2249" s="9"/>
      <c r="AA2249" s="9"/>
      <c r="AB2249" s="9"/>
      <c r="AC2249" s="9"/>
      <c r="AD2249" s="9"/>
      <c r="AE2249" s="9"/>
      <c r="AF2249" s="9"/>
      <c r="AG2249" s="9"/>
      <c r="AH2249" s="9"/>
      <c r="AI2249" s="9"/>
      <c r="AJ2249" s="9"/>
      <c r="AK2249" s="9"/>
      <c r="AL2249" s="9"/>
      <c r="AM2249" s="9"/>
      <c r="AN2249" s="9"/>
      <c r="AO2249" s="9"/>
      <c r="AP2249" s="9"/>
      <c r="AQ2249" s="9"/>
      <c r="AR2249" s="9"/>
      <c r="AS2249" s="9"/>
      <c r="AT2249" s="9"/>
      <c r="AU2249" s="9"/>
      <c r="AV2249" s="9"/>
      <c r="AW2249" s="9"/>
      <c r="AX2249" s="16"/>
      <c r="AY2249" s="12"/>
      <c r="AZ2249" s="5" t="s">
        <v>158</v>
      </c>
      <c r="BA2249" s="12"/>
      <c r="BB2249" s="12"/>
      <c r="BC2249" s="12"/>
      <c r="BD2249" s="11">
        <v>1</v>
      </c>
      <c r="BE2249" s="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5"/>
  <sheetViews>
    <sheetView workbookViewId="0"/>
  </sheetViews>
  <sheetFormatPr defaultRowHeight="15" x14ac:dyDescent="0.25"/>
  <cols>
    <col min="1" max="1" style="3" width="12.43357142857143" customWidth="1" bestFit="1"/>
  </cols>
  <sheetData>
    <row x14ac:dyDescent="0.25" r="1" customHeight="1" ht="17.25">
      <c r="A1" s="1"/>
    </row>
    <row x14ac:dyDescent="0.25" r="2" customHeight="1" ht="17.25">
      <c r="A2" s="1"/>
    </row>
    <row x14ac:dyDescent="0.25" r="3" customHeight="1" ht="17.25">
      <c r="A3" s="1"/>
    </row>
    <row x14ac:dyDescent="0.25" r="4" customHeight="1" ht="17.25">
      <c r="A4" s="1"/>
    </row>
    <row x14ac:dyDescent="0.25" r="5" customHeight="1" ht="27">
      <c r="A5" s="2" t="s">
        <v>0</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MAIN_TEST_DATA</vt:lpstr>
      <vt:lpstr>Evaluation Warning</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2024-02-18T03:04:07.748Z</dcterms:created>
  <dcterms:modified xsi:type="dcterms:W3CDTF">2024-02-18T03:04:07.748Z</dcterms:modified>
</cp:coreProperties>
</file>